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896" activeTab="2"/>
  </bookViews>
  <sheets>
    <sheet name="2009A&amp;B" sheetId="1" r:id="rId1"/>
    <sheet name="Academic Project" sheetId="2" r:id="rId2"/>
    <sheet name="2016B" sheetId="3" r:id="rId3"/>
    <sheet name="2016B Academic" sheetId="4" r:id="rId4"/>
    <sheet name="Percentage-Final" sheetId="5" r:id="rId5"/>
    <sheet name="umbi adjustment" sheetId="6" r:id="rId6"/>
  </sheets>
  <definedNames>
    <definedName name="_xlnm.Print_Titles" localSheetId="0">'2009A&amp;B'!$A:$A</definedName>
    <definedName name="_xlnm.Print_Titles" localSheetId="2">'2016B'!$A:$A</definedName>
    <definedName name="_xlnm.Print_Titles" localSheetId="3">'2016B Academic'!$A:$A</definedName>
    <definedName name="_xlnm.Print_Titles" localSheetId="1">'Academic Project'!$A:$A</definedName>
  </definedNames>
  <calcPr fullCalcOnLoad="1"/>
</workbook>
</file>

<file path=xl/sharedStrings.xml><?xml version="1.0" encoding="utf-8"?>
<sst xmlns="http://schemas.openxmlformats.org/spreadsheetml/2006/main" count="1055" uniqueCount="154">
  <si>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</si>
  <si>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</si>
  <si>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</si>
  <si>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</si>
  <si>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</si>
  <si>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</si>
  <si>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</si>
  <si>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</si>
  <si>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</si>
  <si>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</si>
  <si>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</si>
  <si>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</si>
  <si>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</si>
  <si>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Debt Svc from Earnings and Accrued Interest</t>
  </si>
  <si>
    <t>UMB</t>
  </si>
  <si>
    <t>UMES</t>
  </si>
  <si>
    <t>UMBC</t>
  </si>
  <si>
    <t>BSU</t>
  </si>
  <si>
    <t>FSU</t>
  </si>
  <si>
    <t>TU</t>
  </si>
  <si>
    <t>UB</t>
  </si>
  <si>
    <t>Resident Hall Renovations</t>
  </si>
  <si>
    <t>USMO</t>
  </si>
  <si>
    <t xml:space="preserve">        UMES Utilities Upgrade (Academic)</t>
  </si>
  <si>
    <t>24th Aux</t>
  </si>
  <si>
    <t xml:space="preserve">        FSU Facilities Renewal (Academic)</t>
  </si>
  <si>
    <t>New Campus Center</t>
  </si>
  <si>
    <t xml:space="preserve">        UMB New Campus Center (Auxiliary)</t>
  </si>
  <si>
    <t xml:space="preserve">   UMBC Resident Hall Renovation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</si>
  <si>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</si>
  <si>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</si>
  <si>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</si>
  <si>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</si>
  <si>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UMBI</t>
  </si>
  <si>
    <t>26th Aux</t>
  </si>
  <si>
    <t>West Village Infrastructure &amp; Site Improvement</t>
  </si>
  <si>
    <t xml:space="preserve">    TU West Village Infrastructure (Auxiliary)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</si>
  <si>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</si>
  <si>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</si>
  <si>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</si>
  <si>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</si>
  <si>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</si>
  <si>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</si>
  <si>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</si>
  <si>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</si>
  <si>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</si>
  <si>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</si>
  <si>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</si>
  <si>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</si>
  <si>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</si>
  <si>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</si>
  <si>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</si>
  <si>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</si>
  <si>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</si>
  <si>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</si>
  <si>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</si>
  <si>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</si>
  <si>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</si>
  <si>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</si>
  <si>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>Athletic Practice Fields</t>
  </si>
  <si>
    <t>Shady Grove Center Parking Garage</t>
  </si>
  <si>
    <t>Dormitory Renovations, Campus-Wide</t>
  </si>
  <si>
    <t>New Parking Garage &amp; Property Acquisition</t>
  </si>
  <si>
    <t xml:space="preserve">         UMBC Facilities Renewal (Academic)</t>
  </si>
  <si>
    <t xml:space="preserve">  USMO Shady Grove Education III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</si>
  <si>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</si>
  <si>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</si>
  <si>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</si>
  <si>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</si>
  <si>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</si>
  <si>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</si>
  <si>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</si>
  <si>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</si>
  <si>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26,27,28th Aux</t>
  </si>
  <si>
    <t>Dining Hall: Upgrades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</si>
  <si>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</si>
  <si>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</si>
  <si>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</si>
  <si>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</si>
  <si>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>27,28,29th Aux</t>
  </si>
  <si>
    <t>26,29th Aux</t>
  </si>
  <si>
    <t>25,26,27th Aux</t>
  </si>
  <si>
    <t xml:space="preserve">           Total Academic Projects - 2009A</t>
  </si>
  <si>
    <t xml:space="preserve">           Total Auxiliary Projects - 2009A</t>
  </si>
  <si>
    <t>29th Acad</t>
  </si>
  <si>
    <t>Facilities Renewal</t>
  </si>
  <si>
    <t>28th Acad</t>
  </si>
  <si>
    <t>New Journalism Building</t>
  </si>
  <si>
    <t>28,29th Acad</t>
  </si>
  <si>
    <t>UMCES</t>
  </si>
  <si>
    <t>27th Acad</t>
  </si>
  <si>
    <t>26,28,29th Acad</t>
  </si>
  <si>
    <t>Emergency Project</t>
  </si>
  <si>
    <t>25th Acad</t>
  </si>
  <si>
    <t>Shady Grove Education Center III</t>
  </si>
  <si>
    <t>25,26,27,28th Acad</t>
  </si>
  <si>
    <t>24th Acad</t>
  </si>
  <si>
    <t>24,25,26th Acad</t>
  </si>
  <si>
    <t>22nd Acad</t>
  </si>
  <si>
    <t>Utilities Upgrade/Site Improvement</t>
  </si>
  <si>
    <t>26,27,28,29th Aux</t>
  </si>
  <si>
    <t>27,29th Aux</t>
  </si>
  <si>
    <t>28th Aux</t>
  </si>
  <si>
    <t>West Village Parking Structure</t>
  </si>
  <si>
    <t>New Physical Education Complex ***</t>
  </si>
  <si>
    <t xml:space="preserve">Fine and Performing Arts Center </t>
  </si>
  <si>
    <t xml:space="preserve">      UMCP Facilities Renewal (Academic)</t>
  </si>
  <si>
    <t xml:space="preserve">    UMCP New Journalism Building (Academic) </t>
  </si>
  <si>
    <t xml:space="preserve">       UMB Facilities Renewal (Academic) </t>
  </si>
  <si>
    <t xml:space="preserve">        UMB Emergency Projects (Academic)</t>
  </si>
  <si>
    <t xml:space="preserve"> BSU Fine &amp; Performing Arts Center (Academic)</t>
  </si>
  <si>
    <t xml:space="preserve">  CSU New Physical Edu. Complex (Academic)</t>
  </si>
  <si>
    <t xml:space="preserve">    TU West Village Parking Structure (Auxiliary)</t>
  </si>
  <si>
    <t xml:space="preserve"> USMO Shady Grove Parking Garage (Auxiliary)</t>
  </si>
  <si>
    <t xml:space="preserve">                                         Total Debt Services - 2009 Series A &amp; 2009 Series B</t>
  </si>
  <si>
    <t>2009 Series A &amp; B Bonds</t>
  </si>
  <si>
    <t>Phamacy Hall Addition and Renovation</t>
  </si>
  <si>
    <t>26,27,28,29th Acad</t>
  </si>
  <si>
    <t>26,27,28th Acad</t>
  </si>
  <si>
    <t>Equip Compton Science Center</t>
  </si>
  <si>
    <t>27,28th Acad</t>
  </si>
  <si>
    <t>Surface Lots</t>
  </si>
  <si>
    <t>New Student Center</t>
  </si>
  <si>
    <t>30th Aux</t>
  </si>
  <si>
    <t>Mixed-Use Development - Student Housing</t>
  </si>
  <si>
    <t>31st Aux</t>
  </si>
  <si>
    <t>Student Housing - West Village PHI</t>
  </si>
  <si>
    <t>29th Aux</t>
  </si>
  <si>
    <t>21st Acad</t>
  </si>
  <si>
    <t xml:space="preserve">     UMCP Emergency Projects (Academic) </t>
  </si>
  <si>
    <t xml:space="preserve">     UMB Pharmacy Hall Addition (Academic)</t>
  </si>
  <si>
    <t xml:space="preserve">       CSU Emergency Projects (Academic)</t>
  </si>
  <si>
    <t>FSU Equip Compton Science Center (Academic)</t>
  </si>
  <si>
    <t xml:space="preserve">          UMBC  Surface Lots (Auxiliary)</t>
  </si>
  <si>
    <t xml:space="preserve">        BSU New Student Center (Auxiliary)</t>
  </si>
  <si>
    <t xml:space="preserve">    SU Mixed-Use Student Housing (Auxiliary)</t>
  </si>
  <si>
    <t>TU Student Housing-West Village PHI (Auxiliary)</t>
  </si>
  <si>
    <t xml:space="preserve">      TU Resident Hall Renovations (Auxiliary)</t>
  </si>
  <si>
    <t>2009 Series A &amp; 2009 Series B Bond Funded Projects</t>
  </si>
  <si>
    <t xml:space="preserve">               University System of Maryland</t>
  </si>
  <si>
    <t xml:space="preserve">                 Distribution of Debt Services</t>
  </si>
  <si>
    <t xml:space="preserve">      Total Debt Service - 2009 Series A &amp; B</t>
  </si>
  <si>
    <t>Amort of</t>
  </si>
  <si>
    <t>Premium</t>
  </si>
  <si>
    <t xml:space="preserve">      UMCP Transfer from UMBI (Academic)</t>
  </si>
  <si>
    <t xml:space="preserve">      UMBC Transfer from UMBI (Academic)</t>
  </si>
  <si>
    <t xml:space="preserve">           Total Academic Projects - 2009A&amp;B</t>
  </si>
  <si>
    <t>2009 Series A &amp; B Bond Funded Projects</t>
  </si>
  <si>
    <t>2009 Series A &amp; B 2009 Bond Funded Projects after 2016B</t>
  </si>
  <si>
    <t xml:space="preserve">      Total Debt Service - 2009 Series A &amp; B Original</t>
  </si>
  <si>
    <t>After 2016B</t>
  </si>
  <si>
    <t>Loss on Refunding</t>
  </si>
  <si>
    <t>2009 Series A &amp; B 2009 Bond refinanced on 2016B</t>
  </si>
  <si>
    <t xml:space="preserve">      Total Debt Service - 2009 Series A &amp; B Refinanced on 2016B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</si>
</sst>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.0_);_(* \(#,##0.0\);_(* &quot;-&quot;??_);_(@_)"/>
    <numFmt numFmtId="180" formatCode="_(* #,##0_);_(* \(#,##0\);_(* &quot;-&quot;??_);_(@_)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0" borderId="13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19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9" fontId="0" fillId="0" borderId="0" xfId="59" applyFont="1" applyAlignment="1">
      <alignment/>
    </xf>
    <xf numFmtId="38" fontId="1" fillId="0" borderId="10" xfId="0" applyNumberFormat="1" applyFont="1" applyBorder="1" applyAlignment="1">
      <alignment horizontal="left"/>
    </xf>
    <xf numFmtId="38" fontId="0" fillId="33" borderId="16" xfId="0" applyNumberFormat="1" applyFill="1" applyBorder="1" applyAlignment="1">
      <alignment horizontal="center"/>
    </xf>
    <xf numFmtId="180" fontId="0" fillId="0" borderId="0" xfId="42" applyNumberFormat="1" applyFont="1" applyAlignment="1">
      <alignment/>
    </xf>
    <xf numFmtId="180" fontId="0" fillId="0" borderId="20" xfId="42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Q64"/>
  <sheetViews>
    <sheetView zoomScale="150" zoomScaleNormal="150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6" sqref="C26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5" customWidth="1"/>
    <col min="7" max="7" width="3.7109375" style="33" customWidth="1"/>
    <col min="8" max="11" width="13.7109375" style="33" customWidth="1"/>
    <col min="12" max="12" width="3.7109375" style="33" customWidth="1"/>
    <col min="13" max="16" width="13.7109375" style="0" customWidth="1"/>
    <col min="17" max="17" width="3.7109375" style="33" customWidth="1"/>
    <col min="18" max="21" width="13.7109375" style="0" customWidth="1"/>
    <col min="22" max="22" width="3.7109375" style="33" customWidth="1"/>
    <col min="23" max="26" width="13.7109375" style="0" customWidth="1"/>
    <col min="27" max="27" width="3.7109375" style="33" customWidth="1"/>
    <col min="28" max="31" width="13.7109375" style="33" customWidth="1"/>
    <col min="32" max="32" width="3.7109375" style="33" customWidth="1"/>
    <col min="33" max="36" width="13.7109375" style="0" customWidth="1"/>
    <col min="37" max="37" width="3.7109375" style="33" customWidth="1"/>
    <col min="38" max="41" width="13.7109375" style="0" customWidth="1"/>
    <col min="42" max="42" width="3.7109375" style="20" customWidth="1"/>
    <col min="43" max="46" width="13.7109375" style="0" customWidth="1"/>
    <col min="47" max="47" width="3.7109375" style="20" customWidth="1"/>
    <col min="48" max="51" width="13.7109375" style="20" customWidth="1"/>
    <col min="52" max="52" width="3.7109375" style="20" customWidth="1"/>
    <col min="53" max="56" width="12.7109375" style="20" customWidth="1"/>
    <col min="57" max="57" width="3.7109375" style="20" customWidth="1"/>
    <col min="58" max="61" width="13.7109375" style="20" customWidth="1"/>
    <col min="62" max="62" width="3.7109375" style="20" customWidth="1"/>
    <col min="63" max="66" width="13.7109375" style="20" customWidth="1"/>
    <col min="67" max="67" width="3.7109375" style="20" customWidth="1"/>
    <col min="68" max="71" width="13.7109375" style="20" customWidth="1"/>
    <col min="72" max="72" width="3.7109375" style="20" customWidth="1"/>
    <col min="73" max="76" width="13.7109375" style="20" customWidth="1"/>
    <col min="77" max="77" width="3.7109375" style="20" customWidth="1"/>
    <col min="78" max="81" width="13.7109375" style="20" customWidth="1"/>
    <col min="82" max="82" width="3.7109375" style="20" customWidth="1"/>
    <col min="83" max="86" width="12.7109375" style="20" customWidth="1"/>
    <col min="87" max="87" width="3.7109375" style="20" customWidth="1"/>
    <col min="88" max="91" width="13.7109375" style="20" customWidth="1"/>
    <col min="92" max="92" width="3.7109375" style="20" customWidth="1"/>
    <col min="93" max="96" width="13.7109375" style="20" customWidth="1"/>
    <col min="97" max="97" width="3.7109375" style="20" customWidth="1"/>
    <col min="98" max="101" width="13.7109375" style="20" customWidth="1"/>
    <col min="102" max="102" width="3.7109375" style="20" customWidth="1"/>
    <col min="103" max="106" width="13.7109375" style="20" customWidth="1"/>
    <col min="107" max="107" width="3.7109375" style="20" customWidth="1"/>
    <col min="108" max="111" width="13.7109375" style="20" customWidth="1"/>
    <col min="112" max="112" width="3.7109375" style="20" customWidth="1"/>
    <col min="113" max="116" width="13.7109375" style="20" customWidth="1"/>
    <col min="117" max="117" width="3.7109375" style="20" customWidth="1"/>
    <col min="118" max="121" width="13.7109375" style="20" customWidth="1"/>
    <col min="122" max="122" width="3.7109375" style="20" customWidth="1"/>
    <col min="123" max="126" width="13.7109375" style="20" customWidth="1"/>
    <col min="127" max="127" width="3.7109375" style="20" customWidth="1"/>
    <col min="128" max="131" width="13.7109375" style="20" customWidth="1"/>
    <col min="132" max="132" width="3.7109375" style="20" customWidth="1"/>
    <col min="133" max="136" width="13.7109375" style="20" customWidth="1"/>
    <col min="137" max="137" width="3.7109375" style="20" customWidth="1"/>
    <col min="138" max="141" width="13.7109375" style="20" customWidth="1"/>
    <col min="142" max="142" width="3.7109375" style="20" customWidth="1"/>
    <col min="143" max="145" width="13.7109375" style="20" customWidth="1"/>
    <col min="146" max="146" width="3.7109375" style="0" customWidth="1"/>
  </cols>
  <sheetData>
    <row r="1" spans="1:147" ht="12.75">
      <c r="A1" s="43"/>
      <c r="B1" s="30"/>
      <c r="C1" s="44"/>
      <c r="D1" s="44"/>
      <c r="H1" s="44"/>
      <c r="M1" s="44" t="s">
        <v>139</v>
      </c>
      <c r="R1" s="44"/>
      <c r="W1" s="44"/>
      <c r="AB1" s="44" t="s">
        <v>139</v>
      </c>
      <c r="AG1" s="44"/>
      <c r="AL1" s="44"/>
      <c r="AQ1" s="44" t="s">
        <v>139</v>
      </c>
      <c r="BA1" s="44"/>
      <c r="BF1" s="44" t="s">
        <v>139</v>
      </c>
      <c r="BP1" s="44"/>
      <c r="BU1" s="44" t="s">
        <v>139</v>
      </c>
      <c r="BZ1" s="44"/>
      <c r="CJ1" s="44" t="s">
        <v>139</v>
      </c>
      <c r="CO1" s="44"/>
      <c r="CY1" s="44" t="s">
        <v>139</v>
      </c>
      <c r="DN1" s="44" t="s">
        <v>139</v>
      </c>
      <c r="DS1" s="44"/>
      <c r="EC1" s="44" t="s">
        <v>139</v>
      </c>
      <c r="EH1" s="44"/>
      <c r="EQ1" s="44" t="s">
        <v>139</v>
      </c>
    </row>
    <row r="2" spans="1:147" ht="12.75">
      <c r="A2" s="43"/>
      <c r="B2" s="30"/>
      <c r="C2" s="44"/>
      <c r="D2" s="44"/>
      <c r="H2" s="44"/>
      <c r="M2" s="42" t="s">
        <v>140</v>
      </c>
      <c r="R2" s="44"/>
      <c r="W2" s="44"/>
      <c r="AB2" s="42" t="s">
        <v>140</v>
      </c>
      <c r="AG2" s="44"/>
      <c r="AL2" s="44"/>
      <c r="AQ2" s="42" t="s">
        <v>140</v>
      </c>
      <c r="BA2" s="44"/>
      <c r="BF2" s="42" t="s">
        <v>140</v>
      </c>
      <c r="BP2" s="44"/>
      <c r="BU2" s="42" t="s">
        <v>140</v>
      </c>
      <c r="BZ2" s="44"/>
      <c r="CJ2" s="42" t="s">
        <v>140</v>
      </c>
      <c r="CO2" s="44"/>
      <c r="CY2" s="42" t="s">
        <v>140</v>
      </c>
      <c r="DN2" s="42" t="s">
        <v>140</v>
      </c>
      <c r="DS2" s="44"/>
      <c r="EC2" s="42" t="s">
        <v>140</v>
      </c>
      <c r="EH2" s="44"/>
      <c r="EQ2" s="42" t="s">
        <v>140</v>
      </c>
    </row>
    <row r="3" spans="1:147" ht="12.75">
      <c r="A3" s="43"/>
      <c r="B3" s="30"/>
      <c r="C3" s="42"/>
      <c r="D3" s="42"/>
      <c r="H3" s="44"/>
      <c r="M3" s="44" t="s">
        <v>148</v>
      </c>
      <c r="N3" s="12"/>
      <c r="R3" s="44"/>
      <c r="W3" s="44"/>
      <c r="AB3" s="44" t="str">
        <f>M3</f>
        <v>2009 Series A &amp; B 2009 Bond Funded Projects after 2016B</v>
      </c>
      <c r="AG3" s="44"/>
      <c r="AL3" s="44"/>
      <c r="AQ3" s="44" t="str">
        <f>AB3</f>
        <v>2009 Series A &amp; B 2009 Bond Funded Projects after 2016B</v>
      </c>
      <c r="BA3" s="44"/>
      <c r="BF3" s="44" t="str">
        <f>AQ3</f>
        <v>2009 Series A &amp; B 2009 Bond Funded Projects after 2016B</v>
      </c>
      <c r="BP3" s="44"/>
      <c r="BU3" s="44" t="str">
        <f>BF3</f>
        <v>2009 Series A &amp; B 2009 Bond Funded Projects after 2016B</v>
      </c>
      <c r="BZ3" s="44"/>
      <c r="CJ3" s="44" t="s">
        <v>138</v>
      </c>
      <c r="CO3" s="44"/>
      <c r="CY3" s="44" t="s">
        <v>138</v>
      </c>
      <c r="DN3" s="44" t="s">
        <v>138</v>
      </c>
      <c r="DS3" s="44"/>
      <c r="EC3" s="44" t="s">
        <v>138</v>
      </c>
      <c r="EH3" s="44"/>
      <c r="EQ3" s="44" t="s">
        <v>138</v>
      </c>
    </row>
    <row r="4" spans="1:4" ht="12.75">
      <c r="A4" s="43"/>
      <c r="B4" s="30"/>
      <c r="C4" s="44"/>
      <c r="D4" s="44"/>
    </row>
    <row r="5" spans="1:145" ht="12.75">
      <c r="A5" s="21" t="s">
        <v>9</v>
      </c>
      <c r="C5" s="47" t="s">
        <v>149</v>
      </c>
      <c r="D5" s="48"/>
      <c r="E5" s="49"/>
      <c r="F5" s="49"/>
      <c r="H5" s="36" t="s">
        <v>82</v>
      </c>
      <c r="I5" s="70"/>
      <c r="J5" s="38"/>
      <c r="K5" s="49"/>
      <c r="M5" s="36" t="s">
        <v>83</v>
      </c>
      <c r="N5" s="37"/>
      <c r="O5" s="38"/>
      <c r="P5" s="49"/>
      <c r="R5" s="22" t="s">
        <v>69</v>
      </c>
      <c r="S5" s="23"/>
      <c r="T5" s="24"/>
      <c r="U5" s="49"/>
      <c r="W5" s="22" t="s">
        <v>46</v>
      </c>
      <c r="X5" s="23"/>
      <c r="Y5" s="24"/>
      <c r="Z5" s="49"/>
      <c r="AB5" s="22" t="s">
        <v>70</v>
      </c>
      <c r="AC5" s="23"/>
      <c r="AD5" s="24"/>
      <c r="AE5" s="49"/>
      <c r="AG5" s="22" t="s">
        <v>51</v>
      </c>
      <c r="AH5" s="23"/>
      <c r="AI5" s="24"/>
      <c r="AJ5" s="49"/>
      <c r="AL5" s="22" t="s">
        <v>27</v>
      </c>
      <c r="AM5" s="23"/>
      <c r="AN5" s="24"/>
      <c r="AO5" s="49"/>
      <c r="AQ5" s="22" t="s">
        <v>55</v>
      </c>
      <c r="AR5" s="23"/>
      <c r="AS5" s="24"/>
      <c r="AT5" s="49"/>
      <c r="AV5" s="22" t="s">
        <v>71</v>
      </c>
      <c r="AW5" s="23"/>
      <c r="AX5" s="24"/>
      <c r="AY5" s="49"/>
      <c r="BA5" s="22" t="s">
        <v>78</v>
      </c>
      <c r="BB5" s="23"/>
      <c r="BC5" s="24"/>
      <c r="BD5" s="49"/>
      <c r="BF5" s="22" t="s">
        <v>28</v>
      </c>
      <c r="BG5" s="23"/>
      <c r="BH5" s="24"/>
      <c r="BI5" s="49"/>
      <c r="BK5" s="22" t="s">
        <v>133</v>
      </c>
      <c r="BL5" s="23"/>
      <c r="BM5" s="24"/>
      <c r="BN5" s="49"/>
      <c r="BP5" s="22" t="s">
        <v>113</v>
      </c>
      <c r="BQ5" s="23"/>
      <c r="BR5" s="24"/>
      <c r="BS5" s="49"/>
      <c r="BU5" s="22" t="s">
        <v>134</v>
      </c>
      <c r="BV5" s="23"/>
      <c r="BW5" s="24"/>
      <c r="BX5" s="49"/>
      <c r="BZ5" s="22" t="s">
        <v>47</v>
      </c>
      <c r="CA5" s="23"/>
      <c r="CB5" s="24"/>
      <c r="CC5" s="49"/>
      <c r="CE5" s="22" t="s">
        <v>48</v>
      </c>
      <c r="CF5" s="23"/>
      <c r="CG5" s="24"/>
      <c r="CH5" s="49"/>
      <c r="CJ5" s="22" t="s">
        <v>49</v>
      </c>
      <c r="CK5" s="23"/>
      <c r="CL5" s="24"/>
      <c r="CM5" s="49"/>
      <c r="CO5" s="22" t="s">
        <v>72</v>
      </c>
      <c r="CP5" s="23"/>
      <c r="CQ5" s="24"/>
      <c r="CR5" s="49"/>
      <c r="CT5" s="22" t="s">
        <v>50</v>
      </c>
      <c r="CU5" s="23"/>
      <c r="CV5" s="24"/>
      <c r="CW5" s="49"/>
      <c r="CY5" s="22" t="s">
        <v>135</v>
      </c>
      <c r="CZ5" s="23"/>
      <c r="DA5" s="24"/>
      <c r="DB5" s="49"/>
      <c r="DD5" s="57" t="s">
        <v>136</v>
      </c>
      <c r="DE5" s="23"/>
      <c r="DF5" s="24"/>
      <c r="DG5" s="49"/>
      <c r="DI5" s="22" t="s">
        <v>137</v>
      </c>
      <c r="DJ5" s="23"/>
      <c r="DK5" s="24"/>
      <c r="DL5" s="49"/>
      <c r="DN5" s="22" t="s">
        <v>31</v>
      </c>
      <c r="DO5" s="23"/>
      <c r="DP5" s="24"/>
      <c r="DQ5" s="49"/>
      <c r="DS5" s="22" t="s">
        <v>32</v>
      </c>
      <c r="DT5" s="23"/>
      <c r="DU5" s="24"/>
      <c r="DV5" s="49"/>
      <c r="DX5" s="22" t="s">
        <v>56</v>
      </c>
      <c r="DY5" s="23"/>
      <c r="DZ5" s="24"/>
      <c r="EA5" s="49"/>
      <c r="EB5" s="65"/>
      <c r="EC5" s="22" t="s">
        <v>36</v>
      </c>
      <c r="ED5" s="23"/>
      <c r="EE5" s="24"/>
      <c r="EF5" s="49"/>
      <c r="EH5" s="22" t="s">
        <v>112</v>
      </c>
      <c r="EI5" s="23"/>
      <c r="EJ5" s="24"/>
      <c r="EK5" s="49"/>
      <c r="EM5" s="57" t="s">
        <v>13</v>
      </c>
      <c r="EN5" s="23"/>
      <c r="EO5" s="24"/>
    </row>
    <row r="6" spans="1:145" s="12" customFormat="1" ht="12.75">
      <c r="A6" s="45" t="s">
        <v>10</v>
      </c>
      <c r="C6" s="37" t="s">
        <v>150</v>
      </c>
      <c r="D6" s="37"/>
      <c r="E6" s="38"/>
      <c r="F6" s="80" t="s">
        <v>142</v>
      </c>
      <c r="G6" s="33"/>
      <c r="H6" s="69"/>
      <c r="I6" s="64">
        <v>0.3215535</v>
      </c>
      <c r="J6" s="74"/>
      <c r="K6" s="80" t="s">
        <v>142</v>
      </c>
      <c r="L6" s="33"/>
      <c r="M6" s="69"/>
      <c r="N6" s="73">
        <f>S6+X6+AC6+AH6+AM6+AR6+AW6+BB6+BG6+BQ6+CA6+CF6+CK6+CP6+CU6+DO6+DT6+DY6+ED6+EI6+EN6+BL6+BV6+CZ6+DE6+DJ6</f>
        <v>0.6784465000000001</v>
      </c>
      <c r="O6" s="74"/>
      <c r="P6" s="80" t="s">
        <v>142</v>
      </c>
      <c r="Q6" s="33"/>
      <c r="R6" s="72"/>
      <c r="S6" s="32">
        <v>0.0550165</v>
      </c>
      <c r="T6" s="74"/>
      <c r="U6" s="80" t="s">
        <v>142</v>
      </c>
      <c r="V6" s="33"/>
      <c r="W6" s="72"/>
      <c r="X6" s="32">
        <v>0.0671633</v>
      </c>
      <c r="Y6" s="74"/>
      <c r="Z6" s="80" t="s">
        <v>142</v>
      </c>
      <c r="AA6" s="33"/>
      <c r="AB6" s="72"/>
      <c r="AC6" s="32">
        <v>0.0002459</v>
      </c>
      <c r="AD6" s="74"/>
      <c r="AE6" s="80" t="s">
        <v>142</v>
      </c>
      <c r="AF6" s="33"/>
      <c r="AG6" s="72"/>
      <c r="AH6" s="32">
        <v>0.0145161</v>
      </c>
      <c r="AI6" s="74"/>
      <c r="AJ6" s="80" t="s">
        <v>142</v>
      </c>
      <c r="AK6" s="33"/>
      <c r="AL6" s="72"/>
      <c r="AM6" s="32">
        <v>0.0667925</v>
      </c>
      <c r="AN6" s="74"/>
      <c r="AO6" s="80" t="s">
        <v>142</v>
      </c>
      <c r="AQ6" s="72"/>
      <c r="AR6" s="32">
        <v>0.0105296</v>
      </c>
      <c r="AS6" s="74"/>
      <c r="AT6" s="80" t="s">
        <v>142</v>
      </c>
      <c r="AV6" s="72"/>
      <c r="AW6" s="32">
        <v>0.0005849</v>
      </c>
      <c r="AX6" s="74"/>
      <c r="AY6" s="80" t="s">
        <v>142</v>
      </c>
      <c r="BA6" s="72"/>
      <c r="BB6" s="32">
        <v>0.0067373</v>
      </c>
      <c r="BC6" s="74"/>
      <c r="BD6" s="80" t="s">
        <v>142</v>
      </c>
      <c r="BF6" s="72"/>
      <c r="BG6" s="32">
        <v>0.0094186</v>
      </c>
      <c r="BH6" s="74"/>
      <c r="BI6" s="80" t="s">
        <v>142</v>
      </c>
      <c r="BK6" s="72"/>
      <c r="BL6" s="32">
        <v>0.0013176</v>
      </c>
      <c r="BM6" s="74"/>
      <c r="BN6" s="80" t="s">
        <v>142</v>
      </c>
      <c r="BP6" s="72"/>
      <c r="BQ6" s="32">
        <v>0.0068448</v>
      </c>
      <c r="BR6" s="74"/>
      <c r="BS6" s="80" t="s">
        <v>142</v>
      </c>
      <c r="BU6" s="72"/>
      <c r="BV6" s="32">
        <v>0.000389</v>
      </c>
      <c r="BW6" s="74"/>
      <c r="BX6" s="80" t="s">
        <v>142</v>
      </c>
      <c r="BZ6" s="72"/>
      <c r="CA6" s="32">
        <v>0.0013749</v>
      </c>
      <c r="CB6" s="74"/>
      <c r="CC6" s="80" t="s">
        <v>142</v>
      </c>
      <c r="CE6" s="72"/>
      <c r="CF6" s="32">
        <v>0.0049977</v>
      </c>
      <c r="CG6" s="74"/>
      <c r="CH6" s="80" t="s">
        <v>142</v>
      </c>
      <c r="CJ6" s="72"/>
      <c r="CK6" s="32">
        <v>0.0341296</v>
      </c>
      <c r="CL6" s="74"/>
      <c r="CM6" s="80" t="s">
        <v>142</v>
      </c>
      <c r="CO6" s="72"/>
      <c r="CP6" s="32">
        <v>0.1412511</v>
      </c>
      <c r="CQ6" s="74"/>
      <c r="CR6" s="80" t="s">
        <v>142</v>
      </c>
      <c r="CT6" s="72"/>
      <c r="CU6" s="32">
        <v>0.0259668</v>
      </c>
      <c r="CV6" s="74"/>
      <c r="CW6" s="80" t="s">
        <v>142</v>
      </c>
      <c r="CY6" s="72"/>
      <c r="CZ6" s="32">
        <v>0.0889019</v>
      </c>
      <c r="DA6" s="74"/>
      <c r="DB6" s="80" t="s">
        <v>142</v>
      </c>
      <c r="DD6" s="72"/>
      <c r="DE6" s="32">
        <v>0.0189545</v>
      </c>
      <c r="DF6" s="74"/>
      <c r="DG6" s="80" t="s">
        <v>142</v>
      </c>
      <c r="DI6" s="72"/>
      <c r="DJ6" s="32">
        <v>0.0015442</v>
      </c>
      <c r="DK6" s="74"/>
      <c r="DL6" s="80" t="s">
        <v>142</v>
      </c>
      <c r="DN6" s="72"/>
      <c r="DO6" s="32">
        <v>0.0018417</v>
      </c>
      <c r="DP6" s="74"/>
      <c r="DQ6" s="80" t="s">
        <v>142</v>
      </c>
      <c r="DS6" s="72"/>
      <c r="DT6" s="32">
        <v>0.0037562</v>
      </c>
      <c r="DU6" s="74"/>
      <c r="DV6" s="80" t="s">
        <v>142</v>
      </c>
      <c r="DX6" s="72"/>
      <c r="DY6" s="32">
        <v>0.1035336</v>
      </c>
      <c r="DZ6" s="74"/>
      <c r="EA6" s="80" t="s">
        <v>142</v>
      </c>
      <c r="EB6" s="28"/>
      <c r="EC6" s="72"/>
      <c r="ED6" s="32">
        <v>0.004021</v>
      </c>
      <c r="EE6" s="74"/>
      <c r="EF6" s="80" t="s">
        <v>142</v>
      </c>
      <c r="EH6" s="72"/>
      <c r="EI6" s="32">
        <v>0.0086172</v>
      </c>
      <c r="EJ6" s="74"/>
      <c r="EK6" s="80" t="s">
        <v>142</v>
      </c>
      <c r="EM6" s="72"/>
      <c r="EN6" s="32"/>
      <c r="EO6" s="46"/>
    </row>
    <row r="7" spans="1:145" ht="12.75">
      <c r="A7" s="25"/>
      <c r="C7" s="40" t="s">
        <v>11</v>
      </c>
      <c r="D7" s="40" t="s">
        <v>12</v>
      </c>
      <c r="E7" s="40" t="s">
        <v>4</v>
      </c>
      <c r="F7" s="40" t="s">
        <v>143</v>
      </c>
      <c r="H7" s="40" t="s">
        <v>11</v>
      </c>
      <c r="I7" s="40" t="s">
        <v>12</v>
      </c>
      <c r="J7" s="40" t="s">
        <v>4</v>
      </c>
      <c r="K7" s="40" t="s">
        <v>143</v>
      </c>
      <c r="M7" s="40" t="s">
        <v>11</v>
      </c>
      <c r="N7" s="40" t="s">
        <v>12</v>
      </c>
      <c r="O7" s="40" t="s">
        <v>4</v>
      </c>
      <c r="P7" s="40" t="s">
        <v>143</v>
      </c>
      <c r="R7" s="26" t="s">
        <v>11</v>
      </c>
      <c r="S7" s="26" t="s">
        <v>12</v>
      </c>
      <c r="T7" s="26" t="s">
        <v>4</v>
      </c>
      <c r="U7" s="40" t="s">
        <v>143</v>
      </c>
      <c r="W7" s="26" t="s">
        <v>11</v>
      </c>
      <c r="X7" s="26" t="s">
        <v>12</v>
      </c>
      <c r="Y7" s="26" t="s">
        <v>4</v>
      </c>
      <c r="Z7" s="40" t="s">
        <v>143</v>
      </c>
      <c r="AB7" s="26" t="s">
        <v>11</v>
      </c>
      <c r="AC7" s="26" t="s">
        <v>12</v>
      </c>
      <c r="AD7" s="26" t="s">
        <v>4</v>
      </c>
      <c r="AE7" s="40" t="s">
        <v>143</v>
      </c>
      <c r="AG7" s="26" t="s">
        <v>11</v>
      </c>
      <c r="AH7" s="26" t="s">
        <v>12</v>
      </c>
      <c r="AI7" s="26" t="s">
        <v>4</v>
      </c>
      <c r="AJ7" s="40" t="s">
        <v>143</v>
      </c>
      <c r="AL7" s="26" t="s">
        <v>11</v>
      </c>
      <c r="AM7" s="26" t="s">
        <v>12</v>
      </c>
      <c r="AN7" s="26" t="s">
        <v>4</v>
      </c>
      <c r="AO7" s="40" t="s">
        <v>143</v>
      </c>
      <c r="AQ7" s="26" t="s">
        <v>11</v>
      </c>
      <c r="AR7" s="26" t="s">
        <v>12</v>
      </c>
      <c r="AS7" s="26" t="s">
        <v>4</v>
      </c>
      <c r="AT7" s="40" t="s">
        <v>143</v>
      </c>
      <c r="AV7" s="26" t="s">
        <v>11</v>
      </c>
      <c r="AW7" s="26" t="s">
        <v>12</v>
      </c>
      <c r="AX7" s="26" t="s">
        <v>4</v>
      </c>
      <c r="AY7" s="40" t="s">
        <v>143</v>
      </c>
      <c r="BA7" s="26" t="s">
        <v>11</v>
      </c>
      <c r="BB7" s="26" t="s">
        <v>12</v>
      </c>
      <c r="BC7" s="26" t="s">
        <v>4</v>
      </c>
      <c r="BD7" s="40" t="s">
        <v>143</v>
      </c>
      <c r="BF7" s="26" t="s">
        <v>11</v>
      </c>
      <c r="BG7" s="26" t="s">
        <v>12</v>
      </c>
      <c r="BH7" s="26" t="s">
        <v>4</v>
      </c>
      <c r="BI7" s="40" t="s">
        <v>143</v>
      </c>
      <c r="BK7" s="26" t="s">
        <v>11</v>
      </c>
      <c r="BL7" s="26" t="s">
        <v>12</v>
      </c>
      <c r="BM7" s="26" t="s">
        <v>4</v>
      </c>
      <c r="BN7" s="40" t="s">
        <v>143</v>
      </c>
      <c r="BP7" s="26" t="s">
        <v>11</v>
      </c>
      <c r="BQ7" s="26" t="s">
        <v>12</v>
      </c>
      <c r="BR7" s="26" t="s">
        <v>4</v>
      </c>
      <c r="BS7" s="40" t="s">
        <v>143</v>
      </c>
      <c r="BU7" s="26" t="s">
        <v>11</v>
      </c>
      <c r="BV7" s="26" t="s">
        <v>12</v>
      </c>
      <c r="BW7" s="26" t="s">
        <v>4</v>
      </c>
      <c r="BX7" s="40" t="s">
        <v>143</v>
      </c>
      <c r="BZ7" s="26" t="s">
        <v>11</v>
      </c>
      <c r="CA7" s="26" t="s">
        <v>12</v>
      </c>
      <c r="CB7" s="26" t="s">
        <v>4</v>
      </c>
      <c r="CC7" s="40" t="s">
        <v>143</v>
      </c>
      <c r="CE7" s="26" t="s">
        <v>11</v>
      </c>
      <c r="CF7" s="26" t="s">
        <v>12</v>
      </c>
      <c r="CG7" s="26" t="s">
        <v>4</v>
      </c>
      <c r="CH7" s="40" t="s">
        <v>143</v>
      </c>
      <c r="CJ7" s="26" t="s">
        <v>11</v>
      </c>
      <c r="CK7" s="26" t="s">
        <v>12</v>
      </c>
      <c r="CL7" s="26" t="s">
        <v>4</v>
      </c>
      <c r="CM7" s="40" t="s">
        <v>143</v>
      </c>
      <c r="CO7" s="26" t="s">
        <v>11</v>
      </c>
      <c r="CP7" s="26" t="s">
        <v>12</v>
      </c>
      <c r="CQ7" s="26" t="s">
        <v>4</v>
      </c>
      <c r="CR7" s="40" t="s">
        <v>143</v>
      </c>
      <c r="CT7" s="26" t="s">
        <v>11</v>
      </c>
      <c r="CU7" s="26" t="s">
        <v>12</v>
      </c>
      <c r="CV7" s="26" t="s">
        <v>4</v>
      </c>
      <c r="CW7" s="40" t="s">
        <v>143</v>
      </c>
      <c r="CY7" s="26" t="s">
        <v>11</v>
      </c>
      <c r="CZ7" s="26" t="s">
        <v>12</v>
      </c>
      <c r="DA7" s="26" t="s">
        <v>4</v>
      </c>
      <c r="DB7" s="40" t="s">
        <v>143</v>
      </c>
      <c r="DD7" s="26" t="s">
        <v>11</v>
      </c>
      <c r="DE7" s="26" t="s">
        <v>12</v>
      </c>
      <c r="DF7" s="26" t="s">
        <v>4</v>
      </c>
      <c r="DG7" s="40" t="s">
        <v>143</v>
      </c>
      <c r="DI7" s="26" t="s">
        <v>11</v>
      </c>
      <c r="DJ7" s="26" t="s">
        <v>12</v>
      </c>
      <c r="DK7" s="26" t="s">
        <v>4</v>
      </c>
      <c r="DL7" s="40" t="s">
        <v>143</v>
      </c>
      <c r="DN7" s="26" t="s">
        <v>11</v>
      </c>
      <c r="DO7" s="26" t="s">
        <v>12</v>
      </c>
      <c r="DP7" s="26" t="s">
        <v>4</v>
      </c>
      <c r="DQ7" s="40" t="s">
        <v>143</v>
      </c>
      <c r="DS7" s="26" t="s">
        <v>11</v>
      </c>
      <c r="DT7" s="26" t="s">
        <v>12</v>
      </c>
      <c r="DU7" s="26" t="s">
        <v>4</v>
      </c>
      <c r="DV7" s="40" t="s">
        <v>143</v>
      </c>
      <c r="DX7" s="26" t="s">
        <v>11</v>
      </c>
      <c r="DY7" s="26" t="s">
        <v>12</v>
      </c>
      <c r="DZ7" s="26" t="s">
        <v>4</v>
      </c>
      <c r="EA7" s="40" t="s">
        <v>143</v>
      </c>
      <c r="EB7" s="66"/>
      <c r="EC7" s="26" t="s">
        <v>11</v>
      </c>
      <c r="ED7" s="26" t="s">
        <v>12</v>
      </c>
      <c r="EE7" s="26" t="s">
        <v>4</v>
      </c>
      <c r="EF7" s="40" t="s">
        <v>143</v>
      </c>
      <c r="EH7" s="26" t="s">
        <v>11</v>
      </c>
      <c r="EI7" s="26" t="s">
        <v>12</v>
      </c>
      <c r="EJ7" s="26" t="s">
        <v>4</v>
      </c>
      <c r="EK7" s="40" t="s">
        <v>143</v>
      </c>
      <c r="EM7" s="26" t="s">
        <v>11</v>
      </c>
      <c r="EN7" s="26" t="s">
        <v>12</v>
      </c>
      <c r="EO7" s="26" t="s">
        <v>4</v>
      </c>
    </row>
    <row r="8" spans="1:145" ht="12.75">
      <c r="A8" s="19">
        <v>42278</v>
      </c>
      <c r="D8" s="35">
        <v>1597230</v>
      </c>
      <c r="E8" s="35">
        <f aca="true" t="shared" si="0" ref="E8:E35">C8+D8</f>
        <v>1597230</v>
      </c>
      <c r="F8" s="35">
        <v>96323</v>
      </c>
      <c r="H8" s="51"/>
      <c r="I8" s="51">
        <f>'Academic Project'!M8</f>
        <v>513594.89680499997</v>
      </c>
      <c r="J8" s="51">
        <f>H8+I8</f>
        <v>513594.89680499997</v>
      </c>
      <c r="K8" s="51">
        <f>'Academic Project'!O8</f>
        <v>30972.9977805</v>
      </c>
      <c r="M8" s="51"/>
      <c r="N8" s="41">
        <f aca="true" t="shared" si="1" ref="N8:N35">S8+X8+AC8+AH8+AM8+AR8+AW8+BB8+BG8+BQ8+CA8+CF8+CK8+CP8+CU8+DO8+DT8+DY8+ED8+EI8+EN8+BL8+BV8+CZ8+DE8+DJ8</f>
        <v>1083635.1031950002</v>
      </c>
      <c r="O8" s="33">
        <f aca="true" t="shared" si="2" ref="O8:O35">M8+N8</f>
        <v>1083635.1031950002</v>
      </c>
      <c r="P8" s="41">
        <f aca="true" t="shared" si="3" ref="P8:P35">U8+Z8+AE8+AJ8+AO8+AT8+AY8+BD8+BI8+BS8+CC8+CH8+CM8+CR8+CW8+DQ8+DV8+EA8+EF8+EK8+EP8+BN8+BX8+DB8+DG8+DL8</f>
        <v>65350.00221949999</v>
      </c>
      <c r="R8" s="65"/>
      <c r="S8" s="65">
        <f aca="true" t="shared" si="4" ref="S8:S35">D8*$S$6</f>
        <v>87874.004295</v>
      </c>
      <c r="T8" s="20">
        <f aca="true" t="shared" si="5" ref="T8:T35">R8+S8</f>
        <v>87874.004295</v>
      </c>
      <c r="U8" s="65">
        <f aca="true" t="shared" si="6" ref="U8:U35">S$6*$F8</f>
        <v>5299.3543295</v>
      </c>
      <c r="W8" s="65"/>
      <c r="X8" s="65">
        <f aca="true" t="shared" si="7" ref="X8:X35">D8*$X$6</f>
        <v>107275.23765899999</v>
      </c>
      <c r="Y8" s="20">
        <f aca="true" t="shared" si="8" ref="Y8:Y35">W8+X8</f>
        <v>107275.23765899999</v>
      </c>
      <c r="Z8" s="65">
        <f aca="true" t="shared" si="9" ref="Z8:Z35">X$6*$F8</f>
        <v>6469.370545899999</v>
      </c>
      <c r="AC8" s="33">
        <f aca="true" t="shared" si="10" ref="AC8:AC35">D8*$AC$6</f>
        <v>392.75885700000003</v>
      </c>
      <c r="AD8" s="33">
        <f aca="true" t="shared" si="11" ref="AD8:AD35">AB8+AC8</f>
        <v>392.75885700000003</v>
      </c>
      <c r="AE8" s="65">
        <f aca="true" t="shared" si="12" ref="AE8:AE35">AC$6*$F8</f>
        <v>23.685825700000002</v>
      </c>
      <c r="AG8" s="65"/>
      <c r="AH8" s="65">
        <f aca="true" t="shared" si="13" ref="AH8:AH35">D8*$AH$6</f>
        <v>23185.550403</v>
      </c>
      <c r="AI8" s="20">
        <f aca="true" t="shared" si="14" ref="AI8:AI35">AG8+AH8</f>
        <v>23185.550403</v>
      </c>
      <c r="AJ8" s="65">
        <f aca="true" t="shared" si="15" ref="AJ8:AJ35">AH$6*$F8</f>
        <v>1398.2343003</v>
      </c>
      <c r="AL8" s="65"/>
      <c r="AM8" s="65">
        <f aca="true" t="shared" si="16" ref="AM8:AM35">D8*$AM$6</f>
        <v>106682.984775</v>
      </c>
      <c r="AN8" s="20">
        <f aca="true" t="shared" si="17" ref="AN8:AN35">AL8+AM8</f>
        <v>106682.984775</v>
      </c>
      <c r="AO8" s="65">
        <f aca="true" t="shared" si="18" ref="AO8:AO35">AM$6*$F8</f>
        <v>6433.6539775</v>
      </c>
      <c r="AP8" s="33"/>
      <c r="AQ8" s="65"/>
      <c r="AR8" s="65">
        <f aca="true" t="shared" si="19" ref="AR8:AR35">D8*$AR$6</f>
        <v>16818.193008</v>
      </c>
      <c r="AS8" s="20">
        <f aca="true" t="shared" si="20" ref="AS8:AS35">AQ8+AR8</f>
        <v>16818.193008</v>
      </c>
      <c r="AT8" s="65">
        <f aca="true" t="shared" si="21" ref="AT8:AT35">AR$6*$F8</f>
        <v>1014.2426608</v>
      </c>
      <c r="AU8" s="33"/>
      <c r="AV8" s="51"/>
      <c r="AW8" s="51">
        <f aca="true" t="shared" si="22" ref="AW8:AW35">D8*$AW$6</f>
        <v>934.2198269999999</v>
      </c>
      <c r="AX8" s="33">
        <f aca="true" t="shared" si="23" ref="AX8:AX35">AV8+AW8</f>
        <v>934.2198269999999</v>
      </c>
      <c r="AY8" s="65">
        <f aca="true" t="shared" si="24" ref="AY8:AY35">AW$6*$F8</f>
        <v>56.3393227</v>
      </c>
      <c r="AZ8" s="33"/>
      <c r="BA8" s="33"/>
      <c r="BB8" s="33">
        <f aca="true" t="shared" si="25" ref="BB8:BB35">D8*$BB$6</f>
        <v>10761.017679</v>
      </c>
      <c r="BC8" s="33">
        <f aca="true" t="shared" si="26" ref="BC8:BC35">BA8+BB8</f>
        <v>10761.017679</v>
      </c>
      <c r="BD8" s="65">
        <f aca="true" t="shared" si="27" ref="BD8:BD35">BB$6*$F8</f>
        <v>648.9569479</v>
      </c>
      <c r="BE8" s="33"/>
      <c r="BF8" s="51"/>
      <c r="BG8" s="51">
        <f aca="true" t="shared" si="28" ref="BG8:BG35">D8*$BG$6</f>
        <v>15043.670477999998</v>
      </c>
      <c r="BH8" s="33">
        <f aca="true" t="shared" si="29" ref="BH8:BH35">BF8+BG8</f>
        <v>15043.670477999998</v>
      </c>
      <c r="BI8" s="65">
        <f aca="true" t="shared" si="30" ref="BI8:BI35">BG$6*$F8</f>
        <v>907.2278077999999</v>
      </c>
      <c r="BJ8" s="33"/>
      <c r="BK8" s="51"/>
      <c r="BL8" s="51">
        <f aca="true" t="shared" si="31" ref="BL8:BL35">D8*$BL$6</f>
        <v>2104.510248</v>
      </c>
      <c r="BM8" s="33">
        <f aca="true" t="shared" si="32" ref="BM8:BM35">BK8+BL8</f>
        <v>2104.510248</v>
      </c>
      <c r="BN8" s="65">
        <f aca="true" t="shared" si="33" ref="BN8:BN35">BL$6*$F8</f>
        <v>126.91518479999999</v>
      </c>
      <c r="BO8" s="33"/>
      <c r="BP8" s="51"/>
      <c r="BQ8" s="51">
        <f aca="true" t="shared" si="34" ref="BQ8:BQ35">D8*$BQ$6</f>
        <v>10932.719904</v>
      </c>
      <c r="BR8" s="33">
        <f aca="true" t="shared" si="35" ref="BR8:BR35">BP8+BQ8</f>
        <v>10932.719904</v>
      </c>
      <c r="BS8" s="65">
        <f aca="true" t="shared" si="36" ref="BS8:BS35">BQ$6*$F8</f>
        <v>659.3116704</v>
      </c>
      <c r="BT8" s="33"/>
      <c r="BU8" s="51"/>
      <c r="BV8" s="51">
        <f aca="true" t="shared" si="37" ref="BV8:BV35">D8*$BV$6</f>
        <v>621.3224700000001</v>
      </c>
      <c r="BW8" s="33">
        <f aca="true" t="shared" si="38" ref="BW8:BW35">BU8+BV8</f>
        <v>621.3224700000001</v>
      </c>
      <c r="BX8" s="65">
        <f aca="true" t="shared" si="39" ref="BX8:BX35">BV$6*$F8</f>
        <v>37.469647</v>
      </c>
      <c r="BY8" s="33"/>
      <c r="BZ8" s="51"/>
      <c r="CA8" s="51">
        <f aca="true" t="shared" si="40" ref="CA8:CA35">D8*$CA$6</f>
        <v>2196.031527</v>
      </c>
      <c r="CB8" s="33">
        <f aca="true" t="shared" si="41" ref="CB8:CB35">BZ8+CA8</f>
        <v>2196.031527</v>
      </c>
      <c r="CC8" s="65">
        <f aca="true" t="shared" si="42" ref="CC8:CC35">CA$6*$F8</f>
        <v>132.43449270000002</v>
      </c>
      <c r="CD8" s="33"/>
      <c r="CE8" s="33"/>
      <c r="CF8" s="33">
        <f aca="true" t="shared" si="43" ref="CF8:CF35">D8*$CF$6</f>
        <v>7982.476371</v>
      </c>
      <c r="CG8" s="33">
        <f aca="true" t="shared" si="44" ref="CG8:CG35">CE8+CF8</f>
        <v>7982.476371</v>
      </c>
      <c r="CH8" s="65">
        <f aca="true" t="shared" si="45" ref="CH8:CH35">CF$6*$F8</f>
        <v>481.3934571</v>
      </c>
      <c r="CI8" s="33"/>
      <c r="CJ8" s="51"/>
      <c r="CK8" s="51">
        <f aca="true" t="shared" si="46" ref="CK8:CK35">D8*$CK$6</f>
        <v>54512.821008000006</v>
      </c>
      <c r="CL8" s="33">
        <f aca="true" t="shared" si="47" ref="CL8:CL35">CJ8+CK8</f>
        <v>54512.821008000006</v>
      </c>
      <c r="CM8" s="65">
        <f aca="true" t="shared" si="48" ref="CM8:CM35">CK$6*$F8</f>
        <v>3287.4654608</v>
      </c>
      <c r="CN8" s="33"/>
      <c r="CO8" s="51"/>
      <c r="CP8" s="51">
        <f aca="true" t="shared" si="49" ref="CP8:CP35">D8*$CP$6</f>
        <v>225610.494453</v>
      </c>
      <c r="CQ8" s="33">
        <f aca="true" t="shared" si="50" ref="CQ8:CQ35">CO8+CP8</f>
        <v>225610.494453</v>
      </c>
      <c r="CR8" s="65">
        <f aca="true" t="shared" si="51" ref="CR8:CR35">CP$6*$F8</f>
        <v>13605.729705299998</v>
      </c>
      <c r="CS8" s="33"/>
      <c r="CT8" s="51"/>
      <c r="CU8" s="51">
        <f aca="true" t="shared" si="52" ref="CU8:CU35">D8*$CU$6</f>
        <v>41474.951964</v>
      </c>
      <c r="CV8" s="33">
        <f aca="true" t="shared" si="53" ref="CV8:CV35">CT8+CU8</f>
        <v>41474.951964</v>
      </c>
      <c r="CW8" s="65">
        <f aca="true" t="shared" si="54" ref="CW8:CW35">CU$6*$F8</f>
        <v>2501.2000764</v>
      </c>
      <c r="CX8" s="33"/>
      <c r="CY8" s="51"/>
      <c r="CZ8" s="51">
        <f aca="true" t="shared" si="55" ref="CZ8:CZ35">D8*$CZ$6</f>
        <v>141996.781737</v>
      </c>
      <c r="DA8" s="33">
        <f aca="true" t="shared" si="56" ref="DA8:DA35">CY8+CZ8</f>
        <v>141996.781737</v>
      </c>
      <c r="DB8" s="65">
        <f aca="true" t="shared" si="57" ref="DB8:DB35">CZ$6*$F8</f>
        <v>8563.2977137</v>
      </c>
      <c r="DC8" s="33"/>
      <c r="DD8" s="51"/>
      <c r="DE8" s="51">
        <f aca="true" t="shared" si="58" ref="DE8:DE35">D8*$DE$6</f>
        <v>30274.696034999997</v>
      </c>
      <c r="DF8" s="33">
        <f aca="true" t="shared" si="59" ref="DF8:DF35">DD8+DE8</f>
        <v>30274.696034999997</v>
      </c>
      <c r="DG8" s="65">
        <f aca="true" t="shared" si="60" ref="DG8:DG35">DE$6*$F8</f>
        <v>1825.7543034999999</v>
      </c>
      <c r="DH8" s="33"/>
      <c r="DI8" s="51"/>
      <c r="DJ8" s="51">
        <f aca="true" t="shared" si="61" ref="DJ8:DJ35">D8*$DJ$6</f>
        <v>2466.4425659999997</v>
      </c>
      <c r="DK8" s="33">
        <f aca="true" t="shared" si="62" ref="DK8:DK35">DI8+DJ8</f>
        <v>2466.4425659999997</v>
      </c>
      <c r="DL8" s="65">
        <f aca="true" t="shared" si="63" ref="DL8:DL35">DJ$6*$F8</f>
        <v>148.7419766</v>
      </c>
      <c r="DM8" s="33"/>
      <c r="DN8" s="51"/>
      <c r="DO8" s="51">
        <f aca="true" t="shared" si="64" ref="DO8:DO35">D8*$DO$6</f>
        <v>2941.6184909999997</v>
      </c>
      <c r="DP8" s="33">
        <f aca="true" t="shared" si="65" ref="DP8:DP35">DN8+DO8</f>
        <v>2941.6184909999997</v>
      </c>
      <c r="DQ8" s="65">
        <f aca="true" t="shared" si="66" ref="DQ8:DQ35">DO$6*$F8</f>
        <v>177.3980691</v>
      </c>
      <c r="DR8" s="33"/>
      <c r="DS8" s="51"/>
      <c r="DT8" s="51">
        <f aca="true" t="shared" si="67" ref="DT8:DT35">D8*$DT$6</f>
        <v>5999.515326</v>
      </c>
      <c r="DU8" s="33">
        <f aca="true" t="shared" si="68" ref="DU8:DU35">DS8+DT8</f>
        <v>5999.515326</v>
      </c>
      <c r="DV8" s="65">
        <f aca="true" t="shared" si="69" ref="DV8:DV35">DT$6*$F8</f>
        <v>361.8084526</v>
      </c>
      <c r="DW8" s="33"/>
      <c r="DX8" s="51"/>
      <c r="DY8" s="51">
        <f aca="true" t="shared" si="70" ref="DY8:DY35">D8*$DY$6</f>
        <v>165366.971928</v>
      </c>
      <c r="DZ8" s="33">
        <f aca="true" t="shared" si="71" ref="DZ8:DZ35">DX8+DY8</f>
        <v>165366.971928</v>
      </c>
      <c r="EA8" s="65">
        <f aca="true" t="shared" si="72" ref="EA8:EA35">DY$6*$F8</f>
        <v>9972.6669528</v>
      </c>
      <c r="EB8" s="33"/>
      <c r="EC8" s="33"/>
      <c r="ED8" s="33">
        <f aca="true" t="shared" si="73" ref="ED8:ED35">D8*$ED$6</f>
        <v>6422.46183</v>
      </c>
      <c r="EE8" s="33">
        <f aca="true" t="shared" si="74" ref="EE8:EE35">EC8+ED8</f>
        <v>6422.46183</v>
      </c>
      <c r="EF8" s="65">
        <f aca="true" t="shared" si="75" ref="EF8:EF35">ED$6*$F8</f>
        <v>387.31478300000003</v>
      </c>
      <c r="EG8" s="33"/>
      <c r="EH8" s="51"/>
      <c r="EI8" s="51">
        <f aca="true" t="shared" si="76" ref="EI8:EI35">D8*$EI$6</f>
        <v>13763.650356</v>
      </c>
      <c r="EJ8" s="33">
        <f aca="true" t="shared" si="77" ref="EJ8:EJ35">EH8+EI8</f>
        <v>13763.650356</v>
      </c>
      <c r="EK8" s="65">
        <f aca="true" t="shared" si="78" ref="EK8:EK35">EI$6*$F8</f>
        <v>830.0345556</v>
      </c>
      <c r="EL8" s="33"/>
      <c r="EM8" s="33"/>
      <c r="EN8" s="33"/>
      <c r="EO8" s="33"/>
    </row>
    <row r="9" spans="1:145" ht="12.75">
      <c r="A9" s="19">
        <v>42461</v>
      </c>
      <c r="C9" s="35">
        <v>4135000</v>
      </c>
      <c r="D9" s="35">
        <v>1597230</v>
      </c>
      <c r="E9" s="35">
        <f t="shared" si="0"/>
        <v>5732230</v>
      </c>
      <c r="F9" s="35">
        <f>83124-2</f>
        <v>83122</v>
      </c>
      <c r="H9" s="51">
        <f>'Academic Project'!L9</f>
        <v>1329623.7224999997</v>
      </c>
      <c r="I9" s="51">
        <f>'Academic Project'!M9</f>
        <v>513594.89680499997</v>
      </c>
      <c r="J9" s="51">
        <f aca="true" t="shared" si="79" ref="J9:J35">H9+I9</f>
        <v>1843218.6193049997</v>
      </c>
      <c r="K9" s="51">
        <f>'Academic Project'!O9</f>
        <v>26728.170026999996</v>
      </c>
      <c r="M9" s="51">
        <f aca="true" t="shared" si="80" ref="M9:M35">R9+W9+AB9+AG9+AL9+AQ9+AV9+BA9+BF9+BP9+BZ9+CE9+CJ9+CO9+CT9+DN9+DS9+DX9+EC9+EH9+EM9+BK9+BU9+CY9+DD9+DI9</f>
        <v>2805376.2775000003</v>
      </c>
      <c r="N9" s="41">
        <f t="shared" si="1"/>
        <v>1083635.1031950002</v>
      </c>
      <c r="O9" s="33">
        <f t="shared" si="2"/>
        <v>3889011.3806950003</v>
      </c>
      <c r="P9" s="41">
        <f t="shared" si="3"/>
        <v>56393.829973</v>
      </c>
      <c r="R9" s="65">
        <f aca="true" t="shared" si="81" ref="R9:R35">C9*$S$6</f>
        <v>227493.2275</v>
      </c>
      <c r="S9" s="65">
        <f t="shared" si="4"/>
        <v>87874.004295</v>
      </c>
      <c r="T9" s="20">
        <f t="shared" si="5"/>
        <v>315367.231795</v>
      </c>
      <c r="U9" s="65">
        <f t="shared" si="6"/>
        <v>4573.081513</v>
      </c>
      <c r="W9" s="65">
        <f aca="true" t="shared" si="82" ref="W9:W35">C9*$X$6</f>
        <v>277720.24549999996</v>
      </c>
      <c r="X9" s="65">
        <f t="shared" si="7"/>
        <v>107275.23765899999</v>
      </c>
      <c r="Y9" s="20">
        <f t="shared" si="8"/>
        <v>384995.48315899994</v>
      </c>
      <c r="Z9" s="65">
        <f t="shared" si="9"/>
        <v>5582.747822599999</v>
      </c>
      <c r="AB9" s="33">
        <f aca="true" t="shared" si="83" ref="AB9:AB35">C9*$AC$6</f>
        <v>1016.7965</v>
      </c>
      <c r="AC9" s="33">
        <f t="shared" si="10"/>
        <v>392.75885700000003</v>
      </c>
      <c r="AD9" s="33">
        <f t="shared" si="11"/>
        <v>1409.5553570000002</v>
      </c>
      <c r="AE9" s="65">
        <f t="shared" si="12"/>
        <v>20.4396998</v>
      </c>
      <c r="AG9" s="65">
        <f aca="true" t="shared" si="84" ref="AG9:AG35">C9*$AH$6</f>
        <v>60024.0735</v>
      </c>
      <c r="AH9" s="65">
        <f t="shared" si="13"/>
        <v>23185.550403</v>
      </c>
      <c r="AI9" s="20">
        <f t="shared" si="14"/>
        <v>83209.623903</v>
      </c>
      <c r="AJ9" s="65">
        <f t="shared" si="15"/>
        <v>1206.6072642000001</v>
      </c>
      <c r="AL9" s="65">
        <f aca="true" t="shared" si="85" ref="AL9:AL35">C9*$AM$6</f>
        <v>276186.98750000005</v>
      </c>
      <c r="AM9" s="65">
        <f t="shared" si="16"/>
        <v>106682.984775</v>
      </c>
      <c r="AN9" s="20">
        <f t="shared" si="17"/>
        <v>382869.97227500007</v>
      </c>
      <c r="AO9" s="65">
        <f t="shared" si="18"/>
        <v>5551.926185</v>
      </c>
      <c r="AP9" s="33"/>
      <c r="AQ9" s="65">
        <f aca="true" t="shared" si="86" ref="AQ9:AQ35">C9*$AR$6</f>
        <v>43539.896</v>
      </c>
      <c r="AR9" s="65">
        <f t="shared" si="19"/>
        <v>16818.193008</v>
      </c>
      <c r="AS9" s="20">
        <f t="shared" si="20"/>
        <v>60358.089007999995</v>
      </c>
      <c r="AT9" s="65">
        <f t="shared" si="21"/>
        <v>875.2414112</v>
      </c>
      <c r="AU9" s="33"/>
      <c r="AV9" s="51">
        <f aca="true" t="shared" si="87" ref="AV9:AV35">C9*$AW$6</f>
        <v>2418.5615</v>
      </c>
      <c r="AW9" s="51">
        <f t="shared" si="22"/>
        <v>934.2198269999999</v>
      </c>
      <c r="AX9" s="33">
        <f t="shared" si="23"/>
        <v>3352.7813269999997</v>
      </c>
      <c r="AY9" s="65">
        <f t="shared" si="24"/>
        <v>48.618057799999995</v>
      </c>
      <c r="AZ9" s="33"/>
      <c r="BA9" s="33">
        <f aca="true" t="shared" si="88" ref="BA9:BA35">C9*$BB$6</f>
        <v>27858.7355</v>
      </c>
      <c r="BB9" s="33">
        <f t="shared" si="25"/>
        <v>10761.017679</v>
      </c>
      <c r="BC9" s="33">
        <f t="shared" si="26"/>
        <v>38619.753179</v>
      </c>
      <c r="BD9" s="65">
        <f t="shared" si="27"/>
        <v>560.0178506</v>
      </c>
      <c r="BE9" s="33"/>
      <c r="BF9" s="51">
        <f aca="true" t="shared" si="89" ref="BF9:BF35">C9*$BG$6</f>
        <v>38945.911</v>
      </c>
      <c r="BG9" s="51">
        <f t="shared" si="28"/>
        <v>15043.670477999998</v>
      </c>
      <c r="BH9" s="33">
        <f t="shared" si="29"/>
        <v>53989.581478</v>
      </c>
      <c r="BI9" s="65">
        <f t="shared" si="30"/>
        <v>782.8928692</v>
      </c>
      <c r="BJ9" s="33"/>
      <c r="BK9" s="51">
        <f aca="true" t="shared" si="90" ref="BK9:BK35">C9*$BL$6</f>
        <v>5448.276</v>
      </c>
      <c r="BL9" s="51">
        <f t="shared" si="31"/>
        <v>2104.510248</v>
      </c>
      <c r="BM9" s="33">
        <f t="shared" si="32"/>
        <v>7552.786248</v>
      </c>
      <c r="BN9" s="65">
        <f t="shared" si="33"/>
        <v>109.5215472</v>
      </c>
      <c r="BO9" s="33"/>
      <c r="BP9" s="51">
        <f aca="true" t="shared" si="91" ref="BP9:BP35">C9*$BQ$6</f>
        <v>28303.248</v>
      </c>
      <c r="BQ9" s="51">
        <f t="shared" si="34"/>
        <v>10932.719904</v>
      </c>
      <c r="BR9" s="33">
        <f t="shared" si="35"/>
        <v>39235.967904</v>
      </c>
      <c r="BS9" s="65">
        <f t="shared" si="36"/>
        <v>568.9534656</v>
      </c>
      <c r="BT9" s="33"/>
      <c r="BU9" s="51">
        <f aca="true" t="shared" si="92" ref="BU9:BU35">C9*$BV$6</f>
        <v>1608.515</v>
      </c>
      <c r="BV9" s="51">
        <f t="shared" si="37"/>
        <v>621.3224700000001</v>
      </c>
      <c r="BW9" s="33">
        <f t="shared" si="38"/>
        <v>2229.8374700000004</v>
      </c>
      <c r="BX9" s="65">
        <f t="shared" si="39"/>
        <v>32.334458000000005</v>
      </c>
      <c r="BY9" s="33"/>
      <c r="BZ9" s="51">
        <f aca="true" t="shared" si="93" ref="BZ9:BZ35">C9*$CA$6</f>
        <v>5685.2115</v>
      </c>
      <c r="CA9" s="51">
        <f t="shared" si="40"/>
        <v>2196.031527</v>
      </c>
      <c r="CB9" s="33">
        <f t="shared" si="41"/>
        <v>7881.243027</v>
      </c>
      <c r="CC9" s="65">
        <f t="shared" si="42"/>
        <v>114.2844378</v>
      </c>
      <c r="CD9" s="33"/>
      <c r="CE9" s="33">
        <f aca="true" t="shared" si="94" ref="CE9:CE35">C9*$CF$6</f>
        <v>20665.4895</v>
      </c>
      <c r="CF9" s="33">
        <f t="shared" si="43"/>
        <v>7982.476371</v>
      </c>
      <c r="CG9" s="33">
        <f t="shared" si="44"/>
        <v>28647.965871</v>
      </c>
      <c r="CH9" s="65">
        <f t="shared" si="45"/>
        <v>415.4188194</v>
      </c>
      <c r="CI9" s="33"/>
      <c r="CJ9" s="51">
        <f aca="true" t="shared" si="95" ref="CJ9:CJ35">C9*$CK$6</f>
        <v>141125.896</v>
      </c>
      <c r="CK9" s="51">
        <f t="shared" si="46"/>
        <v>54512.821008000006</v>
      </c>
      <c r="CL9" s="33">
        <f t="shared" si="47"/>
        <v>195638.717008</v>
      </c>
      <c r="CM9" s="65">
        <f t="shared" si="48"/>
        <v>2836.9206112</v>
      </c>
      <c r="CN9" s="33"/>
      <c r="CO9" s="51">
        <f aca="true" t="shared" si="96" ref="CO9:CO35">C9*$CP$6</f>
        <v>584073.2984999999</v>
      </c>
      <c r="CP9" s="51">
        <f t="shared" si="49"/>
        <v>225610.494453</v>
      </c>
      <c r="CQ9" s="33">
        <f t="shared" si="50"/>
        <v>809683.7929529999</v>
      </c>
      <c r="CR9" s="65">
        <f t="shared" si="51"/>
        <v>11741.0739342</v>
      </c>
      <c r="CS9" s="33"/>
      <c r="CT9" s="51">
        <f aca="true" t="shared" si="97" ref="CT9:CT35">C9*$CU$6</f>
        <v>107372.71800000001</v>
      </c>
      <c r="CU9" s="51">
        <f t="shared" si="52"/>
        <v>41474.951964</v>
      </c>
      <c r="CV9" s="33">
        <f t="shared" si="53"/>
        <v>148847.669964</v>
      </c>
      <c r="CW9" s="65">
        <f t="shared" si="54"/>
        <v>2158.4123496</v>
      </c>
      <c r="CX9" s="33"/>
      <c r="CY9" s="51">
        <f aca="true" t="shared" si="98" ref="CY9:CY35">C9*$CZ$6</f>
        <v>367609.35650000005</v>
      </c>
      <c r="CZ9" s="51">
        <f t="shared" si="55"/>
        <v>141996.781737</v>
      </c>
      <c r="DA9" s="33">
        <f t="shared" si="56"/>
        <v>509606.1382370001</v>
      </c>
      <c r="DB9" s="65">
        <f t="shared" si="57"/>
        <v>7389.7037318</v>
      </c>
      <c r="DC9" s="33"/>
      <c r="DD9" s="51">
        <f aca="true" t="shared" si="99" ref="DD9:DD35">C9*$DE$6</f>
        <v>78376.8575</v>
      </c>
      <c r="DE9" s="51">
        <f t="shared" si="58"/>
        <v>30274.696034999997</v>
      </c>
      <c r="DF9" s="33">
        <f t="shared" si="59"/>
        <v>108651.553535</v>
      </c>
      <c r="DG9" s="65">
        <f t="shared" si="60"/>
        <v>1575.5359489999998</v>
      </c>
      <c r="DH9" s="33"/>
      <c r="DI9" s="51">
        <f aca="true" t="shared" si="100" ref="DI9:DI35">C9*$DJ$6</f>
        <v>6385.267</v>
      </c>
      <c r="DJ9" s="51">
        <f t="shared" si="61"/>
        <v>2466.4425659999997</v>
      </c>
      <c r="DK9" s="33">
        <f t="shared" si="62"/>
        <v>8851.709566</v>
      </c>
      <c r="DL9" s="65">
        <f t="shared" si="63"/>
        <v>128.3569924</v>
      </c>
      <c r="DM9" s="33"/>
      <c r="DN9" s="51">
        <f aca="true" t="shared" si="101" ref="DN9:DN35">C9*$DO$6</f>
        <v>7615.429499999999</v>
      </c>
      <c r="DO9" s="51">
        <f t="shared" si="64"/>
        <v>2941.6184909999997</v>
      </c>
      <c r="DP9" s="33">
        <f t="shared" si="65"/>
        <v>10557.047991</v>
      </c>
      <c r="DQ9" s="65">
        <f t="shared" si="66"/>
        <v>153.0857874</v>
      </c>
      <c r="DR9" s="33"/>
      <c r="DS9" s="51">
        <f aca="true" t="shared" si="102" ref="DS9:DS35">C9*$DT$6</f>
        <v>15531.886999999999</v>
      </c>
      <c r="DT9" s="51">
        <f t="shared" si="67"/>
        <v>5999.515326</v>
      </c>
      <c r="DU9" s="33">
        <f t="shared" si="68"/>
        <v>21531.402326</v>
      </c>
      <c r="DV9" s="65">
        <f t="shared" si="69"/>
        <v>312.2228564</v>
      </c>
      <c r="DW9" s="33"/>
      <c r="DX9" s="51">
        <f aca="true" t="shared" si="103" ref="DX9:DX35">C9*$DY$6</f>
        <v>428111.436</v>
      </c>
      <c r="DY9" s="51">
        <f t="shared" si="70"/>
        <v>165366.971928</v>
      </c>
      <c r="DZ9" s="33">
        <f t="shared" si="71"/>
        <v>593478.407928</v>
      </c>
      <c r="EA9" s="65">
        <f t="shared" si="72"/>
        <v>8605.9198992</v>
      </c>
      <c r="EB9" s="33"/>
      <c r="EC9" s="33">
        <f aca="true" t="shared" si="104" ref="EC9:EC35">C9*$ED$6</f>
        <v>16626.835000000003</v>
      </c>
      <c r="ED9" s="33">
        <f t="shared" si="73"/>
        <v>6422.46183</v>
      </c>
      <c r="EE9" s="33">
        <f t="shared" si="74"/>
        <v>23049.296830000003</v>
      </c>
      <c r="EF9" s="65">
        <f t="shared" si="75"/>
        <v>334.233562</v>
      </c>
      <c r="EG9" s="33"/>
      <c r="EH9" s="51">
        <f aca="true" t="shared" si="105" ref="EH9:EH35">C9*$EI$6</f>
        <v>35632.122</v>
      </c>
      <c r="EI9" s="51">
        <f t="shared" si="76"/>
        <v>13763.650356</v>
      </c>
      <c r="EJ9" s="33">
        <f t="shared" si="77"/>
        <v>49395.772356</v>
      </c>
      <c r="EK9" s="65">
        <f t="shared" si="78"/>
        <v>716.2788984</v>
      </c>
      <c r="EL9" s="33"/>
      <c r="EM9" s="33"/>
      <c r="EN9" s="33"/>
      <c r="EO9" s="33"/>
    </row>
    <row r="10" spans="1:145" ht="12.75">
      <c r="A10" s="19">
        <v>42644</v>
      </c>
      <c r="D10" s="35">
        <v>1280655</v>
      </c>
      <c r="E10" s="35">
        <f t="shared" si="0"/>
        <v>1280655</v>
      </c>
      <c r="F10" s="35">
        <v>83124</v>
      </c>
      <c r="H10" s="51"/>
      <c r="I10" s="51">
        <f>'Academic Project'!M10</f>
        <v>411799.0975425</v>
      </c>
      <c r="J10" s="51">
        <f t="shared" si="79"/>
        <v>411799.0975425</v>
      </c>
      <c r="K10" s="51">
        <f>'Academic Project'!O10</f>
        <v>26728.813133999996</v>
      </c>
      <c r="M10" s="51"/>
      <c r="N10" s="41">
        <f t="shared" si="1"/>
        <v>868855.9024574999</v>
      </c>
      <c r="O10" s="33">
        <f t="shared" si="2"/>
        <v>868855.9024574999</v>
      </c>
      <c r="P10" s="41">
        <f t="shared" si="3"/>
        <v>56395.186866000004</v>
      </c>
      <c r="R10" s="65"/>
      <c r="S10" s="65">
        <f t="shared" si="4"/>
        <v>70457.1558075</v>
      </c>
      <c r="T10" s="20">
        <f t="shared" si="5"/>
        <v>70457.1558075</v>
      </c>
      <c r="U10" s="65">
        <f t="shared" si="6"/>
        <v>4573.191546</v>
      </c>
      <c r="W10" s="65"/>
      <c r="X10" s="65">
        <f t="shared" si="7"/>
        <v>86013.0159615</v>
      </c>
      <c r="Y10" s="20">
        <f t="shared" si="8"/>
        <v>86013.0159615</v>
      </c>
      <c r="Z10" s="65">
        <f t="shared" si="9"/>
        <v>5582.8821492</v>
      </c>
      <c r="AC10" s="33">
        <f t="shared" si="10"/>
        <v>314.9130645</v>
      </c>
      <c r="AD10" s="33">
        <f t="shared" si="11"/>
        <v>314.9130645</v>
      </c>
      <c r="AE10" s="65">
        <f t="shared" si="12"/>
        <v>20.440191600000002</v>
      </c>
      <c r="AG10" s="65"/>
      <c r="AH10" s="65">
        <f t="shared" si="13"/>
        <v>18590.1160455</v>
      </c>
      <c r="AI10" s="20">
        <f t="shared" si="14"/>
        <v>18590.1160455</v>
      </c>
      <c r="AJ10" s="65">
        <f t="shared" si="15"/>
        <v>1206.6362964</v>
      </c>
      <c r="AL10" s="65"/>
      <c r="AM10" s="65">
        <f t="shared" si="16"/>
        <v>85538.1490875</v>
      </c>
      <c r="AN10" s="20">
        <f t="shared" si="17"/>
        <v>85538.1490875</v>
      </c>
      <c r="AO10" s="65">
        <f t="shared" si="18"/>
        <v>5552.059770000001</v>
      </c>
      <c r="AP10" s="33"/>
      <c r="AQ10" s="65"/>
      <c r="AR10" s="65">
        <f t="shared" si="19"/>
        <v>13484.784888</v>
      </c>
      <c r="AS10" s="20">
        <f t="shared" si="20"/>
        <v>13484.784888</v>
      </c>
      <c r="AT10" s="65">
        <f t="shared" si="21"/>
        <v>875.2624704</v>
      </c>
      <c r="AU10" s="33"/>
      <c r="AV10" s="51"/>
      <c r="AW10" s="51">
        <f t="shared" si="22"/>
        <v>749.0551095</v>
      </c>
      <c r="AX10" s="33">
        <f t="shared" si="23"/>
        <v>749.0551095</v>
      </c>
      <c r="AY10" s="65">
        <f t="shared" si="24"/>
        <v>48.619227599999995</v>
      </c>
      <c r="AZ10" s="33"/>
      <c r="BA10" s="33"/>
      <c r="BB10" s="33">
        <f t="shared" si="25"/>
        <v>8628.1569315</v>
      </c>
      <c r="BC10" s="33">
        <f t="shared" si="26"/>
        <v>8628.1569315</v>
      </c>
      <c r="BD10" s="65">
        <f t="shared" si="27"/>
        <v>560.0313252</v>
      </c>
      <c r="BE10" s="33"/>
      <c r="BF10" s="51"/>
      <c r="BG10" s="51">
        <f t="shared" si="28"/>
        <v>12061.977182999999</v>
      </c>
      <c r="BH10" s="33">
        <f t="shared" si="29"/>
        <v>12061.977182999999</v>
      </c>
      <c r="BI10" s="65">
        <f t="shared" si="30"/>
        <v>782.9117064</v>
      </c>
      <c r="BJ10" s="33"/>
      <c r="BK10" s="51"/>
      <c r="BL10" s="51">
        <f t="shared" si="31"/>
        <v>1687.391028</v>
      </c>
      <c r="BM10" s="33">
        <f t="shared" si="32"/>
        <v>1687.391028</v>
      </c>
      <c r="BN10" s="65">
        <f t="shared" si="33"/>
        <v>109.5241824</v>
      </c>
      <c r="BO10" s="33"/>
      <c r="BP10" s="51"/>
      <c r="BQ10" s="51">
        <f t="shared" si="34"/>
        <v>8765.827344</v>
      </c>
      <c r="BR10" s="33">
        <f t="shared" si="35"/>
        <v>8765.827344</v>
      </c>
      <c r="BS10" s="65">
        <f t="shared" si="36"/>
        <v>568.9671552</v>
      </c>
      <c r="BT10" s="33"/>
      <c r="BU10" s="51"/>
      <c r="BV10" s="51">
        <f t="shared" si="37"/>
        <v>498.174795</v>
      </c>
      <c r="BW10" s="33">
        <f t="shared" si="38"/>
        <v>498.174795</v>
      </c>
      <c r="BX10" s="65">
        <f t="shared" si="39"/>
        <v>32.335236</v>
      </c>
      <c r="BY10" s="33"/>
      <c r="BZ10" s="51"/>
      <c r="CA10" s="51">
        <f t="shared" si="40"/>
        <v>1760.7725595000002</v>
      </c>
      <c r="CB10" s="33">
        <f t="shared" si="41"/>
        <v>1760.7725595000002</v>
      </c>
      <c r="CC10" s="65">
        <f t="shared" si="42"/>
        <v>114.28718760000001</v>
      </c>
      <c r="CD10" s="33"/>
      <c r="CE10" s="33"/>
      <c r="CF10" s="33">
        <f t="shared" si="43"/>
        <v>6400.329493499999</v>
      </c>
      <c r="CG10" s="33">
        <f t="shared" si="44"/>
        <v>6400.329493499999</v>
      </c>
      <c r="CH10" s="65">
        <f t="shared" si="45"/>
        <v>415.4288148</v>
      </c>
      <c r="CI10" s="33"/>
      <c r="CJ10" s="51"/>
      <c r="CK10" s="51">
        <f t="shared" si="46"/>
        <v>43708.242888</v>
      </c>
      <c r="CL10" s="33">
        <f t="shared" si="47"/>
        <v>43708.242888</v>
      </c>
      <c r="CM10" s="65">
        <f t="shared" si="48"/>
        <v>2836.9888704000005</v>
      </c>
      <c r="CN10" s="33"/>
      <c r="CO10" s="51"/>
      <c r="CP10" s="51">
        <f t="shared" si="49"/>
        <v>180893.9274705</v>
      </c>
      <c r="CQ10" s="33">
        <f t="shared" si="50"/>
        <v>180893.9274705</v>
      </c>
      <c r="CR10" s="65">
        <f t="shared" si="51"/>
        <v>11741.3564364</v>
      </c>
      <c r="CS10" s="33"/>
      <c r="CT10" s="51"/>
      <c r="CU10" s="51">
        <f t="shared" si="52"/>
        <v>33254.512254</v>
      </c>
      <c r="CV10" s="33">
        <f t="shared" si="53"/>
        <v>33254.512254</v>
      </c>
      <c r="CW10" s="65">
        <f t="shared" si="54"/>
        <v>2158.4642832</v>
      </c>
      <c r="CX10" s="33"/>
      <c r="CY10" s="51"/>
      <c r="CZ10" s="51">
        <f t="shared" si="55"/>
        <v>113852.6627445</v>
      </c>
      <c r="DA10" s="33">
        <f t="shared" si="56"/>
        <v>113852.6627445</v>
      </c>
      <c r="DB10" s="65">
        <f t="shared" si="57"/>
        <v>7389.8815356000005</v>
      </c>
      <c r="DC10" s="33"/>
      <c r="DD10" s="51"/>
      <c r="DE10" s="51">
        <f t="shared" si="58"/>
        <v>24274.1751975</v>
      </c>
      <c r="DF10" s="33">
        <f t="shared" si="59"/>
        <v>24274.1751975</v>
      </c>
      <c r="DG10" s="65">
        <f t="shared" si="60"/>
        <v>1575.573858</v>
      </c>
      <c r="DH10" s="33"/>
      <c r="DI10" s="51"/>
      <c r="DJ10" s="51">
        <f t="shared" si="61"/>
        <v>1977.5874509999999</v>
      </c>
      <c r="DK10" s="33">
        <f t="shared" si="62"/>
        <v>1977.5874509999999</v>
      </c>
      <c r="DL10" s="65">
        <f t="shared" si="63"/>
        <v>128.3600808</v>
      </c>
      <c r="DM10" s="33"/>
      <c r="DN10" s="51"/>
      <c r="DO10" s="51">
        <f t="shared" si="64"/>
        <v>2358.5823135</v>
      </c>
      <c r="DP10" s="33">
        <f t="shared" si="65"/>
        <v>2358.5823135</v>
      </c>
      <c r="DQ10" s="65">
        <f t="shared" si="66"/>
        <v>153.0894708</v>
      </c>
      <c r="DR10" s="33"/>
      <c r="DS10" s="51"/>
      <c r="DT10" s="51">
        <f t="shared" si="67"/>
        <v>4810.3963109999995</v>
      </c>
      <c r="DU10" s="33">
        <f t="shared" si="68"/>
        <v>4810.3963109999995</v>
      </c>
      <c r="DV10" s="65">
        <f t="shared" si="69"/>
        <v>312.2303688</v>
      </c>
      <c r="DW10" s="33"/>
      <c r="DX10" s="51"/>
      <c r="DY10" s="51">
        <f t="shared" si="70"/>
        <v>132590.822508</v>
      </c>
      <c r="DZ10" s="33">
        <f t="shared" si="71"/>
        <v>132590.822508</v>
      </c>
      <c r="EA10" s="65">
        <f t="shared" si="72"/>
        <v>8606.126966400001</v>
      </c>
      <c r="EB10" s="33"/>
      <c r="EC10" s="33"/>
      <c r="ED10" s="33">
        <f t="shared" si="73"/>
        <v>5149.513755</v>
      </c>
      <c r="EE10" s="33">
        <f t="shared" si="74"/>
        <v>5149.513755</v>
      </c>
      <c r="EF10" s="65">
        <f t="shared" si="75"/>
        <v>334.241604</v>
      </c>
      <c r="EG10" s="33"/>
      <c r="EH10" s="51"/>
      <c r="EI10" s="51">
        <f t="shared" si="76"/>
        <v>11035.660266</v>
      </c>
      <c r="EJ10" s="33">
        <f t="shared" si="77"/>
        <v>11035.660266</v>
      </c>
      <c r="EK10" s="65">
        <f t="shared" si="78"/>
        <v>716.2961328</v>
      </c>
      <c r="EL10" s="33"/>
      <c r="EM10" s="33"/>
      <c r="EN10" s="33"/>
      <c r="EO10" s="33"/>
    </row>
    <row r="11" spans="1:145" ht="12.75">
      <c r="A11" s="19">
        <v>42826</v>
      </c>
      <c r="C11" s="35">
        <v>4340000</v>
      </c>
      <c r="D11" s="35">
        <v>1280655</v>
      </c>
      <c r="E11" s="35">
        <f t="shared" si="0"/>
        <v>5620655</v>
      </c>
      <c r="F11" s="35">
        <v>83124</v>
      </c>
      <c r="H11" s="51">
        <f>'Academic Project'!L11</f>
        <v>1395542.19</v>
      </c>
      <c r="I11" s="51">
        <f>'Academic Project'!M11</f>
        <v>411799.0975425</v>
      </c>
      <c r="J11" s="51">
        <f t="shared" si="79"/>
        <v>1807341.2875425</v>
      </c>
      <c r="K11" s="51">
        <f>'Academic Project'!O11</f>
        <v>26728.813133999996</v>
      </c>
      <c r="M11" s="51">
        <f t="shared" si="80"/>
        <v>2944457.8100000005</v>
      </c>
      <c r="N11" s="41">
        <f t="shared" si="1"/>
        <v>868855.9024574999</v>
      </c>
      <c r="O11" s="33">
        <f t="shared" si="2"/>
        <v>3813313.7124575004</v>
      </c>
      <c r="P11" s="41">
        <f t="shared" si="3"/>
        <v>56395.186866000004</v>
      </c>
      <c r="R11" s="65">
        <f t="shared" si="81"/>
        <v>238771.61000000002</v>
      </c>
      <c r="S11" s="65">
        <f t="shared" si="4"/>
        <v>70457.1558075</v>
      </c>
      <c r="T11" s="20">
        <f t="shared" si="5"/>
        <v>309228.7658075</v>
      </c>
      <c r="U11" s="65">
        <f t="shared" si="6"/>
        <v>4573.191546</v>
      </c>
      <c r="W11" s="65">
        <f t="shared" si="82"/>
        <v>291488.72199999995</v>
      </c>
      <c r="X11" s="65">
        <f t="shared" si="7"/>
        <v>86013.0159615</v>
      </c>
      <c r="Y11" s="20">
        <f t="shared" si="8"/>
        <v>377501.73796149995</v>
      </c>
      <c r="Z11" s="65">
        <f t="shared" si="9"/>
        <v>5582.8821492</v>
      </c>
      <c r="AB11" s="33">
        <f t="shared" si="83"/>
        <v>1067.2060000000001</v>
      </c>
      <c r="AC11" s="33">
        <f t="shared" si="10"/>
        <v>314.9130645</v>
      </c>
      <c r="AD11" s="33">
        <f t="shared" si="11"/>
        <v>1382.1190645000001</v>
      </c>
      <c r="AE11" s="65">
        <f t="shared" si="12"/>
        <v>20.440191600000002</v>
      </c>
      <c r="AG11" s="65">
        <f t="shared" si="84"/>
        <v>62999.874</v>
      </c>
      <c r="AH11" s="65">
        <f t="shared" si="13"/>
        <v>18590.1160455</v>
      </c>
      <c r="AI11" s="20">
        <f t="shared" si="14"/>
        <v>81589.9900455</v>
      </c>
      <c r="AJ11" s="65">
        <f t="shared" si="15"/>
        <v>1206.6362964</v>
      </c>
      <c r="AL11" s="65">
        <f t="shared" si="85"/>
        <v>289879.45</v>
      </c>
      <c r="AM11" s="65">
        <f t="shared" si="16"/>
        <v>85538.1490875</v>
      </c>
      <c r="AN11" s="20">
        <f t="shared" si="17"/>
        <v>375417.5990875</v>
      </c>
      <c r="AO11" s="65">
        <f t="shared" si="18"/>
        <v>5552.059770000001</v>
      </c>
      <c r="AP11" s="33"/>
      <c r="AQ11" s="65">
        <f t="shared" si="86"/>
        <v>45698.464</v>
      </c>
      <c r="AR11" s="65">
        <f t="shared" si="19"/>
        <v>13484.784888</v>
      </c>
      <c r="AS11" s="20">
        <f t="shared" si="20"/>
        <v>59183.248888</v>
      </c>
      <c r="AT11" s="65">
        <f t="shared" si="21"/>
        <v>875.2624704</v>
      </c>
      <c r="AU11" s="33"/>
      <c r="AV11" s="51">
        <f t="shared" si="87"/>
        <v>2538.466</v>
      </c>
      <c r="AW11" s="51">
        <f t="shared" si="22"/>
        <v>749.0551095</v>
      </c>
      <c r="AX11" s="33">
        <f t="shared" si="23"/>
        <v>3287.5211095</v>
      </c>
      <c r="AY11" s="65">
        <f t="shared" si="24"/>
        <v>48.619227599999995</v>
      </c>
      <c r="AZ11" s="33"/>
      <c r="BA11" s="33">
        <f t="shared" si="88"/>
        <v>29239.881999999998</v>
      </c>
      <c r="BB11" s="33">
        <f t="shared" si="25"/>
        <v>8628.1569315</v>
      </c>
      <c r="BC11" s="33">
        <f t="shared" si="26"/>
        <v>37868.0389315</v>
      </c>
      <c r="BD11" s="65">
        <f t="shared" si="27"/>
        <v>560.0313252</v>
      </c>
      <c r="BE11" s="33"/>
      <c r="BF11" s="51">
        <f t="shared" si="89"/>
        <v>40876.723999999995</v>
      </c>
      <c r="BG11" s="51">
        <f t="shared" si="28"/>
        <v>12061.977182999999</v>
      </c>
      <c r="BH11" s="33">
        <f t="shared" si="29"/>
        <v>52938.701183</v>
      </c>
      <c r="BI11" s="65">
        <f t="shared" si="30"/>
        <v>782.9117064</v>
      </c>
      <c r="BJ11" s="33"/>
      <c r="BK11" s="51">
        <f t="shared" si="90"/>
        <v>5718.384</v>
      </c>
      <c r="BL11" s="51">
        <f t="shared" si="31"/>
        <v>1687.391028</v>
      </c>
      <c r="BM11" s="33">
        <f t="shared" si="32"/>
        <v>7405.775028</v>
      </c>
      <c r="BN11" s="65">
        <f t="shared" si="33"/>
        <v>109.5241824</v>
      </c>
      <c r="BO11" s="33"/>
      <c r="BP11" s="51">
        <f t="shared" si="91"/>
        <v>29706.432</v>
      </c>
      <c r="BQ11" s="51">
        <f t="shared" si="34"/>
        <v>8765.827344</v>
      </c>
      <c r="BR11" s="33">
        <f t="shared" si="35"/>
        <v>38472.259344</v>
      </c>
      <c r="BS11" s="65">
        <f t="shared" si="36"/>
        <v>568.9671552</v>
      </c>
      <c r="BT11" s="33"/>
      <c r="BU11" s="51">
        <f t="shared" si="92"/>
        <v>1688.26</v>
      </c>
      <c r="BV11" s="51">
        <f t="shared" si="37"/>
        <v>498.174795</v>
      </c>
      <c r="BW11" s="33">
        <f t="shared" si="38"/>
        <v>2186.434795</v>
      </c>
      <c r="BX11" s="65">
        <f t="shared" si="39"/>
        <v>32.335236</v>
      </c>
      <c r="BY11" s="33"/>
      <c r="BZ11" s="51">
        <f t="shared" si="93"/>
        <v>5967.066000000001</v>
      </c>
      <c r="CA11" s="51">
        <f t="shared" si="40"/>
        <v>1760.7725595000002</v>
      </c>
      <c r="CB11" s="33">
        <f t="shared" si="41"/>
        <v>7727.838559500001</v>
      </c>
      <c r="CC11" s="65">
        <f t="shared" si="42"/>
        <v>114.28718760000001</v>
      </c>
      <c r="CD11" s="33"/>
      <c r="CE11" s="33">
        <f t="shared" si="94"/>
        <v>21690.018</v>
      </c>
      <c r="CF11" s="33">
        <f t="shared" si="43"/>
        <v>6400.329493499999</v>
      </c>
      <c r="CG11" s="33">
        <f t="shared" si="44"/>
        <v>28090.347493499998</v>
      </c>
      <c r="CH11" s="65">
        <f t="shared" si="45"/>
        <v>415.4288148</v>
      </c>
      <c r="CI11" s="33"/>
      <c r="CJ11" s="51">
        <f t="shared" si="95"/>
        <v>148122.464</v>
      </c>
      <c r="CK11" s="51">
        <f t="shared" si="46"/>
        <v>43708.242888</v>
      </c>
      <c r="CL11" s="33">
        <f t="shared" si="47"/>
        <v>191830.70688800002</v>
      </c>
      <c r="CM11" s="65">
        <f t="shared" si="48"/>
        <v>2836.9888704000005</v>
      </c>
      <c r="CN11" s="33"/>
      <c r="CO11" s="51">
        <f t="shared" si="96"/>
        <v>613029.774</v>
      </c>
      <c r="CP11" s="51">
        <f t="shared" si="49"/>
        <v>180893.9274705</v>
      </c>
      <c r="CQ11" s="33">
        <f t="shared" si="50"/>
        <v>793923.7014705</v>
      </c>
      <c r="CR11" s="65">
        <f t="shared" si="51"/>
        <v>11741.3564364</v>
      </c>
      <c r="CS11" s="33"/>
      <c r="CT11" s="51">
        <f t="shared" si="97"/>
        <v>112695.91200000001</v>
      </c>
      <c r="CU11" s="51">
        <f t="shared" si="52"/>
        <v>33254.512254</v>
      </c>
      <c r="CV11" s="33">
        <f t="shared" si="53"/>
        <v>145950.424254</v>
      </c>
      <c r="CW11" s="65">
        <f t="shared" si="54"/>
        <v>2158.4642832</v>
      </c>
      <c r="CX11" s="33"/>
      <c r="CY11" s="51">
        <f t="shared" si="98"/>
        <v>385834.24600000004</v>
      </c>
      <c r="CZ11" s="51">
        <f t="shared" si="55"/>
        <v>113852.6627445</v>
      </c>
      <c r="DA11" s="33">
        <f t="shared" si="56"/>
        <v>499686.9087445</v>
      </c>
      <c r="DB11" s="65">
        <f t="shared" si="57"/>
        <v>7389.8815356000005</v>
      </c>
      <c r="DC11" s="33"/>
      <c r="DD11" s="51">
        <f t="shared" si="99"/>
        <v>82262.53</v>
      </c>
      <c r="DE11" s="51">
        <f t="shared" si="58"/>
        <v>24274.1751975</v>
      </c>
      <c r="DF11" s="33">
        <f t="shared" si="59"/>
        <v>106536.7051975</v>
      </c>
      <c r="DG11" s="65">
        <f t="shared" si="60"/>
        <v>1575.573858</v>
      </c>
      <c r="DH11" s="33"/>
      <c r="DI11" s="51">
        <f t="shared" si="100"/>
        <v>6701.8279999999995</v>
      </c>
      <c r="DJ11" s="51">
        <f t="shared" si="61"/>
        <v>1977.5874509999999</v>
      </c>
      <c r="DK11" s="33">
        <f t="shared" si="62"/>
        <v>8679.415450999999</v>
      </c>
      <c r="DL11" s="65">
        <f t="shared" si="63"/>
        <v>128.3600808</v>
      </c>
      <c r="DM11" s="33"/>
      <c r="DN11" s="51">
        <f t="shared" si="101"/>
        <v>7992.978</v>
      </c>
      <c r="DO11" s="51">
        <f t="shared" si="64"/>
        <v>2358.5823135</v>
      </c>
      <c r="DP11" s="33">
        <f t="shared" si="65"/>
        <v>10351.5603135</v>
      </c>
      <c r="DQ11" s="65">
        <f t="shared" si="66"/>
        <v>153.0894708</v>
      </c>
      <c r="DR11" s="33"/>
      <c r="DS11" s="51">
        <f t="shared" si="102"/>
        <v>16301.908</v>
      </c>
      <c r="DT11" s="51">
        <f t="shared" si="67"/>
        <v>4810.3963109999995</v>
      </c>
      <c r="DU11" s="33">
        <f t="shared" si="68"/>
        <v>21112.304311</v>
      </c>
      <c r="DV11" s="65">
        <f t="shared" si="69"/>
        <v>312.2303688</v>
      </c>
      <c r="DW11" s="33"/>
      <c r="DX11" s="51">
        <f t="shared" si="103"/>
        <v>449335.824</v>
      </c>
      <c r="DY11" s="51">
        <f t="shared" si="70"/>
        <v>132590.822508</v>
      </c>
      <c r="DZ11" s="33">
        <f t="shared" si="71"/>
        <v>581926.6465080001</v>
      </c>
      <c r="EA11" s="65">
        <f t="shared" si="72"/>
        <v>8606.126966400001</v>
      </c>
      <c r="EB11" s="33"/>
      <c r="EC11" s="33">
        <f t="shared" si="104"/>
        <v>17451.14</v>
      </c>
      <c r="ED11" s="33">
        <f t="shared" si="73"/>
        <v>5149.513755</v>
      </c>
      <c r="EE11" s="33">
        <f t="shared" si="74"/>
        <v>22600.653755</v>
      </c>
      <c r="EF11" s="65">
        <f t="shared" si="75"/>
        <v>334.241604</v>
      </c>
      <c r="EG11" s="33"/>
      <c r="EH11" s="51">
        <f t="shared" si="105"/>
        <v>37398.648</v>
      </c>
      <c r="EI11" s="51">
        <f t="shared" si="76"/>
        <v>11035.660266</v>
      </c>
      <c r="EJ11" s="33">
        <f t="shared" si="77"/>
        <v>48434.308266</v>
      </c>
      <c r="EK11" s="65">
        <f t="shared" si="78"/>
        <v>716.2961328</v>
      </c>
      <c r="EL11" s="33"/>
      <c r="EM11" s="33"/>
      <c r="EN11" s="33"/>
      <c r="EO11" s="33"/>
    </row>
    <row r="12" spans="1:145" ht="12.75">
      <c r="A12" s="19">
        <v>43009</v>
      </c>
      <c r="B12" s="27"/>
      <c r="D12" s="35">
        <v>1172155</v>
      </c>
      <c r="E12" s="35">
        <f t="shared" si="0"/>
        <v>1172155</v>
      </c>
      <c r="F12" s="35">
        <v>83124</v>
      </c>
      <c r="H12" s="51"/>
      <c r="I12" s="51">
        <f>'Academic Project'!M12</f>
        <v>376910.54279250005</v>
      </c>
      <c r="J12" s="51">
        <f t="shared" si="79"/>
        <v>376910.54279250005</v>
      </c>
      <c r="K12" s="51">
        <f>'Academic Project'!O12</f>
        <v>26728.813133999996</v>
      </c>
      <c r="M12" s="51"/>
      <c r="N12" s="41">
        <f t="shared" si="1"/>
        <v>795244.4572075001</v>
      </c>
      <c r="O12" s="33">
        <f t="shared" si="2"/>
        <v>795244.4572075001</v>
      </c>
      <c r="P12" s="41">
        <f t="shared" si="3"/>
        <v>56395.186866000004</v>
      </c>
      <c r="R12" s="65"/>
      <c r="S12" s="65">
        <f t="shared" si="4"/>
        <v>64487.8655575</v>
      </c>
      <c r="T12" s="20">
        <f t="shared" si="5"/>
        <v>64487.8655575</v>
      </c>
      <c r="U12" s="65">
        <f t="shared" si="6"/>
        <v>4573.191546</v>
      </c>
      <c r="W12" s="65"/>
      <c r="X12" s="65">
        <f t="shared" si="7"/>
        <v>78725.79791149999</v>
      </c>
      <c r="Y12" s="20">
        <f t="shared" si="8"/>
        <v>78725.79791149999</v>
      </c>
      <c r="Z12" s="65">
        <f t="shared" si="9"/>
        <v>5582.8821492</v>
      </c>
      <c r="AC12" s="33">
        <f t="shared" si="10"/>
        <v>288.2329145</v>
      </c>
      <c r="AD12" s="33">
        <f t="shared" si="11"/>
        <v>288.2329145</v>
      </c>
      <c r="AE12" s="65">
        <f t="shared" si="12"/>
        <v>20.440191600000002</v>
      </c>
      <c r="AG12" s="65"/>
      <c r="AH12" s="65">
        <f t="shared" si="13"/>
        <v>17015.1191955</v>
      </c>
      <c r="AI12" s="20">
        <f t="shared" si="14"/>
        <v>17015.1191955</v>
      </c>
      <c r="AJ12" s="65">
        <f t="shared" si="15"/>
        <v>1206.6362964</v>
      </c>
      <c r="AL12" s="65"/>
      <c r="AM12" s="65">
        <f t="shared" si="16"/>
        <v>78291.1628375</v>
      </c>
      <c r="AN12" s="20">
        <f t="shared" si="17"/>
        <v>78291.1628375</v>
      </c>
      <c r="AO12" s="65">
        <f t="shared" si="18"/>
        <v>5552.059770000001</v>
      </c>
      <c r="AP12" s="33"/>
      <c r="AQ12" s="65"/>
      <c r="AR12" s="65">
        <f t="shared" si="19"/>
        <v>12342.323288</v>
      </c>
      <c r="AS12" s="20">
        <f t="shared" si="20"/>
        <v>12342.323288</v>
      </c>
      <c r="AT12" s="65">
        <f t="shared" si="21"/>
        <v>875.2624704</v>
      </c>
      <c r="AU12" s="33"/>
      <c r="AV12" s="51"/>
      <c r="AW12" s="51">
        <f t="shared" si="22"/>
        <v>685.5934595</v>
      </c>
      <c r="AX12" s="33">
        <f t="shared" si="23"/>
        <v>685.5934595</v>
      </c>
      <c r="AY12" s="65">
        <f t="shared" si="24"/>
        <v>48.619227599999995</v>
      </c>
      <c r="AZ12" s="33"/>
      <c r="BA12" s="33"/>
      <c r="BB12" s="33">
        <f t="shared" si="25"/>
        <v>7897.1598815</v>
      </c>
      <c r="BC12" s="33">
        <f t="shared" si="26"/>
        <v>7897.1598815</v>
      </c>
      <c r="BD12" s="65">
        <f t="shared" si="27"/>
        <v>560.0313252</v>
      </c>
      <c r="BE12" s="33"/>
      <c r="BF12" s="51"/>
      <c r="BG12" s="51">
        <f t="shared" si="28"/>
        <v>11040.059082999998</v>
      </c>
      <c r="BH12" s="33">
        <f t="shared" si="29"/>
        <v>11040.059082999998</v>
      </c>
      <c r="BI12" s="65">
        <f t="shared" si="30"/>
        <v>782.9117064</v>
      </c>
      <c r="BJ12" s="33"/>
      <c r="BK12" s="51"/>
      <c r="BL12" s="51">
        <f t="shared" si="31"/>
        <v>1544.4314279999999</v>
      </c>
      <c r="BM12" s="33">
        <f t="shared" si="32"/>
        <v>1544.4314279999999</v>
      </c>
      <c r="BN12" s="65">
        <f t="shared" si="33"/>
        <v>109.5241824</v>
      </c>
      <c r="BO12" s="33"/>
      <c r="BP12" s="51"/>
      <c r="BQ12" s="51">
        <f t="shared" si="34"/>
        <v>8023.166544</v>
      </c>
      <c r="BR12" s="33">
        <f t="shared" si="35"/>
        <v>8023.166544</v>
      </c>
      <c r="BS12" s="65">
        <f t="shared" si="36"/>
        <v>568.9671552</v>
      </c>
      <c r="BT12" s="33"/>
      <c r="BU12" s="51"/>
      <c r="BV12" s="51">
        <f t="shared" si="37"/>
        <v>455.968295</v>
      </c>
      <c r="BW12" s="33">
        <f t="shared" si="38"/>
        <v>455.968295</v>
      </c>
      <c r="BX12" s="65">
        <f t="shared" si="39"/>
        <v>32.335236</v>
      </c>
      <c r="BY12" s="33"/>
      <c r="BZ12" s="51"/>
      <c r="CA12" s="51">
        <f t="shared" si="40"/>
        <v>1611.5959095</v>
      </c>
      <c r="CB12" s="33">
        <f t="shared" si="41"/>
        <v>1611.5959095</v>
      </c>
      <c r="CC12" s="65">
        <f t="shared" si="42"/>
        <v>114.28718760000001</v>
      </c>
      <c r="CD12" s="33"/>
      <c r="CE12" s="33"/>
      <c r="CF12" s="33">
        <f t="shared" si="43"/>
        <v>5858.0790435</v>
      </c>
      <c r="CG12" s="33">
        <f t="shared" si="44"/>
        <v>5858.0790435</v>
      </c>
      <c r="CH12" s="65">
        <f t="shared" si="45"/>
        <v>415.4288148</v>
      </c>
      <c r="CI12" s="33"/>
      <c r="CJ12" s="51"/>
      <c r="CK12" s="51">
        <f t="shared" si="46"/>
        <v>40005.18128800001</v>
      </c>
      <c r="CL12" s="33">
        <f t="shared" si="47"/>
        <v>40005.18128800001</v>
      </c>
      <c r="CM12" s="65">
        <f t="shared" si="48"/>
        <v>2836.9888704000005</v>
      </c>
      <c r="CN12" s="33"/>
      <c r="CO12" s="51"/>
      <c r="CP12" s="51">
        <f t="shared" si="49"/>
        <v>165568.18312049998</v>
      </c>
      <c r="CQ12" s="33">
        <f t="shared" si="50"/>
        <v>165568.18312049998</v>
      </c>
      <c r="CR12" s="65">
        <f t="shared" si="51"/>
        <v>11741.3564364</v>
      </c>
      <c r="CS12" s="33"/>
      <c r="CT12" s="51"/>
      <c r="CU12" s="51">
        <f t="shared" si="52"/>
        <v>30437.114454000002</v>
      </c>
      <c r="CV12" s="33">
        <f t="shared" si="53"/>
        <v>30437.114454000002</v>
      </c>
      <c r="CW12" s="65">
        <f t="shared" si="54"/>
        <v>2158.4642832</v>
      </c>
      <c r="CX12" s="33"/>
      <c r="CY12" s="51"/>
      <c r="CZ12" s="51">
        <f t="shared" si="55"/>
        <v>104206.80659450001</v>
      </c>
      <c r="DA12" s="33">
        <f t="shared" si="56"/>
        <v>104206.80659450001</v>
      </c>
      <c r="DB12" s="65">
        <f t="shared" si="57"/>
        <v>7389.8815356000005</v>
      </c>
      <c r="DC12" s="33"/>
      <c r="DD12" s="51"/>
      <c r="DE12" s="51">
        <f t="shared" si="58"/>
        <v>22217.611947499998</v>
      </c>
      <c r="DF12" s="33">
        <f t="shared" si="59"/>
        <v>22217.611947499998</v>
      </c>
      <c r="DG12" s="65">
        <f t="shared" si="60"/>
        <v>1575.573858</v>
      </c>
      <c r="DH12" s="33"/>
      <c r="DI12" s="51"/>
      <c r="DJ12" s="51">
        <f t="shared" si="61"/>
        <v>1810.041751</v>
      </c>
      <c r="DK12" s="33">
        <f t="shared" si="62"/>
        <v>1810.041751</v>
      </c>
      <c r="DL12" s="65">
        <f t="shared" si="63"/>
        <v>128.3600808</v>
      </c>
      <c r="DM12" s="33"/>
      <c r="DN12" s="51"/>
      <c r="DO12" s="51">
        <f t="shared" si="64"/>
        <v>2158.7578635</v>
      </c>
      <c r="DP12" s="33">
        <f t="shared" si="65"/>
        <v>2158.7578635</v>
      </c>
      <c r="DQ12" s="65">
        <f t="shared" si="66"/>
        <v>153.0894708</v>
      </c>
      <c r="DR12" s="33"/>
      <c r="DS12" s="51"/>
      <c r="DT12" s="51">
        <f t="shared" si="67"/>
        <v>4402.848610999999</v>
      </c>
      <c r="DU12" s="33">
        <f t="shared" si="68"/>
        <v>4402.848610999999</v>
      </c>
      <c r="DV12" s="65">
        <f t="shared" si="69"/>
        <v>312.2303688</v>
      </c>
      <c r="DW12" s="33"/>
      <c r="DX12" s="51"/>
      <c r="DY12" s="51">
        <f t="shared" si="70"/>
        <v>121357.42690800001</v>
      </c>
      <c r="DZ12" s="33">
        <f t="shared" si="71"/>
        <v>121357.42690800001</v>
      </c>
      <c r="EA12" s="65">
        <f t="shared" si="72"/>
        <v>8606.126966400001</v>
      </c>
      <c r="EB12" s="33"/>
      <c r="EC12" s="33"/>
      <c r="ED12" s="33">
        <f t="shared" si="73"/>
        <v>4713.2352550000005</v>
      </c>
      <c r="EE12" s="33">
        <f t="shared" si="74"/>
        <v>4713.2352550000005</v>
      </c>
      <c r="EF12" s="65">
        <f t="shared" si="75"/>
        <v>334.241604</v>
      </c>
      <c r="EG12" s="33"/>
      <c r="EH12" s="51"/>
      <c r="EI12" s="51">
        <f t="shared" si="76"/>
        <v>10100.694066</v>
      </c>
      <c r="EJ12" s="33">
        <f t="shared" si="77"/>
        <v>10100.694066</v>
      </c>
      <c r="EK12" s="65">
        <f t="shared" si="78"/>
        <v>716.2961328</v>
      </c>
      <c r="EL12" s="33"/>
      <c r="EM12" s="33"/>
      <c r="EN12" s="33"/>
      <c r="EO12" s="33"/>
    </row>
    <row r="13" spans="1:145" ht="12.75">
      <c r="A13" s="19">
        <v>43191</v>
      </c>
      <c r="C13" s="35">
        <v>4560000</v>
      </c>
      <c r="D13" s="35">
        <v>1172155</v>
      </c>
      <c r="E13" s="35">
        <f t="shared" si="0"/>
        <v>5732155</v>
      </c>
      <c r="F13" s="35">
        <v>83124</v>
      </c>
      <c r="H13" s="51">
        <f>'Academic Project'!L13</f>
        <v>1466283.9599999995</v>
      </c>
      <c r="I13" s="51">
        <f>'Academic Project'!M13</f>
        <v>376910.54279250005</v>
      </c>
      <c r="J13" s="51">
        <f t="shared" si="79"/>
        <v>1843194.5027924995</v>
      </c>
      <c r="K13" s="51">
        <f>'Academic Project'!O13</f>
        <v>26728.813133999996</v>
      </c>
      <c r="M13" s="51">
        <f t="shared" si="80"/>
        <v>3093716.04</v>
      </c>
      <c r="N13" s="41">
        <f t="shared" si="1"/>
        <v>795244.4572075001</v>
      </c>
      <c r="O13" s="33">
        <f t="shared" si="2"/>
        <v>3888960.4972075</v>
      </c>
      <c r="P13" s="41">
        <f t="shared" si="3"/>
        <v>56395.186866000004</v>
      </c>
      <c r="R13" s="65">
        <f t="shared" si="81"/>
        <v>250875.24000000002</v>
      </c>
      <c r="S13" s="65">
        <f t="shared" si="4"/>
        <v>64487.8655575</v>
      </c>
      <c r="T13" s="20">
        <f t="shared" si="5"/>
        <v>315363.10555750004</v>
      </c>
      <c r="U13" s="65">
        <f t="shared" si="6"/>
        <v>4573.191546</v>
      </c>
      <c r="W13" s="65">
        <f t="shared" si="82"/>
        <v>306264.648</v>
      </c>
      <c r="X13" s="65">
        <f t="shared" si="7"/>
        <v>78725.79791149999</v>
      </c>
      <c r="Y13" s="20">
        <f t="shared" si="8"/>
        <v>384990.44591149996</v>
      </c>
      <c r="Z13" s="65">
        <f t="shared" si="9"/>
        <v>5582.8821492</v>
      </c>
      <c r="AB13" s="33">
        <f t="shared" si="83"/>
        <v>1121.304</v>
      </c>
      <c r="AC13" s="33">
        <f t="shared" si="10"/>
        <v>288.2329145</v>
      </c>
      <c r="AD13" s="33">
        <f t="shared" si="11"/>
        <v>1409.5369145</v>
      </c>
      <c r="AE13" s="65">
        <f t="shared" si="12"/>
        <v>20.440191600000002</v>
      </c>
      <c r="AG13" s="65">
        <f t="shared" si="84"/>
        <v>66193.416</v>
      </c>
      <c r="AH13" s="65">
        <f t="shared" si="13"/>
        <v>17015.1191955</v>
      </c>
      <c r="AI13" s="20">
        <f t="shared" si="14"/>
        <v>83208.5351955</v>
      </c>
      <c r="AJ13" s="65">
        <f t="shared" si="15"/>
        <v>1206.6362964</v>
      </c>
      <c r="AL13" s="65">
        <f t="shared" si="85"/>
        <v>304573.80000000005</v>
      </c>
      <c r="AM13" s="65">
        <f t="shared" si="16"/>
        <v>78291.1628375</v>
      </c>
      <c r="AN13" s="20">
        <f t="shared" si="17"/>
        <v>382864.96283750003</v>
      </c>
      <c r="AO13" s="65">
        <f t="shared" si="18"/>
        <v>5552.059770000001</v>
      </c>
      <c r="AP13" s="33"/>
      <c r="AQ13" s="65">
        <f t="shared" si="86"/>
        <v>48014.976</v>
      </c>
      <c r="AR13" s="65">
        <f t="shared" si="19"/>
        <v>12342.323288</v>
      </c>
      <c r="AS13" s="20">
        <f t="shared" si="20"/>
        <v>60357.299288</v>
      </c>
      <c r="AT13" s="65">
        <f t="shared" si="21"/>
        <v>875.2624704</v>
      </c>
      <c r="AU13" s="33"/>
      <c r="AV13" s="51">
        <f t="shared" si="87"/>
        <v>2667.144</v>
      </c>
      <c r="AW13" s="51">
        <f t="shared" si="22"/>
        <v>685.5934595</v>
      </c>
      <c r="AX13" s="33">
        <f t="shared" si="23"/>
        <v>3352.7374594999997</v>
      </c>
      <c r="AY13" s="65">
        <f t="shared" si="24"/>
        <v>48.619227599999995</v>
      </c>
      <c r="AZ13" s="33"/>
      <c r="BA13" s="33">
        <f t="shared" si="88"/>
        <v>30722.088</v>
      </c>
      <c r="BB13" s="33">
        <f t="shared" si="25"/>
        <v>7897.1598815</v>
      </c>
      <c r="BC13" s="33">
        <f t="shared" si="26"/>
        <v>38619.2478815</v>
      </c>
      <c r="BD13" s="65">
        <f t="shared" si="27"/>
        <v>560.0313252</v>
      </c>
      <c r="BE13" s="33"/>
      <c r="BF13" s="51">
        <f t="shared" si="89"/>
        <v>42948.816</v>
      </c>
      <c r="BG13" s="51">
        <f t="shared" si="28"/>
        <v>11040.059082999998</v>
      </c>
      <c r="BH13" s="33">
        <f t="shared" si="29"/>
        <v>53988.875083</v>
      </c>
      <c r="BI13" s="65">
        <f t="shared" si="30"/>
        <v>782.9117064</v>
      </c>
      <c r="BJ13" s="33"/>
      <c r="BK13" s="51">
        <f t="shared" si="90"/>
        <v>6008.255999999999</v>
      </c>
      <c r="BL13" s="51">
        <f t="shared" si="31"/>
        <v>1544.4314279999999</v>
      </c>
      <c r="BM13" s="33">
        <f t="shared" si="32"/>
        <v>7552.687427999999</v>
      </c>
      <c r="BN13" s="65">
        <f t="shared" si="33"/>
        <v>109.5241824</v>
      </c>
      <c r="BO13" s="33"/>
      <c r="BP13" s="51">
        <f t="shared" si="91"/>
        <v>31212.288</v>
      </c>
      <c r="BQ13" s="51">
        <f t="shared" si="34"/>
        <v>8023.166544</v>
      </c>
      <c r="BR13" s="33">
        <f t="shared" si="35"/>
        <v>39235.454544</v>
      </c>
      <c r="BS13" s="65">
        <f t="shared" si="36"/>
        <v>568.9671552</v>
      </c>
      <c r="BT13" s="33"/>
      <c r="BU13" s="51">
        <f t="shared" si="92"/>
        <v>1773.8400000000001</v>
      </c>
      <c r="BV13" s="51">
        <f t="shared" si="37"/>
        <v>455.968295</v>
      </c>
      <c r="BW13" s="33">
        <f t="shared" si="38"/>
        <v>2229.8082950000003</v>
      </c>
      <c r="BX13" s="65">
        <f t="shared" si="39"/>
        <v>32.335236</v>
      </c>
      <c r="BY13" s="33"/>
      <c r="BZ13" s="51">
        <f t="shared" si="93"/>
        <v>6269.544000000001</v>
      </c>
      <c r="CA13" s="51">
        <f t="shared" si="40"/>
        <v>1611.5959095</v>
      </c>
      <c r="CB13" s="33">
        <f t="shared" si="41"/>
        <v>7881.139909500001</v>
      </c>
      <c r="CC13" s="65">
        <f t="shared" si="42"/>
        <v>114.28718760000001</v>
      </c>
      <c r="CD13" s="33"/>
      <c r="CE13" s="33">
        <f t="shared" si="94"/>
        <v>22789.512</v>
      </c>
      <c r="CF13" s="33">
        <f t="shared" si="43"/>
        <v>5858.0790435</v>
      </c>
      <c r="CG13" s="33">
        <f t="shared" si="44"/>
        <v>28647.591043499997</v>
      </c>
      <c r="CH13" s="65">
        <f t="shared" si="45"/>
        <v>415.4288148</v>
      </c>
      <c r="CI13" s="33"/>
      <c r="CJ13" s="51">
        <f t="shared" si="95"/>
        <v>155630.97600000002</v>
      </c>
      <c r="CK13" s="51">
        <f t="shared" si="46"/>
        <v>40005.18128800001</v>
      </c>
      <c r="CL13" s="33">
        <f t="shared" si="47"/>
        <v>195636.15728800005</v>
      </c>
      <c r="CM13" s="65">
        <f t="shared" si="48"/>
        <v>2836.9888704000005</v>
      </c>
      <c r="CN13" s="33"/>
      <c r="CO13" s="51">
        <f t="shared" si="96"/>
        <v>644105.016</v>
      </c>
      <c r="CP13" s="51">
        <f t="shared" si="49"/>
        <v>165568.18312049998</v>
      </c>
      <c r="CQ13" s="33">
        <f t="shared" si="50"/>
        <v>809673.1991204999</v>
      </c>
      <c r="CR13" s="65">
        <f t="shared" si="51"/>
        <v>11741.3564364</v>
      </c>
      <c r="CS13" s="33"/>
      <c r="CT13" s="51">
        <f t="shared" si="97"/>
        <v>118408.60800000001</v>
      </c>
      <c r="CU13" s="51">
        <f t="shared" si="52"/>
        <v>30437.114454000002</v>
      </c>
      <c r="CV13" s="33">
        <f t="shared" si="53"/>
        <v>148845.722454</v>
      </c>
      <c r="CW13" s="65">
        <f t="shared" si="54"/>
        <v>2158.4642832</v>
      </c>
      <c r="CX13" s="33"/>
      <c r="CY13" s="51">
        <f t="shared" si="98"/>
        <v>405392.66400000005</v>
      </c>
      <c r="CZ13" s="51">
        <f t="shared" si="55"/>
        <v>104206.80659450001</v>
      </c>
      <c r="DA13" s="33">
        <f t="shared" si="56"/>
        <v>509599.4705945001</v>
      </c>
      <c r="DB13" s="65">
        <f t="shared" si="57"/>
        <v>7389.8815356000005</v>
      </c>
      <c r="DC13" s="33"/>
      <c r="DD13" s="51">
        <f t="shared" si="99"/>
        <v>86432.51999999999</v>
      </c>
      <c r="DE13" s="51">
        <f t="shared" si="58"/>
        <v>22217.611947499998</v>
      </c>
      <c r="DF13" s="33">
        <f t="shared" si="59"/>
        <v>108650.13194749999</v>
      </c>
      <c r="DG13" s="65">
        <f t="shared" si="60"/>
        <v>1575.573858</v>
      </c>
      <c r="DH13" s="33"/>
      <c r="DI13" s="51">
        <f t="shared" si="100"/>
        <v>7041.552</v>
      </c>
      <c r="DJ13" s="51">
        <f t="shared" si="61"/>
        <v>1810.041751</v>
      </c>
      <c r="DK13" s="33">
        <f t="shared" si="62"/>
        <v>8851.593751</v>
      </c>
      <c r="DL13" s="65">
        <f t="shared" si="63"/>
        <v>128.3600808</v>
      </c>
      <c r="DM13" s="33"/>
      <c r="DN13" s="51">
        <f t="shared" si="101"/>
        <v>8398.152</v>
      </c>
      <c r="DO13" s="51">
        <f t="shared" si="64"/>
        <v>2158.7578635</v>
      </c>
      <c r="DP13" s="33">
        <f t="shared" si="65"/>
        <v>10556.909863500001</v>
      </c>
      <c r="DQ13" s="65">
        <f t="shared" si="66"/>
        <v>153.0894708</v>
      </c>
      <c r="DR13" s="33"/>
      <c r="DS13" s="51">
        <f t="shared" si="102"/>
        <v>17128.272</v>
      </c>
      <c r="DT13" s="51">
        <f t="shared" si="67"/>
        <v>4402.848610999999</v>
      </c>
      <c r="DU13" s="33">
        <f t="shared" si="68"/>
        <v>21531.120611</v>
      </c>
      <c r="DV13" s="65">
        <f t="shared" si="69"/>
        <v>312.2303688</v>
      </c>
      <c r="DW13" s="33"/>
      <c r="DX13" s="51">
        <f t="shared" si="103"/>
        <v>472113.216</v>
      </c>
      <c r="DY13" s="51">
        <f t="shared" si="70"/>
        <v>121357.42690800001</v>
      </c>
      <c r="DZ13" s="33">
        <f t="shared" si="71"/>
        <v>593470.642908</v>
      </c>
      <c r="EA13" s="65">
        <f t="shared" si="72"/>
        <v>8606.126966400001</v>
      </c>
      <c r="EB13" s="33"/>
      <c r="EC13" s="33">
        <f t="shared" si="104"/>
        <v>18335.760000000002</v>
      </c>
      <c r="ED13" s="33">
        <f t="shared" si="73"/>
        <v>4713.2352550000005</v>
      </c>
      <c r="EE13" s="33">
        <f t="shared" si="74"/>
        <v>23048.995255</v>
      </c>
      <c r="EF13" s="65">
        <f t="shared" si="75"/>
        <v>334.241604</v>
      </c>
      <c r="EG13" s="33"/>
      <c r="EH13" s="51">
        <f t="shared" si="105"/>
        <v>39294.432</v>
      </c>
      <c r="EI13" s="51">
        <f t="shared" si="76"/>
        <v>10100.694066</v>
      </c>
      <c r="EJ13" s="33">
        <f t="shared" si="77"/>
        <v>49395.126066</v>
      </c>
      <c r="EK13" s="65">
        <f t="shared" si="78"/>
        <v>716.2961328</v>
      </c>
      <c r="EL13" s="33"/>
      <c r="EM13" s="33"/>
      <c r="EN13" s="33"/>
      <c r="EO13" s="33"/>
    </row>
    <row r="14" spans="1:145" ht="12.75">
      <c r="A14" s="19">
        <v>43374</v>
      </c>
      <c r="D14" s="35">
        <v>1058155</v>
      </c>
      <c r="E14" s="35">
        <f t="shared" si="0"/>
        <v>1058155</v>
      </c>
      <c r="F14" s="35">
        <v>83124</v>
      </c>
      <c r="H14" s="51"/>
      <c r="I14" s="51">
        <f>'Academic Project'!M14</f>
        <v>340253.4437925</v>
      </c>
      <c r="J14" s="51">
        <f t="shared" si="79"/>
        <v>340253.4437925</v>
      </c>
      <c r="K14" s="51">
        <f>'Academic Project'!O14</f>
        <v>26728.813133999996</v>
      </c>
      <c r="M14" s="51"/>
      <c r="N14" s="41">
        <f t="shared" si="1"/>
        <v>717901.5562074999</v>
      </c>
      <c r="O14" s="33">
        <f t="shared" si="2"/>
        <v>717901.5562074999</v>
      </c>
      <c r="P14" s="41">
        <f t="shared" si="3"/>
        <v>56395.186866000004</v>
      </c>
      <c r="R14" s="65"/>
      <c r="S14" s="65">
        <f t="shared" si="4"/>
        <v>58215.9845575</v>
      </c>
      <c r="T14" s="20">
        <f t="shared" si="5"/>
        <v>58215.9845575</v>
      </c>
      <c r="U14" s="65">
        <f t="shared" si="6"/>
        <v>4573.191546</v>
      </c>
      <c r="W14" s="65"/>
      <c r="X14" s="65">
        <f t="shared" si="7"/>
        <v>71069.1817115</v>
      </c>
      <c r="Y14" s="20">
        <f t="shared" si="8"/>
        <v>71069.1817115</v>
      </c>
      <c r="Z14" s="65">
        <f t="shared" si="9"/>
        <v>5582.8821492</v>
      </c>
      <c r="AC14" s="33">
        <f t="shared" si="10"/>
        <v>260.2003145</v>
      </c>
      <c r="AD14" s="33">
        <f t="shared" si="11"/>
        <v>260.2003145</v>
      </c>
      <c r="AE14" s="65">
        <f t="shared" si="12"/>
        <v>20.440191600000002</v>
      </c>
      <c r="AG14" s="65"/>
      <c r="AH14" s="65">
        <f t="shared" si="13"/>
        <v>15360.283795500001</v>
      </c>
      <c r="AI14" s="20">
        <f t="shared" si="14"/>
        <v>15360.283795500001</v>
      </c>
      <c r="AJ14" s="65">
        <f t="shared" si="15"/>
        <v>1206.6362964</v>
      </c>
      <c r="AL14" s="65"/>
      <c r="AM14" s="65">
        <f t="shared" si="16"/>
        <v>70676.8178375</v>
      </c>
      <c r="AN14" s="20">
        <f t="shared" si="17"/>
        <v>70676.8178375</v>
      </c>
      <c r="AO14" s="65">
        <f t="shared" si="18"/>
        <v>5552.059770000001</v>
      </c>
      <c r="AP14" s="33"/>
      <c r="AQ14" s="65"/>
      <c r="AR14" s="65">
        <f t="shared" si="19"/>
        <v>11141.948888</v>
      </c>
      <c r="AS14" s="20">
        <f t="shared" si="20"/>
        <v>11141.948888</v>
      </c>
      <c r="AT14" s="65">
        <f t="shared" si="21"/>
        <v>875.2624704</v>
      </c>
      <c r="AU14" s="33"/>
      <c r="AV14" s="51"/>
      <c r="AW14" s="51">
        <f t="shared" si="22"/>
        <v>618.9148594999999</v>
      </c>
      <c r="AX14" s="33">
        <f t="shared" si="23"/>
        <v>618.9148594999999</v>
      </c>
      <c r="AY14" s="65">
        <f t="shared" si="24"/>
        <v>48.619227599999995</v>
      </c>
      <c r="AZ14" s="33"/>
      <c r="BA14" s="33"/>
      <c r="BB14" s="33">
        <f t="shared" si="25"/>
        <v>7129.1076815</v>
      </c>
      <c r="BC14" s="33">
        <f t="shared" si="26"/>
        <v>7129.1076815</v>
      </c>
      <c r="BD14" s="65">
        <f t="shared" si="27"/>
        <v>560.0313252</v>
      </c>
      <c r="BE14" s="33"/>
      <c r="BF14" s="51"/>
      <c r="BG14" s="51">
        <f t="shared" si="28"/>
        <v>9966.338683</v>
      </c>
      <c r="BH14" s="33">
        <f t="shared" si="29"/>
        <v>9966.338683</v>
      </c>
      <c r="BI14" s="65">
        <f t="shared" si="30"/>
        <v>782.9117064</v>
      </c>
      <c r="BJ14" s="33"/>
      <c r="BK14" s="51"/>
      <c r="BL14" s="51">
        <f t="shared" si="31"/>
        <v>1394.2250279999998</v>
      </c>
      <c r="BM14" s="33">
        <f t="shared" si="32"/>
        <v>1394.2250279999998</v>
      </c>
      <c r="BN14" s="65">
        <f t="shared" si="33"/>
        <v>109.5241824</v>
      </c>
      <c r="BO14" s="33"/>
      <c r="BP14" s="51"/>
      <c r="BQ14" s="51">
        <f t="shared" si="34"/>
        <v>7242.8593439999995</v>
      </c>
      <c r="BR14" s="33">
        <f t="shared" si="35"/>
        <v>7242.8593439999995</v>
      </c>
      <c r="BS14" s="65">
        <f t="shared" si="36"/>
        <v>568.9671552</v>
      </c>
      <c r="BT14" s="33"/>
      <c r="BU14" s="51"/>
      <c r="BV14" s="51">
        <f t="shared" si="37"/>
        <v>411.622295</v>
      </c>
      <c r="BW14" s="33">
        <f t="shared" si="38"/>
        <v>411.622295</v>
      </c>
      <c r="BX14" s="65">
        <f t="shared" si="39"/>
        <v>32.335236</v>
      </c>
      <c r="BY14" s="33"/>
      <c r="BZ14" s="51"/>
      <c r="CA14" s="51">
        <f t="shared" si="40"/>
        <v>1454.8573095000002</v>
      </c>
      <c r="CB14" s="33">
        <f t="shared" si="41"/>
        <v>1454.8573095000002</v>
      </c>
      <c r="CC14" s="65">
        <f t="shared" si="42"/>
        <v>114.28718760000001</v>
      </c>
      <c r="CD14" s="33"/>
      <c r="CE14" s="33"/>
      <c r="CF14" s="33">
        <f t="shared" si="43"/>
        <v>5288.3412435</v>
      </c>
      <c r="CG14" s="33">
        <f t="shared" si="44"/>
        <v>5288.3412435</v>
      </c>
      <c r="CH14" s="65">
        <f t="shared" si="45"/>
        <v>415.4288148</v>
      </c>
      <c r="CI14" s="33"/>
      <c r="CJ14" s="51"/>
      <c r="CK14" s="51">
        <f t="shared" si="46"/>
        <v>36114.406888000005</v>
      </c>
      <c r="CL14" s="33">
        <f t="shared" si="47"/>
        <v>36114.406888000005</v>
      </c>
      <c r="CM14" s="65">
        <f t="shared" si="48"/>
        <v>2836.9888704000005</v>
      </c>
      <c r="CN14" s="33"/>
      <c r="CO14" s="51"/>
      <c r="CP14" s="51">
        <f t="shared" si="49"/>
        <v>149465.5577205</v>
      </c>
      <c r="CQ14" s="33">
        <f t="shared" si="50"/>
        <v>149465.5577205</v>
      </c>
      <c r="CR14" s="65">
        <f t="shared" si="51"/>
        <v>11741.3564364</v>
      </c>
      <c r="CS14" s="33"/>
      <c r="CT14" s="51"/>
      <c r="CU14" s="51">
        <f t="shared" si="52"/>
        <v>27476.899254000004</v>
      </c>
      <c r="CV14" s="33">
        <f t="shared" si="53"/>
        <v>27476.899254000004</v>
      </c>
      <c r="CW14" s="65">
        <f t="shared" si="54"/>
        <v>2158.4642832</v>
      </c>
      <c r="CX14" s="33"/>
      <c r="CY14" s="51"/>
      <c r="CZ14" s="51">
        <f t="shared" si="55"/>
        <v>94071.9899945</v>
      </c>
      <c r="DA14" s="33">
        <f t="shared" si="56"/>
        <v>94071.9899945</v>
      </c>
      <c r="DB14" s="65">
        <f t="shared" si="57"/>
        <v>7389.8815356000005</v>
      </c>
      <c r="DC14" s="33"/>
      <c r="DD14" s="51"/>
      <c r="DE14" s="51">
        <f t="shared" si="58"/>
        <v>20056.7989475</v>
      </c>
      <c r="DF14" s="33">
        <f t="shared" si="59"/>
        <v>20056.7989475</v>
      </c>
      <c r="DG14" s="65">
        <f t="shared" si="60"/>
        <v>1575.573858</v>
      </c>
      <c r="DH14" s="33"/>
      <c r="DI14" s="51"/>
      <c r="DJ14" s="51">
        <f t="shared" si="61"/>
        <v>1634.002951</v>
      </c>
      <c r="DK14" s="33">
        <f t="shared" si="62"/>
        <v>1634.002951</v>
      </c>
      <c r="DL14" s="65">
        <f t="shared" si="63"/>
        <v>128.3600808</v>
      </c>
      <c r="DM14" s="33"/>
      <c r="DN14" s="51"/>
      <c r="DO14" s="51">
        <f t="shared" si="64"/>
        <v>1948.8040635</v>
      </c>
      <c r="DP14" s="33">
        <f t="shared" si="65"/>
        <v>1948.8040635</v>
      </c>
      <c r="DQ14" s="65">
        <f t="shared" si="66"/>
        <v>153.0894708</v>
      </c>
      <c r="DR14" s="33"/>
      <c r="DS14" s="51"/>
      <c r="DT14" s="51">
        <f t="shared" si="67"/>
        <v>3974.641811</v>
      </c>
      <c r="DU14" s="33">
        <f t="shared" si="68"/>
        <v>3974.641811</v>
      </c>
      <c r="DV14" s="65">
        <f t="shared" si="69"/>
        <v>312.2303688</v>
      </c>
      <c r="DW14" s="33"/>
      <c r="DX14" s="51"/>
      <c r="DY14" s="51">
        <f t="shared" si="70"/>
        <v>109554.596508</v>
      </c>
      <c r="DZ14" s="33">
        <f t="shared" si="71"/>
        <v>109554.596508</v>
      </c>
      <c r="EA14" s="65">
        <f t="shared" si="72"/>
        <v>8606.126966400001</v>
      </c>
      <c r="EB14" s="33"/>
      <c r="EC14" s="33"/>
      <c r="ED14" s="33">
        <f t="shared" si="73"/>
        <v>4254.841255</v>
      </c>
      <c r="EE14" s="33">
        <f t="shared" si="74"/>
        <v>4254.841255</v>
      </c>
      <c r="EF14" s="65">
        <f t="shared" si="75"/>
        <v>334.241604</v>
      </c>
      <c r="EG14" s="33"/>
      <c r="EH14" s="51"/>
      <c r="EI14" s="51">
        <f t="shared" si="76"/>
        <v>9118.333266</v>
      </c>
      <c r="EJ14" s="33">
        <f t="shared" si="77"/>
        <v>9118.333266</v>
      </c>
      <c r="EK14" s="65">
        <f t="shared" si="78"/>
        <v>716.2961328</v>
      </c>
      <c r="EL14" s="33"/>
      <c r="EM14" s="33"/>
      <c r="EN14" s="33"/>
      <c r="EO14" s="33"/>
    </row>
    <row r="15" spans="1:145" ht="12.75">
      <c r="A15" s="19">
        <v>43556</v>
      </c>
      <c r="C15" s="35">
        <v>4785000</v>
      </c>
      <c r="D15" s="35">
        <v>1058155</v>
      </c>
      <c r="E15" s="35">
        <f t="shared" si="0"/>
        <v>5843155</v>
      </c>
      <c r="F15" s="35">
        <v>83124</v>
      </c>
      <c r="H15" s="51">
        <f>'Academic Project'!L15</f>
        <v>1538633.4975000003</v>
      </c>
      <c r="I15" s="51">
        <f>'Academic Project'!M15</f>
        <v>340253.4437925</v>
      </c>
      <c r="J15" s="51">
        <f t="shared" si="79"/>
        <v>1878886.9412925004</v>
      </c>
      <c r="K15" s="51">
        <f>'Academic Project'!O15</f>
        <v>26728.813133999996</v>
      </c>
      <c r="M15" s="51">
        <f t="shared" si="80"/>
        <v>3246366.5025000004</v>
      </c>
      <c r="N15" s="41">
        <f t="shared" si="1"/>
        <v>717901.5562074999</v>
      </c>
      <c r="O15" s="33">
        <f t="shared" si="2"/>
        <v>3964268.0587075003</v>
      </c>
      <c r="P15" s="41">
        <f t="shared" si="3"/>
        <v>56395.186866000004</v>
      </c>
      <c r="R15" s="65">
        <f t="shared" si="81"/>
        <v>263253.9525</v>
      </c>
      <c r="S15" s="65">
        <f t="shared" si="4"/>
        <v>58215.9845575</v>
      </c>
      <c r="T15" s="20">
        <f t="shared" si="5"/>
        <v>321469.9370575</v>
      </c>
      <c r="U15" s="65">
        <f t="shared" si="6"/>
        <v>4573.191546</v>
      </c>
      <c r="W15" s="65">
        <f t="shared" si="82"/>
        <v>321376.3905</v>
      </c>
      <c r="X15" s="65">
        <f t="shared" si="7"/>
        <v>71069.1817115</v>
      </c>
      <c r="Y15" s="20">
        <f t="shared" si="8"/>
        <v>392445.57221149997</v>
      </c>
      <c r="Z15" s="65">
        <f t="shared" si="9"/>
        <v>5582.8821492</v>
      </c>
      <c r="AB15" s="33">
        <f t="shared" si="83"/>
        <v>1176.6315</v>
      </c>
      <c r="AC15" s="33">
        <f t="shared" si="10"/>
        <v>260.2003145</v>
      </c>
      <c r="AD15" s="33">
        <f t="shared" si="11"/>
        <v>1436.8318144999998</v>
      </c>
      <c r="AE15" s="65">
        <f t="shared" si="12"/>
        <v>20.440191600000002</v>
      </c>
      <c r="AG15" s="65">
        <f t="shared" si="84"/>
        <v>69459.53850000001</v>
      </c>
      <c r="AH15" s="65">
        <f t="shared" si="13"/>
        <v>15360.283795500001</v>
      </c>
      <c r="AI15" s="20">
        <f t="shared" si="14"/>
        <v>84819.82229550001</v>
      </c>
      <c r="AJ15" s="65">
        <f t="shared" si="15"/>
        <v>1206.6362964</v>
      </c>
      <c r="AL15" s="65">
        <f t="shared" si="85"/>
        <v>319602.11250000005</v>
      </c>
      <c r="AM15" s="65">
        <f t="shared" si="16"/>
        <v>70676.8178375</v>
      </c>
      <c r="AN15" s="20">
        <f t="shared" si="17"/>
        <v>390278.93033750006</v>
      </c>
      <c r="AO15" s="65">
        <f t="shared" si="18"/>
        <v>5552.059770000001</v>
      </c>
      <c r="AP15" s="33"/>
      <c r="AQ15" s="65">
        <f t="shared" si="86"/>
        <v>50384.136</v>
      </c>
      <c r="AR15" s="65">
        <f t="shared" si="19"/>
        <v>11141.948888</v>
      </c>
      <c r="AS15" s="20">
        <f t="shared" si="20"/>
        <v>61526.084888</v>
      </c>
      <c r="AT15" s="65">
        <f t="shared" si="21"/>
        <v>875.2624704</v>
      </c>
      <c r="AU15" s="33"/>
      <c r="AV15" s="51">
        <f t="shared" si="87"/>
        <v>2798.7464999999997</v>
      </c>
      <c r="AW15" s="51">
        <f t="shared" si="22"/>
        <v>618.9148594999999</v>
      </c>
      <c r="AX15" s="33">
        <f t="shared" si="23"/>
        <v>3417.6613595</v>
      </c>
      <c r="AY15" s="65">
        <f t="shared" si="24"/>
        <v>48.619227599999995</v>
      </c>
      <c r="AZ15" s="33"/>
      <c r="BA15" s="33">
        <f t="shared" si="88"/>
        <v>32237.980499999998</v>
      </c>
      <c r="BB15" s="33">
        <f t="shared" si="25"/>
        <v>7129.1076815</v>
      </c>
      <c r="BC15" s="33">
        <f t="shared" si="26"/>
        <v>39367.088181499996</v>
      </c>
      <c r="BD15" s="65">
        <f t="shared" si="27"/>
        <v>560.0313252</v>
      </c>
      <c r="BE15" s="33"/>
      <c r="BF15" s="51">
        <f t="shared" si="89"/>
        <v>45068.001</v>
      </c>
      <c r="BG15" s="51">
        <f t="shared" si="28"/>
        <v>9966.338683</v>
      </c>
      <c r="BH15" s="33">
        <f t="shared" si="29"/>
        <v>55034.339683</v>
      </c>
      <c r="BI15" s="65">
        <f t="shared" si="30"/>
        <v>782.9117064</v>
      </c>
      <c r="BJ15" s="33"/>
      <c r="BK15" s="51">
        <f t="shared" si="90"/>
        <v>6304.715999999999</v>
      </c>
      <c r="BL15" s="51">
        <f t="shared" si="31"/>
        <v>1394.2250279999998</v>
      </c>
      <c r="BM15" s="33">
        <f t="shared" si="32"/>
        <v>7698.941027999999</v>
      </c>
      <c r="BN15" s="65">
        <f t="shared" si="33"/>
        <v>109.5241824</v>
      </c>
      <c r="BO15" s="33"/>
      <c r="BP15" s="51">
        <f t="shared" si="91"/>
        <v>32752.368</v>
      </c>
      <c r="BQ15" s="51">
        <f t="shared" si="34"/>
        <v>7242.8593439999995</v>
      </c>
      <c r="BR15" s="33">
        <f t="shared" si="35"/>
        <v>39995.227344</v>
      </c>
      <c r="BS15" s="65">
        <f t="shared" si="36"/>
        <v>568.9671552</v>
      </c>
      <c r="BT15" s="33"/>
      <c r="BU15" s="51">
        <f t="shared" si="92"/>
        <v>1861.365</v>
      </c>
      <c r="BV15" s="51">
        <f t="shared" si="37"/>
        <v>411.622295</v>
      </c>
      <c r="BW15" s="33">
        <f t="shared" si="38"/>
        <v>2272.987295</v>
      </c>
      <c r="BX15" s="65">
        <f t="shared" si="39"/>
        <v>32.335236</v>
      </c>
      <c r="BY15" s="33"/>
      <c r="BZ15" s="51">
        <f t="shared" si="93"/>
        <v>6578.896500000001</v>
      </c>
      <c r="CA15" s="51">
        <f t="shared" si="40"/>
        <v>1454.8573095000002</v>
      </c>
      <c r="CB15" s="33">
        <f t="shared" si="41"/>
        <v>8033.753809500001</v>
      </c>
      <c r="CC15" s="65">
        <f t="shared" si="42"/>
        <v>114.28718760000001</v>
      </c>
      <c r="CD15" s="33"/>
      <c r="CE15" s="33">
        <f t="shared" si="94"/>
        <v>23913.9945</v>
      </c>
      <c r="CF15" s="33">
        <f t="shared" si="43"/>
        <v>5288.3412435</v>
      </c>
      <c r="CG15" s="33">
        <f t="shared" si="44"/>
        <v>29202.3357435</v>
      </c>
      <c r="CH15" s="65">
        <f t="shared" si="45"/>
        <v>415.4288148</v>
      </c>
      <c r="CI15" s="33"/>
      <c r="CJ15" s="51">
        <f t="shared" si="95"/>
        <v>163310.13600000003</v>
      </c>
      <c r="CK15" s="51">
        <f t="shared" si="46"/>
        <v>36114.406888000005</v>
      </c>
      <c r="CL15" s="33">
        <f t="shared" si="47"/>
        <v>199424.54288800003</v>
      </c>
      <c r="CM15" s="65">
        <f t="shared" si="48"/>
        <v>2836.9888704000005</v>
      </c>
      <c r="CN15" s="33"/>
      <c r="CO15" s="51">
        <f t="shared" si="96"/>
        <v>675886.5135</v>
      </c>
      <c r="CP15" s="51">
        <f t="shared" si="49"/>
        <v>149465.5577205</v>
      </c>
      <c r="CQ15" s="33">
        <f t="shared" si="50"/>
        <v>825352.0712204999</v>
      </c>
      <c r="CR15" s="65">
        <f t="shared" si="51"/>
        <v>11741.3564364</v>
      </c>
      <c r="CS15" s="33"/>
      <c r="CT15" s="51">
        <f t="shared" si="97"/>
        <v>124251.138</v>
      </c>
      <c r="CU15" s="51">
        <f t="shared" si="52"/>
        <v>27476.899254000004</v>
      </c>
      <c r="CV15" s="33">
        <f t="shared" si="53"/>
        <v>151728.03725400002</v>
      </c>
      <c r="CW15" s="65">
        <f t="shared" si="54"/>
        <v>2158.4642832</v>
      </c>
      <c r="CX15" s="33"/>
      <c r="CY15" s="51">
        <f t="shared" si="98"/>
        <v>425395.59150000004</v>
      </c>
      <c r="CZ15" s="51">
        <f t="shared" si="55"/>
        <v>94071.9899945</v>
      </c>
      <c r="DA15" s="33">
        <f t="shared" si="56"/>
        <v>519467.58149450005</v>
      </c>
      <c r="DB15" s="65">
        <f t="shared" si="57"/>
        <v>7389.8815356000005</v>
      </c>
      <c r="DC15" s="33"/>
      <c r="DD15" s="51">
        <f t="shared" si="99"/>
        <v>90697.2825</v>
      </c>
      <c r="DE15" s="51">
        <f t="shared" si="58"/>
        <v>20056.7989475</v>
      </c>
      <c r="DF15" s="33">
        <f t="shared" si="59"/>
        <v>110754.08144750001</v>
      </c>
      <c r="DG15" s="65">
        <f t="shared" si="60"/>
        <v>1575.573858</v>
      </c>
      <c r="DH15" s="33"/>
      <c r="DI15" s="51">
        <f t="shared" si="100"/>
        <v>7388.996999999999</v>
      </c>
      <c r="DJ15" s="51">
        <f t="shared" si="61"/>
        <v>1634.002951</v>
      </c>
      <c r="DK15" s="33">
        <f t="shared" si="62"/>
        <v>9022.999951</v>
      </c>
      <c r="DL15" s="65">
        <f t="shared" si="63"/>
        <v>128.3600808</v>
      </c>
      <c r="DM15" s="33"/>
      <c r="DN15" s="51">
        <f t="shared" si="101"/>
        <v>8812.5345</v>
      </c>
      <c r="DO15" s="51">
        <f t="shared" si="64"/>
        <v>1948.8040635</v>
      </c>
      <c r="DP15" s="33">
        <f t="shared" si="65"/>
        <v>10761.3385635</v>
      </c>
      <c r="DQ15" s="65">
        <f t="shared" si="66"/>
        <v>153.0894708</v>
      </c>
      <c r="DR15" s="33"/>
      <c r="DS15" s="51">
        <f t="shared" si="102"/>
        <v>17973.417</v>
      </c>
      <c r="DT15" s="51">
        <f t="shared" si="67"/>
        <v>3974.641811</v>
      </c>
      <c r="DU15" s="33">
        <f t="shared" si="68"/>
        <v>21948.058811000003</v>
      </c>
      <c r="DV15" s="65">
        <f t="shared" si="69"/>
        <v>312.2303688</v>
      </c>
      <c r="DW15" s="33"/>
      <c r="DX15" s="51">
        <f t="shared" si="103"/>
        <v>495408.276</v>
      </c>
      <c r="DY15" s="51">
        <f t="shared" si="70"/>
        <v>109554.596508</v>
      </c>
      <c r="DZ15" s="33">
        <f t="shared" si="71"/>
        <v>604962.872508</v>
      </c>
      <c r="EA15" s="65">
        <f t="shared" si="72"/>
        <v>8606.126966400001</v>
      </c>
      <c r="EB15" s="33"/>
      <c r="EC15" s="33">
        <f t="shared" si="104"/>
        <v>19240.485</v>
      </c>
      <c r="ED15" s="33">
        <f t="shared" si="73"/>
        <v>4254.841255</v>
      </c>
      <c r="EE15" s="33">
        <f t="shared" si="74"/>
        <v>23495.326255</v>
      </c>
      <c r="EF15" s="65">
        <f t="shared" si="75"/>
        <v>334.241604</v>
      </c>
      <c r="EG15" s="33"/>
      <c r="EH15" s="51">
        <f t="shared" si="105"/>
        <v>41233.302</v>
      </c>
      <c r="EI15" s="51">
        <f t="shared" si="76"/>
        <v>9118.333266</v>
      </c>
      <c r="EJ15" s="33">
        <f t="shared" si="77"/>
        <v>50351.635266000005</v>
      </c>
      <c r="EK15" s="65">
        <f t="shared" si="78"/>
        <v>716.2961328</v>
      </c>
      <c r="EL15" s="33"/>
      <c r="EM15" s="33"/>
      <c r="EN15" s="33"/>
      <c r="EO15" s="33"/>
    </row>
    <row r="16" spans="1:145" ht="12.75">
      <c r="A16" s="19">
        <v>43739</v>
      </c>
      <c r="D16" s="35">
        <v>938530</v>
      </c>
      <c r="E16" s="35">
        <f t="shared" si="0"/>
        <v>938530</v>
      </c>
      <c r="F16" s="35">
        <v>83124</v>
      </c>
      <c r="H16" s="51"/>
      <c r="I16" s="51">
        <f>'Academic Project'!M16</f>
        <v>301787.60635500005</v>
      </c>
      <c r="J16" s="51">
        <f t="shared" si="79"/>
        <v>301787.60635500005</v>
      </c>
      <c r="K16" s="51">
        <f>'Academic Project'!O16</f>
        <v>26728.813133999996</v>
      </c>
      <c r="M16" s="51"/>
      <c r="N16" s="41">
        <f t="shared" si="1"/>
        <v>636742.3936450001</v>
      </c>
      <c r="O16" s="33">
        <f t="shared" si="2"/>
        <v>636742.3936450001</v>
      </c>
      <c r="P16" s="41">
        <f t="shared" si="3"/>
        <v>56395.186866000004</v>
      </c>
      <c r="R16" s="65"/>
      <c r="S16" s="65">
        <f t="shared" si="4"/>
        <v>51634.635745</v>
      </c>
      <c r="T16" s="20">
        <f t="shared" si="5"/>
        <v>51634.635745</v>
      </c>
      <c r="U16" s="65">
        <f t="shared" si="6"/>
        <v>4573.191546</v>
      </c>
      <c r="W16" s="65"/>
      <c r="X16" s="65">
        <f t="shared" si="7"/>
        <v>63034.771948999994</v>
      </c>
      <c r="Y16" s="20">
        <f t="shared" si="8"/>
        <v>63034.771948999994</v>
      </c>
      <c r="Z16" s="65">
        <f t="shared" si="9"/>
        <v>5582.8821492</v>
      </c>
      <c r="AC16" s="33">
        <f t="shared" si="10"/>
        <v>230.78452700000003</v>
      </c>
      <c r="AD16" s="33">
        <f t="shared" si="11"/>
        <v>230.78452700000003</v>
      </c>
      <c r="AE16" s="65">
        <f t="shared" si="12"/>
        <v>20.440191600000002</v>
      </c>
      <c r="AG16" s="65"/>
      <c r="AH16" s="65">
        <f t="shared" si="13"/>
        <v>13623.795333</v>
      </c>
      <c r="AI16" s="20">
        <f t="shared" si="14"/>
        <v>13623.795333</v>
      </c>
      <c r="AJ16" s="65">
        <f t="shared" si="15"/>
        <v>1206.6362964</v>
      </c>
      <c r="AL16" s="65"/>
      <c r="AM16" s="65">
        <f t="shared" si="16"/>
        <v>62686.76502500001</v>
      </c>
      <c r="AN16" s="20">
        <f t="shared" si="17"/>
        <v>62686.76502500001</v>
      </c>
      <c r="AO16" s="65">
        <f t="shared" si="18"/>
        <v>5552.059770000001</v>
      </c>
      <c r="AP16" s="33"/>
      <c r="AQ16" s="65"/>
      <c r="AR16" s="65">
        <f t="shared" si="19"/>
        <v>9882.345488</v>
      </c>
      <c r="AS16" s="20">
        <f t="shared" si="20"/>
        <v>9882.345488</v>
      </c>
      <c r="AT16" s="65">
        <f t="shared" si="21"/>
        <v>875.2624704</v>
      </c>
      <c r="AU16" s="33"/>
      <c r="AV16" s="51"/>
      <c r="AW16" s="51">
        <f t="shared" si="22"/>
        <v>548.946197</v>
      </c>
      <c r="AX16" s="33">
        <f t="shared" si="23"/>
        <v>548.946197</v>
      </c>
      <c r="AY16" s="65">
        <f t="shared" si="24"/>
        <v>48.619227599999995</v>
      </c>
      <c r="AZ16" s="33"/>
      <c r="BA16" s="33"/>
      <c r="BB16" s="33">
        <f t="shared" si="25"/>
        <v>6323.158169</v>
      </c>
      <c r="BC16" s="33">
        <f t="shared" si="26"/>
        <v>6323.158169</v>
      </c>
      <c r="BD16" s="65">
        <f t="shared" si="27"/>
        <v>560.0313252</v>
      </c>
      <c r="BE16" s="33"/>
      <c r="BF16" s="51"/>
      <c r="BG16" s="51">
        <f t="shared" si="28"/>
        <v>8839.638658</v>
      </c>
      <c r="BH16" s="33">
        <f t="shared" si="29"/>
        <v>8839.638658</v>
      </c>
      <c r="BI16" s="65">
        <f t="shared" si="30"/>
        <v>782.9117064</v>
      </c>
      <c r="BJ16" s="33"/>
      <c r="BK16" s="51"/>
      <c r="BL16" s="51">
        <f t="shared" si="31"/>
        <v>1236.6071279999999</v>
      </c>
      <c r="BM16" s="33">
        <f t="shared" si="32"/>
        <v>1236.6071279999999</v>
      </c>
      <c r="BN16" s="65">
        <f t="shared" si="33"/>
        <v>109.5241824</v>
      </c>
      <c r="BO16" s="33"/>
      <c r="BP16" s="51"/>
      <c r="BQ16" s="51">
        <f t="shared" si="34"/>
        <v>6424.050144</v>
      </c>
      <c r="BR16" s="33">
        <f t="shared" si="35"/>
        <v>6424.050144</v>
      </c>
      <c r="BS16" s="65">
        <f t="shared" si="36"/>
        <v>568.9671552</v>
      </c>
      <c r="BT16" s="33"/>
      <c r="BU16" s="51"/>
      <c r="BV16" s="51">
        <f t="shared" si="37"/>
        <v>365.08817000000005</v>
      </c>
      <c r="BW16" s="33">
        <f t="shared" si="38"/>
        <v>365.08817000000005</v>
      </c>
      <c r="BX16" s="65">
        <f t="shared" si="39"/>
        <v>32.335236</v>
      </c>
      <c r="BY16" s="33"/>
      <c r="BZ16" s="51"/>
      <c r="CA16" s="51">
        <f t="shared" si="40"/>
        <v>1290.3848970000001</v>
      </c>
      <c r="CB16" s="33">
        <f t="shared" si="41"/>
        <v>1290.3848970000001</v>
      </c>
      <c r="CC16" s="65">
        <f t="shared" si="42"/>
        <v>114.28718760000001</v>
      </c>
      <c r="CD16" s="33"/>
      <c r="CE16" s="33"/>
      <c r="CF16" s="33">
        <f t="shared" si="43"/>
        <v>4690.491381</v>
      </c>
      <c r="CG16" s="33">
        <f t="shared" si="44"/>
        <v>4690.491381</v>
      </c>
      <c r="CH16" s="65">
        <f t="shared" si="45"/>
        <v>415.4288148</v>
      </c>
      <c r="CI16" s="33"/>
      <c r="CJ16" s="51"/>
      <c r="CK16" s="51">
        <f t="shared" si="46"/>
        <v>32031.653488000004</v>
      </c>
      <c r="CL16" s="33">
        <f t="shared" si="47"/>
        <v>32031.653488000004</v>
      </c>
      <c r="CM16" s="65">
        <f t="shared" si="48"/>
        <v>2836.9888704000005</v>
      </c>
      <c r="CN16" s="33"/>
      <c r="CO16" s="51"/>
      <c r="CP16" s="51">
        <f t="shared" si="49"/>
        <v>132568.394883</v>
      </c>
      <c r="CQ16" s="33">
        <f t="shared" si="50"/>
        <v>132568.394883</v>
      </c>
      <c r="CR16" s="65">
        <f t="shared" si="51"/>
        <v>11741.3564364</v>
      </c>
      <c r="CS16" s="33"/>
      <c r="CT16" s="51"/>
      <c r="CU16" s="51">
        <f t="shared" si="52"/>
        <v>24370.620804000002</v>
      </c>
      <c r="CV16" s="33">
        <f t="shared" si="53"/>
        <v>24370.620804000002</v>
      </c>
      <c r="CW16" s="65">
        <f t="shared" si="54"/>
        <v>2158.4642832</v>
      </c>
      <c r="CX16" s="33"/>
      <c r="CY16" s="51"/>
      <c r="CZ16" s="51">
        <f t="shared" si="55"/>
        <v>83437.10020700001</v>
      </c>
      <c r="DA16" s="33">
        <f t="shared" si="56"/>
        <v>83437.10020700001</v>
      </c>
      <c r="DB16" s="65">
        <f t="shared" si="57"/>
        <v>7389.8815356000005</v>
      </c>
      <c r="DC16" s="33"/>
      <c r="DD16" s="51"/>
      <c r="DE16" s="51">
        <f t="shared" si="58"/>
        <v>17789.366885</v>
      </c>
      <c r="DF16" s="33">
        <f t="shared" si="59"/>
        <v>17789.366885</v>
      </c>
      <c r="DG16" s="65">
        <f t="shared" si="60"/>
        <v>1575.573858</v>
      </c>
      <c r="DH16" s="33"/>
      <c r="DI16" s="51"/>
      <c r="DJ16" s="51">
        <f t="shared" si="61"/>
        <v>1449.278026</v>
      </c>
      <c r="DK16" s="33">
        <f t="shared" si="62"/>
        <v>1449.278026</v>
      </c>
      <c r="DL16" s="65">
        <f t="shared" si="63"/>
        <v>128.3600808</v>
      </c>
      <c r="DM16" s="33"/>
      <c r="DN16" s="51"/>
      <c r="DO16" s="51">
        <f t="shared" si="64"/>
        <v>1728.490701</v>
      </c>
      <c r="DP16" s="33">
        <f t="shared" si="65"/>
        <v>1728.490701</v>
      </c>
      <c r="DQ16" s="65">
        <f t="shared" si="66"/>
        <v>153.0894708</v>
      </c>
      <c r="DR16" s="33"/>
      <c r="DS16" s="51"/>
      <c r="DT16" s="51">
        <f t="shared" si="67"/>
        <v>3525.3063859999997</v>
      </c>
      <c r="DU16" s="33">
        <f t="shared" si="68"/>
        <v>3525.3063859999997</v>
      </c>
      <c r="DV16" s="65">
        <f t="shared" si="69"/>
        <v>312.2303688</v>
      </c>
      <c r="DW16" s="33"/>
      <c r="DX16" s="51"/>
      <c r="DY16" s="51">
        <f t="shared" si="70"/>
        <v>97169.389608</v>
      </c>
      <c r="DZ16" s="33">
        <f t="shared" si="71"/>
        <v>97169.389608</v>
      </c>
      <c r="EA16" s="65">
        <f t="shared" si="72"/>
        <v>8606.126966400001</v>
      </c>
      <c r="EB16" s="33"/>
      <c r="EC16" s="33"/>
      <c r="ED16" s="33">
        <f t="shared" si="73"/>
        <v>3773.82913</v>
      </c>
      <c r="EE16" s="33">
        <f t="shared" si="74"/>
        <v>3773.82913</v>
      </c>
      <c r="EF16" s="65">
        <f t="shared" si="75"/>
        <v>334.241604</v>
      </c>
      <c r="EG16" s="33"/>
      <c r="EH16" s="51"/>
      <c r="EI16" s="51">
        <f t="shared" si="76"/>
        <v>8087.5007160000005</v>
      </c>
      <c r="EJ16" s="33">
        <f t="shared" si="77"/>
        <v>8087.5007160000005</v>
      </c>
      <c r="EK16" s="65">
        <f t="shared" si="78"/>
        <v>716.2961328</v>
      </c>
      <c r="EL16" s="33"/>
      <c r="EM16" s="33"/>
      <c r="EN16" s="33"/>
      <c r="EO16" s="33"/>
    </row>
    <row r="17" spans="1:145" ht="12.75">
      <c r="A17" s="52">
        <v>43922</v>
      </c>
      <c r="C17" s="35">
        <v>5025000</v>
      </c>
      <c r="D17" s="35">
        <v>938530</v>
      </c>
      <c r="E17" s="35">
        <f t="shared" si="0"/>
        <v>5963530</v>
      </c>
      <c r="F17" s="35">
        <v>83124</v>
      </c>
      <c r="H17" s="51">
        <f>'Academic Project'!L17</f>
        <v>1615806.3374999994</v>
      </c>
      <c r="I17" s="51">
        <f>'Academic Project'!M17</f>
        <v>301787.60635500005</v>
      </c>
      <c r="J17" s="51">
        <f t="shared" si="79"/>
        <v>1917593.9438549995</v>
      </c>
      <c r="K17" s="51">
        <f>'Academic Project'!O17</f>
        <v>26728.813133999996</v>
      </c>
      <c r="M17" s="51">
        <f t="shared" si="80"/>
        <v>3409193.6624999996</v>
      </c>
      <c r="N17" s="41">
        <f t="shared" si="1"/>
        <v>636742.3936450001</v>
      </c>
      <c r="O17" s="33">
        <f t="shared" si="2"/>
        <v>4045936.056145</v>
      </c>
      <c r="P17" s="41">
        <f t="shared" si="3"/>
        <v>56395.186866000004</v>
      </c>
      <c r="R17" s="65">
        <f t="shared" si="81"/>
        <v>276457.91250000003</v>
      </c>
      <c r="S17" s="65">
        <f t="shared" si="4"/>
        <v>51634.635745</v>
      </c>
      <c r="T17" s="20">
        <f t="shared" si="5"/>
        <v>328092.548245</v>
      </c>
      <c r="U17" s="65">
        <f t="shared" si="6"/>
        <v>4573.191546</v>
      </c>
      <c r="W17" s="65">
        <f t="shared" si="82"/>
        <v>337495.58249999996</v>
      </c>
      <c r="X17" s="65">
        <f t="shared" si="7"/>
        <v>63034.771948999994</v>
      </c>
      <c r="Y17" s="20">
        <f t="shared" si="8"/>
        <v>400530.354449</v>
      </c>
      <c r="Z17" s="65">
        <f t="shared" si="9"/>
        <v>5582.8821492</v>
      </c>
      <c r="AB17" s="33">
        <f t="shared" si="83"/>
        <v>1235.6475</v>
      </c>
      <c r="AC17" s="33">
        <f t="shared" si="10"/>
        <v>230.78452700000003</v>
      </c>
      <c r="AD17" s="33">
        <f t="shared" si="11"/>
        <v>1466.432027</v>
      </c>
      <c r="AE17" s="65">
        <f t="shared" si="12"/>
        <v>20.440191600000002</v>
      </c>
      <c r="AG17" s="65">
        <f t="shared" si="84"/>
        <v>72943.4025</v>
      </c>
      <c r="AH17" s="65">
        <f t="shared" si="13"/>
        <v>13623.795333</v>
      </c>
      <c r="AI17" s="20">
        <f t="shared" si="14"/>
        <v>86567.197833</v>
      </c>
      <c r="AJ17" s="65">
        <f t="shared" si="15"/>
        <v>1206.6362964</v>
      </c>
      <c r="AL17" s="65">
        <f t="shared" si="85"/>
        <v>335632.3125</v>
      </c>
      <c r="AM17" s="65">
        <f t="shared" si="16"/>
        <v>62686.76502500001</v>
      </c>
      <c r="AN17" s="20">
        <f t="shared" si="17"/>
        <v>398319.07752500003</v>
      </c>
      <c r="AO17" s="65">
        <f t="shared" si="18"/>
        <v>5552.059770000001</v>
      </c>
      <c r="AP17" s="33"/>
      <c r="AQ17" s="65">
        <f t="shared" si="86"/>
        <v>52911.24</v>
      </c>
      <c r="AR17" s="65">
        <f t="shared" si="19"/>
        <v>9882.345488</v>
      </c>
      <c r="AS17" s="20">
        <f t="shared" si="20"/>
        <v>62793.585488</v>
      </c>
      <c r="AT17" s="65">
        <f t="shared" si="21"/>
        <v>875.2624704</v>
      </c>
      <c r="AU17" s="33"/>
      <c r="AV17" s="51">
        <f t="shared" si="87"/>
        <v>2939.1225</v>
      </c>
      <c r="AW17" s="51">
        <f t="shared" si="22"/>
        <v>548.946197</v>
      </c>
      <c r="AX17" s="33">
        <f t="shared" si="23"/>
        <v>3488.0686969999997</v>
      </c>
      <c r="AY17" s="65">
        <f t="shared" si="24"/>
        <v>48.619227599999995</v>
      </c>
      <c r="AZ17" s="33"/>
      <c r="BA17" s="33">
        <f t="shared" si="88"/>
        <v>33854.9325</v>
      </c>
      <c r="BB17" s="33">
        <f t="shared" si="25"/>
        <v>6323.158169</v>
      </c>
      <c r="BC17" s="33">
        <f t="shared" si="26"/>
        <v>40178.090669000005</v>
      </c>
      <c r="BD17" s="65">
        <f t="shared" si="27"/>
        <v>560.0313252</v>
      </c>
      <c r="BE17" s="33"/>
      <c r="BF17" s="51">
        <f t="shared" si="89"/>
        <v>47328.465</v>
      </c>
      <c r="BG17" s="51">
        <f t="shared" si="28"/>
        <v>8839.638658</v>
      </c>
      <c r="BH17" s="33">
        <f t="shared" si="29"/>
        <v>56168.10365799999</v>
      </c>
      <c r="BI17" s="65">
        <f t="shared" si="30"/>
        <v>782.9117064</v>
      </c>
      <c r="BJ17" s="33"/>
      <c r="BK17" s="51">
        <f t="shared" si="90"/>
        <v>6620.94</v>
      </c>
      <c r="BL17" s="51">
        <f t="shared" si="31"/>
        <v>1236.6071279999999</v>
      </c>
      <c r="BM17" s="33">
        <f t="shared" si="32"/>
        <v>7857.547127999999</v>
      </c>
      <c r="BN17" s="65">
        <f t="shared" si="33"/>
        <v>109.5241824</v>
      </c>
      <c r="BO17" s="33"/>
      <c r="BP17" s="51">
        <f t="shared" si="91"/>
        <v>34395.12</v>
      </c>
      <c r="BQ17" s="51">
        <f t="shared" si="34"/>
        <v>6424.050144</v>
      </c>
      <c r="BR17" s="33">
        <f t="shared" si="35"/>
        <v>40819.170144</v>
      </c>
      <c r="BS17" s="65">
        <f t="shared" si="36"/>
        <v>568.9671552</v>
      </c>
      <c r="BT17" s="33"/>
      <c r="BU17" s="51">
        <f t="shared" si="92"/>
        <v>1954.7250000000001</v>
      </c>
      <c r="BV17" s="51">
        <f t="shared" si="37"/>
        <v>365.08817000000005</v>
      </c>
      <c r="BW17" s="33">
        <f t="shared" si="38"/>
        <v>2319.8131700000004</v>
      </c>
      <c r="BX17" s="65">
        <f t="shared" si="39"/>
        <v>32.335236</v>
      </c>
      <c r="BY17" s="33"/>
      <c r="BZ17" s="51">
        <f t="shared" si="93"/>
        <v>6908.8725</v>
      </c>
      <c r="CA17" s="51">
        <f t="shared" si="40"/>
        <v>1290.3848970000001</v>
      </c>
      <c r="CB17" s="33">
        <f t="shared" si="41"/>
        <v>8199.257397000001</v>
      </c>
      <c r="CC17" s="65">
        <f t="shared" si="42"/>
        <v>114.28718760000001</v>
      </c>
      <c r="CD17" s="33"/>
      <c r="CE17" s="33">
        <f t="shared" si="94"/>
        <v>25113.4425</v>
      </c>
      <c r="CF17" s="33">
        <f t="shared" si="43"/>
        <v>4690.491381</v>
      </c>
      <c r="CG17" s="33">
        <f t="shared" si="44"/>
        <v>29803.933881</v>
      </c>
      <c r="CH17" s="65">
        <f t="shared" si="45"/>
        <v>415.4288148</v>
      </c>
      <c r="CI17" s="33"/>
      <c r="CJ17" s="51">
        <f t="shared" si="95"/>
        <v>171501.24000000002</v>
      </c>
      <c r="CK17" s="51">
        <f t="shared" si="46"/>
        <v>32031.653488000004</v>
      </c>
      <c r="CL17" s="33">
        <f t="shared" si="47"/>
        <v>203532.89348800003</v>
      </c>
      <c r="CM17" s="65">
        <f t="shared" si="48"/>
        <v>2836.9888704000005</v>
      </c>
      <c r="CN17" s="33"/>
      <c r="CO17" s="51">
        <f t="shared" si="96"/>
        <v>709786.7775</v>
      </c>
      <c r="CP17" s="51">
        <f t="shared" si="49"/>
        <v>132568.394883</v>
      </c>
      <c r="CQ17" s="33">
        <f t="shared" si="50"/>
        <v>842355.1723829999</v>
      </c>
      <c r="CR17" s="65">
        <f t="shared" si="51"/>
        <v>11741.3564364</v>
      </c>
      <c r="CS17" s="33"/>
      <c r="CT17" s="51">
        <f t="shared" si="97"/>
        <v>130483.17000000001</v>
      </c>
      <c r="CU17" s="51">
        <f t="shared" si="52"/>
        <v>24370.620804000002</v>
      </c>
      <c r="CV17" s="33">
        <f t="shared" si="53"/>
        <v>154853.79080400002</v>
      </c>
      <c r="CW17" s="65">
        <f t="shared" si="54"/>
        <v>2158.4642832</v>
      </c>
      <c r="CX17" s="33"/>
      <c r="CY17" s="51">
        <f t="shared" si="98"/>
        <v>446732.04750000004</v>
      </c>
      <c r="CZ17" s="51">
        <f t="shared" si="55"/>
        <v>83437.10020700001</v>
      </c>
      <c r="DA17" s="33">
        <f t="shared" si="56"/>
        <v>530169.147707</v>
      </c>
      <c r="DB17" s="65">
        <f t="shared" si="57"/>
        <v>7389.8815356000005</v>
      </c>
      <c r="DC17" s="33"/>
      <c r="DD17" s="51">
        <f t="shared" si="99"/>
        <v>95246.36249999999</v>
      </c>
      <c r="DE17" s="51">
        <f t="shared" si="58"/>
        <v>17789.366885</v>
      </c>
      <c r="DF17" s="33">
        <f t="shared" si="59"/>
        <v>113035.72938499998</v>
      </c>
      <c r="DG17" s="65">
        <f t="shared" si="60"/>
        <v>1575.573858</v>
      </c>
      <c r="DH17" s="33"/>
      <c r="DI17" s="51">
        <f t="shared" si="100"/>
        <v>7759.605</v>
      </c>
      <c r="DJ17" s="51">
        <f t="shared" si="61"/>
        <v>1449.278026</v>
      </c>
      <c r="DK17" s="33">
        <f t="shared" si="62"/>
        <v>9208.883026</v>
      </c>
      <c r="DL17" s="65">
        <f t="shared" si="63"/>
        <v>128.3600808</v>
      </c>
      <c r="DM17" s="33"/>
      <c r="DN17" s="51">
        <f t="shared" si="101"/>
        <v>9254.5425</v>
      </c>
      <c r="DO17" s="51">
        <f t="shared" si="64"/>
        <v>1728.490701</v>
      </c>
      <c r="DP17" s="33">
        <f t="shared" si="65"/>
        <v>10983.033201</v>
      </c>
      <c r="DQ17" s="65">
        <f t="shared" si="66"/>
        <v>153.0894708</v>
      </c>
      <c r="DR17" s="33"/>
      <c r="DS17" s="51">
        <f t="shared" si="102"/>
        <v>18874.905</v>
      </c>
      <c r="DT17" s="51">
        <f t="shared" si="67"/>
        <v>3525.3063859999997</v>
      </c>
      <c r="DU17" s="33">
        <f t="shared" si="68"/>
        <v>22400.211386</v>
      </c>
      <c r="DV17" s="65">
        <f t="shared" si="69"/>
        <v>312.2303688</v>
      </c>
      <c r="DW17" s="33"/>
      <c r="DX17" s="51">
        <f t="shared" si="103"/>
        <v>520256.34</v>
      </c>
      <c r="DY17" s="51">
        <f t="shared" si="70"/>
        <v>97169.389608</v>
      </c>
      <c r="DZ17" s="33">
        <f t="shared" si="71"/>
        <v>617425.729608</v>
      </c>
      <c r="EA17" s="65">
        <f t="shared" si="72"/>
        <v>8606.126966400001</v>
      </c>
      <c r="EB17" s="33"/>
      <c r="EC17" s="33">
        <f t="shared" si="104"/>
        <v>20205.525</v>
      </c>
      <c r="ED17" s="33">
        <f t="shared" si="73"/>
        <v>3773.82913</v>
      </c>
      <c r="EE17" s="33">
        <f t="shared" si="74"/>
        <v>23979.35413</v>
      </c>
      <c r="EF17" s="65">
        <f t="shared" si="75"/>
        <v>334.241604</v>
      </c>
      <c r="EG17" s="33"/>
      <c r="EH17" s="51">
        <f t="shared" si="105"/>
        <v>43301.43</v>
      </c>
      <c r="EI17" s="51">
        <f t="shared" si="76"/>
        <v>8087.5007160000005</v>
      </c>
      <c r="EJ17" s="33">
        <f t="shared" si="77"/>
        <v>51388.930716</v>
      </c>
      <c r="EK17" s="65">
        <f t="shared" si="78"/>
        <v>716.2961328</v>
      </c>
      <c r="EL17" s="33"/>
      <c r="EM17" s="33"/>
      <c r="EN17" s="33"/>
      <c r="EO17" s="33"/>
    </row>
    <row r="18" spans="1:145" ht="12.75">
      <c r="A18" s="52">
        <v>44105</v>
      </c>
      <c r="D18" s="35">
        <v>838030</v>
      </c>
      <c r="E18" s="35">
        <f t="shared" si="0"/>
        <v>838030</v>
      </c>
      <c r="F18" s="35">
        <v>83124</v>
      </c>
      <c r="H18" s="51"/>
      <c r="I18" s="51">
        <f>'Academic Project'!M18</f>
        <v>269471.479605</v>
      </c>
      <c r="J18" s="51">
        <f t="shared" si="79"/>
        <v>269471.479605</v>
      </c>
      <c r="K18" s="51">
        <f>'Academic Project'!O18</f>
        <v>26728.813133999996</v>
      </c>
      <c r="M18" s="51"/>
      <c r="N18" s="41">
        <f t="shared" si="1"/>
        <v>568558.520395</v>
      </c>
      <c r="O18" s="33">
        <f t="shared" si="2"/>
        <v>568558.520395</v>
      </c>
      <c r="P18" s="41">
        <f t="shared" si="3"/>
        <v>56395.186866000004</v>
      </c>
      <c r="R18" s="65"/>
      <c r="S18" s="65">
        <f t="shared" si="4"/>
        <v>46105.477495</v>
      </c>
      <c r="T18" s="20">
        <f t="shared" si="5"/>
        <v>46105.477495</v>
      </c>
      <c r="U18" s="65">
        <f t="shared" si="6"/>
        <v>4573.191546</v>
      </c>
      <c r="W18" s="65"/>
      <c r="X18" s="65">
        <f t="shared" si="7"/>
        <v>56284.86029899999</v>
      </c>
      <c r="Y18" s="20">
        <f t="shared" si="8"/>
        <v>56284.86029899999</v>
      </c>
      <c r="Z18" s="65">
        <f t="shared" si="9"/>
        <v>5582.8821492</v>
      </c>
      <c r="AC18" s="33">
        <f t="shared" si="10"/>
        <v>206.07157700000002</v>
      </c>
      <c r="AD18" s="33">
        <f t="shared" si="11"/>
        <v>206.07157700000002</v>
      </c>
      <c r="AE18" s="65">
        <f t="shared" si="12"/>
        <v>20.440191600000002</v>
      </c>
      <c r="AG18" s="65"/>
      <c r="AH18" s="65">
        <f t="shared" si="13"/>
        <v>12164.927283</v>
      </c>
      <c r="AI18" s="20">
        <f t="shared" si="14"/>
        <v>12164.927283</v>
      </c>
      <c r="AJ18" s="65">
        <f t="shared" si="15"/>
        <v>1206.6362964</v>
      </c>
      <c r="AL18" s="65"/>
      <c r="AM18" s="65">
        <f t="shared" si="16"/>
        <v>55974.118775</v>
      </c>
      <c r="AN18" s="20">
        <f t="shared" si="17"/>
        <v>55974.118775</v>
      </c>
      <c r="AO18" s="65">
        <f t="shared" si="18"/>
        <v>5552.059770000001</v>
      </c>
      <c r="AP18" s="33"/>
      <c r="AQ18" s="65"/>
      <c r="AR18" s="65">
        <f t="shared" si="19"/>
        <v>8824.120688</v>
      </c>
      <c r="AS18" s="20">
        <f t="shared" si="20"/>
        <v>8824.120688</v>
      </c>
      <c r="AT18" s="65">
        <f t="shared" si="21"/>
        <v>875.2624704</v>
      </c>
      <c r="AU18" s="33"/>
      <c r="AV18" s="51"/>
      <c r="AW18" s="51">
        <f t="shared" si="22"/>
        <v>490.16374699999994</v>
      </c>
      <c r="AX18" s="33">
        <f t="shared" si="23"/>
        <v>490.16374699999994</v>
      </c>
      <c r="AY18" s="65">
        <f t="shared" si="24"/>
        <v>48.619227599999995</v>
      </c>
      <c r="AZ18" s="33"/>
      <c r="BA18" s="33"/>
      <c r="BB18" s="33">
        <f t="shared" si="25"/>
        <v>5646.059518999999</v>
      </c>
      <c r="BC18" s="33">
        <f t="shared" si="26"/>
        <v>5646.059518999999</v>
      </c>
      <c r="BD18" s="65">
        <f t="shared" si="27"/>
        <v>560.0313252</v>
      </c>
      <c r="BE18" s="33"/>
      <c r="BF18" s="51"/>
      <c r="BG18" s="51">
        <f t="shared" si="28"/>
        <v>7893.069358</v>
      </c>
      <c r="BH18" s="33">
        <f t="shared" si="29"/>
        <v>7893.069358</v>
      </c>
      <c r="BI18" s="65">
        <f t="shared" si="30"/>
        <v>782.9117064</v>
      </c>
      <c r="BJ18" s="33"/>
      <c r="BK18" s="51"/>
      <c r="BL18" s="51">
        <f t="shared" si="31"/>
        <v>1104.188328</v>
      </c>
      <c r="BM18" s="33">
        <f t="shared" si="32"/>
        <v>1104.188328</v>
      </c>
      <c r="BN18" s="65">
        <f t="shared" si="33"/>
        <v>109.5241824</v>
      </c>
      <c r="BO18" s="33"/>
      <c r="BP18" s="51"/>
      <c r="BQ18" s="51">
        <f t="shared" si="34"/>
        <v>5736.147744</v>
      </c>
      <c r="BR18" s="33">
        <f t="shared" si="35"/>
        <v>5736.147744</v>
      </c>
      <c r="BS18" s="65">
        <f t="shared" si="36"/>
        <v>568.9671552</v>
      </c>
      <c r="BT18" s="33"/>
      <c r="BU18" s="51"/>
      <c r="BV18" s="51">
        <f t="shared" si="37"/>
        <v>325.99367</v>
      </c>
      <c r="BW18" s="33">
        <f t="shared" si="38"/>
        <v>325.99367</v>
      </c>
      <c r="BX18" s="65">
        <f t="shared" si="39"/>
        <v>32.335236</v>
      </c>
      <c r="BY18" s="33"/>
      <c r="BZ18" s="51"/>
      <c r="CA18" s="51">
        <f t="shared" si="40"/>
        <v>1152.207447</v>
      </c>
      <c r="CB18" s="33">
        <f t="shared" si="41"/>
        <v>1152.207447</v>
      </c>
      <c r="CC18" s="65">
        <f t="shared" si="42"/>
        <v>114.28718760000001</v>
      </c>
      <c r="CD18" s="33"/>
      <c r="CE18" s="33"/>
      <c r="CF18" s="33">
        <f t="shared" si="43"/>
        <v>4188.222531</v>
      </c>
      <c r="CG18" s="33">
        <f t="shared" si="44"/>
        <v>4188.222531</v>
      </c>
      <c r="CH18" s="65">
        <f t="shared" si="45"/>
        <v>415.4288148</v>
      </c>
      <c r="CI18" s="33"/>
      <c r="CJ18" s="51"/>
      <c r="CK18" s="51">
        <f t="shared" si="46"/>
        <v>28601.628688</v>
      </c>
      <c r="CL18" s="33">
        <f t="shared" si="47"/>
        <v>28601.628688</v>
      </c>
      <c r="CM18" s="65">
        <f t="shared" si="48"/>
        <v>2836.9888704000005</v>
      </c>
      <c r="CN18" s="33"/>
      <c r="CO18" s="51"/>
      <c r="CP18" s="51">
        <f t="shared" si="49"/>
        <v>118372.65933299999</v>
      </c>
      <c r="CQ18" s="33">
        <f t="shared" si="50"/>
        <v>118372.65933299999</v>
      </c>
      <c r="CR18" s="65">
        <f t="shared" si="51"/>
        <v>11741.3564364</v>
      </c>
      <c r="CS18" s="33"/>
      <c r="CT18" s="51"/>
      <c r="CU18" s="51">
        <f t="shared" si="52"/>
        <v>21760.957404</v>
      </c>
      <c r="CV18" s="33">
        <f t="shared" si="53"/>
        <v>21760.957404</v>
      </c>
      <c r="CW18" s="65">
        <f t="shared" si="54"/>
        <v>2158.4642832</v>
      </c>
      <c r="CX18" s="33"/>
      <c r="CY18" s="51"/>
      <c r="CZ18" s="51">
        <f t="shared" si="55"/>
        <v>74502.45925700001</v>
      </c>
      <c r="DA18" s="33">
        <f t="shared" si="56"/>
        <v>74502.45925700001</v>
      </c>
      <c r="DB18" s="65">
        <f t="shared" si="57"/>
        <v>7389.8815356000005</v>
      </c>
      <c r="DC18" s="33"/>
      <c r="DD18" s="51"/>
      <c r="DE18" s="51">
        <f t="shared" si="58"/>
        <v>15884.439634999999</v>
      </c>
      <c r="DF18" s="33">
        <f t="shared" si="59"/>
        <v>15884.439634999999</v>
      </c>
      <c r="DG18" s="65">
        <f t="shared" si="60"/>
        <v>1575.573858</v>
      </c>
      <c r="DH18" s="33"/>
      <c r="DI18" s="51"/>
      <c r="DJ18" s="51">
        <f t="shared" si="61"/>
        <v>1294.085926</v>
      </c>
      <c r="DK18" s="33">
        <f t="shared" si="62"/>
        <v>1294.085926</v>
      </c>
      <c r="DL18" s="65">
        <f t="shared" si="63"/>
        <v>128.3600808</v>
      </c>
      <c r="DM18" s="33"/>
      <c r="DN18" s="51"/>
      <c r="DO18" s="51">
        <f t="shared" si="64"/>
        <v>1543.399851</v>
      </c>
      <c r="DP18" s="33">
        <f t="shared" si="65"/>
        <v>1543.399851</v>
      </c>
      <c r="DQ18" s="65">
        <f t="shared" si="66"/>
        <v>153.0894708</v>
      </c>
      <c r="DR18" s="33"/>
      <c r="DS18" s="51"/>
      <c r="DT18" s="51">
        <f t="shared" si="67"/>
        <v>3147.808286</v>
      </c>
      <c r="DU18" s="33">
        <f t="shared" si="68"/>
        <v>3147.808286</v>
      </c>
      <c r="DV18" s="65">
        <f t="shared" si="69"/>
        <v>312.2303688</v>
      </c>
      <c r="DW18" s="33"/>
      <c r="DX18" s="51"/>
      <c r="DY18" s="51">
        <f t="shared" si="70"/>
        <v>86764.262808</v>
      </c>
      <c r="DZ18" s="33">
        <f t="shared" si="71"/>
        <v>86764.262808</v>
      </c>
      <c r="EA18" s="65">
        <f t="shared" si="72"/>
        <v>8606.126966400001</v>
      </c>
      <c r="EB18" s="33"/>
      <c r="EC18" s="33"/>
      <c r="ED18" s="33">
        <f t="shared" si="73"/>
        <v>3369.7186300000003</v>
      </c>
      <c r="EE18" s="33">
        <f t="shared" si="74"/>
        <v>3369.7186300000003</v>
      </c>
      <c r="EF18" s="65">
        <f t="shared" si="75"/>
        <v>334.241604</v>
      </c>
      <c r="EG18" s="33"/>
      <c r="EH18" s="51"/>
      <c r="EI18" s="51">
        <f t="shared" si="76"/>
        <v>7221.472116</v>
      </c>
      <c r="EJ18" s="33">
        <f t="shared" si="77"/>
        <v>7221.472116</v>
      </c>
      <c r="EK18" s="65">
        <f t="shared" si="78"/>
        <v>716.2961328</v>
      </c>
      <c r="EL18" s="33"/>
      <c r="EM18" s="33"/>
      <c r="EN18" s="33"/>
      <c r="EO18" s="33"/>
    </row>
    <row r="19" spans="1:145" ht="12.75">
      <c r="A19" s="52">
        <v>44287</v>
      </c>
      <c r="D19" s="35">
        <v>838030</v>
      </c>
      <c r="E19" s="35">
        <f t="shared" si="0"/>
        <v>838030</v>
      </c>
      <c r="F19" s="35">
        <v>83124</v>
      </c>
      <c r="H19" s="51">
        <f>'Academic Project'!L19</f>
        <v>0</v>
      </c>
      <c r="I19" s="51">
        <f>'Academic Project'!M19</f>
        <v>269471.479605</v>
      </c>
      <c r="J19" s="51">
        <f t="shared" si="79"/>
        <v>269471.479605</v>
      </c>
      <c r="K19" s="51">
        <f>'Academic Project'!O19</f>
        <v>26728.813133999996</v>
      </c>
      <c r="M19" s="51">
        <f t="shared" si="80"/>
        <v>0</v>
      </c>
      <c r="N19" s="41">
        <f t="shared" si="1"/>
        <v>568558.520395</v>
      </c>
      <c r="O19" s="33">
        <f t="shared" si="2"/>
        <v>568558.520395</v>
      </c>
      <c r="P19" s="41">
        <f t="shared" si="3"/>
        <v>56395.186866000004</v>
      </c>
      <c r="R19" s="65">
        <f t="shared" si="81"/>
        <v>0</v>
      </c>
      <c r="S19" s="65">
        <f t="shared" si="4"/>
        <v>46105.477495</v>
      </c>
      <c r="T19" s="20">
        <f t="shared" si="5"/>
        <v>46105.477495</v>
      </c>
      <c r="U19" s="65">
        <f t="shared" si="6"/>
        <v>4573.191546</v>
      </c>
      <c r="W19" s="65">
        <f t="shared" si="82"/>
        <v>0</v>
      </c>
      <c r="X19" s="65">
        <f t="shared" si="7"/>
        <v>56284.86029899999</v>
      </c>
      <c r="Y19" s="20">
        <f t="shared" si="8"/>
        <v>56284.86029899999</v>
      </c>
      <c r="Z19" s="65">
        <f t="shared" si="9"/>
        <v>5582.8821492</v>
      </c>
      <c r="AB19" s="33">
        <f t="shared" si="83"/>
        <v>0</v>
      </c>
      <c r="AC19" s="33">
        <f t="shared" si="10"/>
        <v>206.07157700000002</v>
      </c>
      <c r="AD19" s="33">
        <f t="shared" si="11"/>
        <v>206.07157700000002</v>
      </c>
      <c r="AE19" s="65">
        <f t="shared" si="12"/>
        <v>20.440191600000002</v>
      </c>
      <c r="AG19" s="65">
        <f t="shared" si="84"/>
        <v>0</v>
      </c>
      <c r="AH19" s="65">
        <f t="shared" si="13"/>
        <v>12164.927283</v>
      </c>
      <c r="AI19" s="20">
        <f t="shared" si="14"/>
        <v>12164.927283</v>
      </c>
      <c r="AJ19" s="65">
        <f t="shared" si="15"/>
        <v>1206.6362964</v>
      </c>
      <c r="AL19" s="65">
        <f t="shared" si="85"/>
        <v>0</v>
      </c>
      <c r="AM19" s="65">
        <f t="shared" si="16"/>
        <v>55974.118775</v>
      </c>
      <c r="AN19" s="20">
        <f t="shared" si="17"/>
        <v>55974.118775</v>
      </c>
      <c r="AO19" s="65">
        <f t="shared" si="18"/>
        <v>5552.059770000001</v>
      </c>
      <c r="AP19" s="33"/>
      <c r="AQ19" s="65">
        <f t="shared" si="86"/>
        <v>0</v>
      </c>
      <c r="AR19" s="65">
        <f t="shared" si="19"/>
        <v>8824.120688</v>
      </c>
      <c r="AS19" s="20">
        <f t="shared" si="20"/>
        <v>8824.120688</v>
      </c>
      <c r="AT19" s="65">
        <f t="shared" si="21"/>
        <v>875.2624704</v>
      </c>
      <c r="AU19" s="33"/>
      <c r="AV19" s="51">
        <f t="shared" si="87"/>
        <v>0</v>
      </c>
      <c r="AW19" s="51">
        <f t="shared" si="22"/>
        <v>490.16374699999994</v>
      </c>
      <c r="AX19" s="33">
        <f t="shared" si="23"/>
        <v>490.16374699999994</v>
      </c>
      <c r="AY19" s="65">
        <f t="shared" si="24"/>
        <v>48.619227599999995</v>
      </c>
      <c r="AZ19" s="33"/>
      <c r="BA19" s="33">
        <f t="shared" si="88"/>
        <v>0</v>
      </c>
      <c r="BB19" s="33">
        <f t="shared" si="25"/>
        <v>5646.059518999999</v>
      </c>
      <c r="BC19" s="33">
        <f t="shared" si="26"/>
        <v>5646.059518999999</v>
      </c>
      <c r="BD19" s="65">
        <f t="shared" si="27"/>
        <v>560.0313252</v>
      </c>
      <c r="BE19" s="33"/>
      <c r="BF19" s="51">
        <f t="shared" si="89"/>
        <v>0</v>
      </c>
      <c r="BG19" s="51">
        <f t="shared" si="28"/>
        <v>7893.069358</v>
      </c>
      <c r="BH19" s="33">
        <f t="shared" si="29"/>
        <v>7893.069358</v>
      </c>
      <c r="BI19" s="65">
        <f t="shared" si="30"/>
        <v>782.9117064</v>
      </c>
      <c r="BJ19" s="33"/>
      <c r="BK19" s="51">
        <f t="shared" si="90"/>
        <v>0</v>
      </c>
      <c r="BL19" s="51">
        <f t="shared" si="31"/>
        <v>1104.188328</v>
      </c>
      <c r="BM19" s="33">
        <f t="shared" si="32"/>
        <v>1104.188328</v>
      </c>
      <c r="BN19" s="65">
        <f t="shared" si="33"/>
        <v>109.5241824</v>
      </c>
      <c r="BO19" s="33"/>
      <c r="BP19" s="51">
        <f t="shared" si="91"/>
        <v>0</v>
      </c>
      <c r="BQ19" s="51">
        <f t="shared" si="34"/>
        <v>5736.147744</v>
      </c>
      <c r="BR19" s="33">
        <f t="shared" si="35"/>
        <v>5736.147744</v>
      </c>
      <c r="BS19" s="65">
        <f t="shared" si="36"/>
        <v>568.9671552</v>
      </c>
      <c r="BT19" s="33"/>
      <c r="BU19" s="51">
        <f t="shared" si="92"/>
        <v>0</v>
      </c>
      <c r="BV19" s="51">
        <f t="shared" si="37"/>
        <v>325.99367</v>
      </c>
      <c r="BW19" s="33">
        <f t="shared" si="38"/>
        <v>325.99367</v>
      </c>
      <c r="BX19" s="65">
        <f t="shared" si="39"/>
        <v>32.335236</v>
      </c>
      <c r="BY19" s="33"/>
      <c r="BZ19" s="51">
        <f t="shared" si="93"/>
        <v>0</v>
      </c>
      <c r="CA19" s="51">
        <f t="shared" si="40"/>
        <v>1152.207447</v>
      </c>
      <c r="CB19" s="33">
        <f t="shared" si="41"/>
        <v>1152.207447</v>
      </c>
      <c r="CC19" s="65">
        <f t="shared" si="42"/>
        <v>114.28718760000001</v>
      </c>
      <c r="CD19" s="33"/>
      <c r="CE19" s="33">
        <f t="shared" si="94"/>
        <v>0</v>
      </c>
      <c r="CF19" s="33">
        <f t="shared" si="43"/>
        <v>4188.222531</v>
      </c>
      <c r="CG19" s="33">
        <f t="shared" si="44"/>
        <v>4188.222531</v>
      </c>
      <c r="CH19" s="65">
        <f t="shared" si="45"/>
        <v>415.4288148</v>
      </c>
      <c r="CI19" s="33"/>
      <c r="CJ19" s="51">
        <f t="shared" si="95"/>
        <v>0</v>
      </c>
      <c r="CK19" s="51">
        <f t="shared" si="46"/>
        <v>28601.628688</v>
      </c>
      <c r="CL19" s="33">
        <f t="shared" si="47"/>
        <v>28601.628688</v>
      </c>
      <c r="CM19" s="65">
        <f t="shared" si="48"/>
        <v>2836.9888704000005</v>
      </c>
      <c r="CN19" s="33"/>
      <c r="CO19" s="51">
        <f t="shared" si="96"/>
        <v>0</v>
      </c>
      <c r="CP19" s="51">
        <f t="shared" si="49"/>
        <v>118372.65933299999</v>
      </c>
      <c r="CQ19" s="33">
        <f t="shared" si="50"/>
        <v>118372.65933299999</v>
      </c>
      <c r="CR19" s="65">
        <f t="shared" si="51"/>
        <v>11741.3564364</v>
      </c>
      <c r="CS19" s="33"/>
      <c r="CT19" s="51">
        <f t="shared" si="97"/>
        <v>0</v>
      </c>
      <c r="CU19" s="51">
        <f t="shared" si="52"/>
        <v>21760.957404</v>
      </c>
      <c r="CV19" s="33">
        <f t="shared" si="53"/>
        <v>21760.957404</v>
      </c>
      <c r="CW19" s="65">
        <f t="shared" si="54"/>
        <v>2158.4642832</v>
      </c>
      <c r="CX19" s="33"/>
      <c r="CY19" s="51">
        <f t="shared" si="98"/>
        <v>0</v>
      </c>
      <c r="CZ19" s="51">
        <f t="shared" si="55"/>
        <v>74502.45925700001</v>
      </c>
      <c r="DA19" s="33">
        <f t="shared" si="56"/>
        <v>74502.45925700001</v>
      </c>
      <c r="DB19" s="65">
        <f t="shared" si="57"/>
        <v>7389.8815356000005</v>
      </c>
      <c r="DC19" s="33"/>
      <c r="DD19" s="51">
        <f t="shared" si="99"/>
        <v>0</v>
      </c>
      <c r="DE19" s="51">
        <f t="shared" si="58"/>
        <v>15884.439634999999</v>
      </c>
      <c r="DF19" s="33">
        <f t="shared" si="59"/>
        <v>15884.439634999999</v>
      </c>
      <c r="DG19" s="65">
        <f t="shared" si="60"/>
        <v>1575.573858</v>
      </c>
      <c r="DH19" s="33"/>
      <c r="DI19" s="51">
        <f t="shared" si="100"/>
        <v>0</v>
      </c>
      <c r="DJ19" s="51">
        <f t="shared" si="61"/>
        <v>1294.085926</v>
      </c>
      <c r="DK19" s="33">
        <f t="shared" si="62"/>
        <v>1294.085926</v>
      </c>
      <c r="DL19" s="65">
        <f t="shared" si="63"/>
        <v>128.3600808</v>
      </c>
      <c r="DM19" s="33"/>
      <c r="DN19" s="51">
        <f t="shared" si="101"/>
        <v>0</v>
      </c>
      <c r="DO19" s="51">
        <f t="shared" si="64"/>
        <v>1543.399851</v>
      </c>
      <c r="DP19" s="33">
        <f t="shared" si="65"/>
        <v>1543.399851</v>
      </c>
      <c r="DQ19" s="65">
        <f t="shared" si="66"/>
        <v>153.0894708</v>
      </c>
      <c r="DR19" s="33"/>
      <c r="DS19" s="51">
        <f t="shared" si="102"/>
        <v>0</v>
      </c>
      <c r="DT19" s="51">
        <f t="shared" si="67"/>
        <v>3147.808286</v>
      </c>
      <c r="DU19" s="33">
        <f t="shared" si="68"/>
        <v>3147.808286</v>
      </c>
      <c r="DV19" s="65">
        <f t="shared" si="69"/>
        <v>312.2303688</v>
      </c>
      <c r="DW19" s="33"/>
      <c r="DX19" s="51">
        <f t="shared" si="103"/>
        <v>0</v>
      </c>
      <c r="DY19" s="51">
        <f t="shared" si="70"/>
        <v>86764.262808</v>
      </c>
      <c r="DZ19" s="33">
        <f t="shared" si="71"/>
        <v>86764.262808</v>
      </c>
      <c r="EA19" s="65">
        <f t="shared" si="72"/>
        <v>8606.126966400001</v>
      </c>
      <c r="EB19" s="33"/>
      <c r="EC19" s="33">
        <f t="shared" si="104"/>
        <v>0</v>
      </c>
      <c r="ED19" s="33">
        <f t="shared" si="73"/>
        <v>3369.7186300000003</v>
      </c>
      <c r="EE19" s="33">
        <f t="shared" si="74"/>
        <v>3369.7186300000003</v>
      </c>
      <c r="EF19" s="65">
        <f t="shared" si="75"/>
        <v>334.241604</v>
      </c>
      <c r="EG19" s="33"/>
      <c r="EH19" s="51">
        <f t="shared" si="105"/>
        <v>0</v>
      </c>
      <c r="EI19" s="51">
        <f t="shared" si="76"/>
        <v>7221.472116</v>
      </c>
      <c r="EJ19" s="33">
        <f t="shared" si="77"/>
        <v>7221.472116</v>
      </c>
      <c r="EK19" s="65">
        <f t="shared" si="78"/>
        <v>716.2961328</v>
      </c>
      <c r="EL19" s="33"/>
      <c r="EM19" s="33"/>
      <c r="EN19" s="33"/>
      <c r="EO19" s="33"/>
    </row>
    <row r="20" spans="1:145" ht="12.75">
      <c r="A20" s="52">
        <v>44470</v>
      </c>
      <c r="D20" s="35">
        <v>838030</v>
      </c>
      <c r="E20" s="35">
        <f t="shared" si="0"/>
        <v>838030</v>
      </c>
      <c r="F20" s="35">
        <v>83124</v>
      </c>
      <c r="H20" s="51"/>
      <c r="I20" s="51">
        <f>'Academic Project'!M20</f>
        <v>269471.479605</v>
      </c>
      <c r="J20" s="51">
        <f t="shared" si="79"/>
        <v>269471.479605</v>
      </c>
      <c r="K20" s="51">
        <f>'Academic Project'!O20</f>
        <v>26728.813133999996</v>
      </c>
      <c r="M20" s="51"/>
      <c r="N20" s="41">
        <f t="shared" si="1"/>
        <v>568558.520395</v>
      </c>
      <c r="O20" s="33">
        <f t="shared" si="2"/>
        <v>568558.520395</v>
      </c>
      <c r="P20" s="41">
        <f t="shared" si="3"/>
        <v>56395.186866000004</v>
      </c>
      <c r="R20" s="65"/>
      <c r="S20" s="65">
        <f t="shared" si="4"/>
        <v>46105.477495</v>
      </c>
      <c r="T20" s="20">
        <f t="shared" si="5"/>
        <v>46105.477495</v>
      </c>
      <c r="U20" s="65">
        <f t="shared" si="6"/>
        <v>4573.191546</v>
      </c>
      <c r="W20" s="65"/>
      <c r="X20" s="65">
        <f t="shared" si="7"/>
        <v>56284.86029899999</v>
      </c>
      <c r="Y20" s="20">
        <f t="shared" si="8"/>
        <v>56284.86029899999</v>
      </c>
      <c r="Z20" s="65">
        <f t="shared" si="9"/>
        <v>5582.8821492</v>
      </c>
      <c r="AC20" s="33">
        <f t="shared" si="10"/>
        <v>206.07157700000002</v>
      </c>
      <c r="AD20" s="33">
        <f t="shared" si="11"/>
        <v>206.07157700000002</v>
      </c>
      <c r="AE20" s="65">
        <f t="shared" si="12"/>
        <v>20.440191600000002</v>
      </c>
      <c r="AG20" s="65"/>
      <c r="AH20" s="65">
        <f t="shared" si="13"/>
        <v>12164.927283</v>
      </c>
      <c r="AI20" s="20">
        <f t="shared" si="14"/>
        <v>12164.927283</v>
      </c>
      <c r="AJ20" s="65">
        <f t="shared" si="15"/>
        <v>1206.6362964</v>
      </c>
      <c r="AL20" s="65"/>
      <c r="AM20" s="65">
        <f t="shared" si="16"/>
        <v>55974.118775</v>
      </c>
      <c r="AN20" s="20">
        <f t="shared" si="17"/>
        <v>55974.118775</v>
      </c>
      <c r="AO20" s="65">
        <f t="shared" si="18"/>
        <v>5552.059770000001</v>
      </c>
      <c r="AP20" s="33"/>
      <c r="AQ20" s="65"/>
      <c r="AR20" s="65">
        <f t="shared" si="19"/>
        <v>8824.120688</v>
      </c>
      <c r="AS20" s="20">
        <f t="shared" si="20"/>
        <v>8824.120688</v>
      </c>
      <c r="AT20" s="65">
        <f t="shared" si="21"/>
        <v>875.2624704</v>
      </c>
      <c r="AU20" s="33"/>
      <c r="AV20" s="51"/>
      <c r="AW20" s="51">
        <f t="shared" si="22"/>
        <v>490.16374699999994</v>
      </c>
      <c r="AX20" s="33">
        <f t="shared" si="23"/>
        <v>490.16374699999994</v>
      </c>
      <c r="AY20" s="65">
        <f t="shared" si="24"/>
        <v>48.619227599999995</v>
      </c>
      <c r="AZ20" s="33"/>
      <c r="BA20" s="33"/>
      <c r="BB20" s="33">
        <f t="shared" si="25"/>
        <v>5646.059518999999</v>
      </c>
      <c r="BC20" s="33">
        <f t="shared" si="26"/>
        <v>5646.059518999999</v>
      </c>
      <c r="BD20" s="65">
        <f t="shared" si="27"/>
        <v>560.0313252</v>
      </c>
      <c r="BE20" s="33"/>
      <c r="BF20" s="51"/>
      <c r="BG20" s="51">
        <f t="shared" si="28"/>
        <v>7893.069358</v>
      </c>
      <c r="BH20" s="33">
        <f t="shared" si="29"/>
        <v>7893.069358</v>
      </c>
      <c r="BI20" s="65">
        <f t="shared" si="30"/>
        <v>782.9117064</v>
      </c>
      <c r="BJ20" s="33"/>
      <c r="BK20" s="51"/>
      <c r="BL20" s="51">
        <f t="shared" si="31"/>
        <v>1104.188328</v>
      </c>
      <c r="BM20" s="33">
        <f t="shared" si="32"/>
        <v>1104.188328</v>
      </c>
      <c r="BN20" s="65">
        <f t="shared" si="33"/>
        <v>109.5241824</v>
      </c>
      <c r="BO20" s="33"/>
      <c r="BP20" s="51"/>
      <c r="BQ20" s="51">
        <f t="shared" si="34"/>
        <v>5736.147744</v>
      </c>
      <c r="BR20" s="33">
        <f t="shared" si="35"/>
        <v>5736.147744</v>
      </c>
      <c r="BS20" s="65">
        <f t="shared" si="36"/>
        <v>568.9671552</v>
      </c>
      <c r="BT20" s="33"/>
      <c r="BU20" s="51"/>
      <c r="BV20" s="51">
        <f t="shared" si="37"/>
        <v>325.99367</v>
      </c>
      <c r="BW20" s="33">
        <f t="shared" si="38"/>
        <v>325.99367</v>
      </c>
      <c r="BX20" s="65">
        <f t="shared" si="39"/>
        <v>32.335236</v>
      </c>
      <c r="BY20" s="33"/>
      <c r="BZ20" s="51"/>
      <c r="CA20" s="51">
        <f t="shared" si="40"/>
        <v>1152.207447</v>
      </c>
      <c r="CB20" s="33">
        <f t="shared" si="41"/>
        <v>1152.207447</v>
      </c>
      <c r="CC20" s="65">
        <f t="shared" si="42"/>
        <v>114.28718760000001</v>
      </c>
      <c r="CD20" s="33"/>
      <c r="CE20" s="33"/>
      <c r="CF20" s="33">
        <f t="shared" si="43"/>
        <v>4188.222531</v>
      </c>
      <c r="CG20" s="33">
        <f t="shared" si="44"/>
        <v>4188.222531</v>
      </c>
      <c r="CH20" s="65">
        <f t="shared" si="45"/>
        <v>415.4288148</v>
      </c>
      <c r="CI20" s="33"/>
      <c r="CJ20" s="51"/>
      <c r="CK20" s="51">
        <f t="shared" si="46"/>
        <v>28601.628688</v>
      </c>
      <c r="CL20" s="33">
        <f t="shared" si="47"/>
        <v>28601.628688</v>
      </c>
      <c r="CM20" s="65">
        <f t="shared" si="48"/>
        <v>2836.9888704000005</v>
      </c>
      <c r="CN20" s="33"/>
      <c r="CO20" s="51"/>
      <c r="CP20" s="51">
        <f t="shared" si="49"/>
        <v>118372.65933299999</v>
      </c>
      <c r="CQ20" s="33">
        <f t="shared" si="50"/>
        <v>118372.65933299999</v>
      </c>
      <c r="CR20" s="65">
        <f t="shared" si="51"/>
        <v>11741.3564364</v>
      </c>
      <c r="CS20" s="33"/>
      <c r="CT20" s="51"/>
      <c r="CU20" s="51">
        <f t="shared" si="52"/>
        <v>21760.957404</v>
      </c>
      <c r="CV20" s="33">
        <f t="shared" si="53"/>
        <v>21760.957404</v>
      </c>
      <c r="CW20" s="65">
        <f t="shared" si="54"/>
        <v>2158.4642832</v>
      </c>
      <c r="CX20" s="33"/>
      <c r="CY20" s="51"/>
      <c r="CZ20" s="51">
        <f t="shared" si="55"/>
        <v>74502.45925700001</v>
      </c>
      <c r="DA20" s="33">
        <f t="shared" si="56"/>
        <v>74502.45925700001</v>
      </c>
      <c r="DB20" s="65">
        <f t="shared" si="57"/>
        <v>7389.8815356000005</v>
      </c>
      <c r="DC20" s="33"/>
      <c r="DD20" s="51"/>
      <c r="DE20" s="51">
        <f t="shared" si="58"/>
        <v>15884.439634999999</v>
      </c>
      <c r="DF20" s="33">
        <f t="shared" si="59"/>
        <v>15884.439634999999</v>
      </c>
      <c r="DG20" s="65">
        <f t="shared" si="60"/>
        <v>1575.573858</v>
      </c>
      <c r="DH20" s="33"/>
      <c r="DI20" s="51"/>
      <c r="DJ20" s="51">
        <f t="shared" si="61"/>
        <v>1294.085926</v>
      </c>
      <c r="DK20" s="33">
        <f t="shared" si="62"/>
        <v>1294.085926</v>
      </c>
      <c r="DL20" s="65">
        <f t="shared" si="63"/>
        <v>128.3600808</v>
      </c>
      <c r="DM20" s="33"/>
      <c r="DN20" s="51"/>
      <c r="DO20" s="51">
        <f t="shared" si="64"/>
        <v>1543.399851</v>
      </c>
      <c r="DP20" s="33">
        <f t="shared" si="65"/>
        <v>1543.399851</v>
      </c>
      <c r="DQ20" s="65">
        <f t="shared" si="66"/>
        <v>153.0894708</v>
      </c>
      <c r="DR20" s="33"/>
      <c r="DS20" s="51"/>
      <c r="DT20" s="51">
        <f t="shared" si="67"/>
        <v>3147.808286</v>
      </c>
      <c r="DU20" s="33">
        <f t="shared" si="68"/>
        <v>3147.808286</v>
      </c>
      <c r="DV20" s="65">
        <f t="shared" si="69"/>
        <v>312.2303688</v>
      </c>
      <c r="DW20" s="33"/>
      <c r="DX20" s="51"/>
      <c r="DY20" s="51">
        <f t="shared" si="70"/>
        <v>86764.262808</v>
      </c>
      <c r="DZ20" s="33">
        <f t="shared" si="71"/>
        <v>86764.262808</v>
      </c>
      <c r="EA20" s="65">
        <f t="shared" si="72"/>
        <v>8606.126966400001</v>
      </c>
      <c r="EB20" s="33"/>
      <c r="EC20" s="33"/>
      <c r="ED20" s="33">
        <f t="shared" si="73"/>
        <v>3369.7186300000003</v>
      </c>
      <c r="EE20" s="33">
        <f t="shared" si="74"/>
        <v>3369.7186300000003</v>
      </c>
      <c r="EF20" s="65">
        <f t="shared" si="75"/>
        <v>334.241604</v>
      </c>
      <c r="EG20" s="33"/>
      <c r="EH20" s="51"/>
      <c r="EI20" s="51">
        <f t="shared" si="76"/>
        <v>7221.472116</v>
      </c>
      <c r="EJ20" s="33">
        <f t="shared" si="77"/>
        <v>7221.472116</v>
      </c>
      <c r="EK20" s="65">
        <f t="shared" si="78"/>
        <v>716.2961328</v>
      </c>
      <c r="EL20" s="33"/>
      <c r="EM20" s="33"/>
      <c r="EN20" s="33"/>
      <c r="EO20" s="33"/>
    </row>
    <row r="21" spans="1:145" s="53" customFormat="1" ht="12.75">
      <c r="A21" s="52">
        <v>44652</v>
      </c>
      <c r="C21" s="35"/>
      <c r="D21" s="35">
        <v>838030</v>
      </c>
      <c r="E21" s="35">
        <f t="shared" si="0"/>
        <v>838030</v>
      </c>
      <c r="F21" s="35">
        <v>83124</v>
      </c>
      <c r="G21" s="51"/>
      <c r="H21" s="51">
        <f>'Academic Project'!L21</f>
        <v>0</v>
      </c>
      <c r="I21" s="51">
        <f>'Academic Project'!M21</f>
        <v>269471.479605</v>
      </c>
      <c r="J21" s="51">
        <f t="shared" si="79"/>
        <v>269471.479605</v>
      </c>
      <c r="K21" s="51">
        <f>'Academic Project'!O21</f>
        <v>26728.813133999996</v>
      </c>
      <c r="L21" s="51"/>
      <c r="M21" s="51">
        <f t="shared" si="80"/>
        <v>0</v>
      </c>
      <c r="N21" s="41">
        <f t="shared" si="1"/>
        <v>568558.520395</v>
      </c>
      <c r="O21" s="33">
        <f t="shared" si="2"/>
        <v>568558.520395</v>
      </c>
      <c r="P21" s="41">
        <f t="shared" si="3"/>
        <v>56395.186866000004</v>
      </c>
      <c r="Q21" s="51"/>
      <c r="R21" s="65">
        <f t="shared" si="81"/>
        <v>0</v>
      </c>
      <c r="S21" s="65">
        <f t="shared" si="4"/>
        <v>46105.477495</v>
      </c>
      <c r="T21" s="20">
        <f t="shared" si="5"/>
        <v>46105.477495</v>
      </c>
      <c r="U21" s="65">
        <f t="shared" si="6"/>
        <v>4573.191546</v>
      </c>
      <c r="V21" s="51"/>
      <c r="W21" s="65">
        <f t="shared" si="82"/>
        <v>0</v>
      </c>
      <c r="X21" s="65">
        <f t="shared" si="7"/>
        <v>56284.86029899999</v>
      </c>
      <c r="Y21" s="20">
        <f t="shared" si="8"/>
        <v>56284.86029899999</v>
      </c>
      <c r="Z21" s="65">
        <f t="shared" si="9"/>
        <v>5582.8821492</v>
      </c>
      <c r="AA21" s="51"/>
      <c r="AB21" s="33">
        <f t="shared" si="83"/>
        <v>0</v>
      </c>
      <c r="AC21" s="33">
        <f t="shared" si="10"/>
        <v>206.07157700000002</v>
      </c>
      <c r="AD21" s="33">
        <f t="shared" si="11"/>
        <v>206.07157700000002</v>
      </c>
      <c r="AE21" s="65">
        <f t="shared" si="12"/>
        <v>20.440191600000002</v>
      </c>
      <c r="AF21" s="51"/>
      <c r="AG21" s="65">
        <f t="shared" si="84"/>
        <v>0</v>
      </c>
      <c r="AH21" s="65">
        <f t="shared" si="13"/>
        <v>12164.927283</v>
      </c>
      <c r="AI21" s="20">
        <f t="shared" si="14"/>
        <v>12164.927283</v>
      </c>
      <c r="AJ21" s="65">
        <f t="shared" si="15"/>
        <v>1206.6362964</v>
      </c>
      <c r="AK21" s="51"/>
      <c r="AL21" s="65">
        <f t="shared" si="85"/>
        <v>0</v>
      </c>
      <c r="AM21" s="65">
        <f t="shared" si="16"/>
        <v>55974.118775</v>
      </c>
      <c r="AN21" s="20">
        <f t="shared" si="17"/>
        <v>55974.118775</v>
      </c>
      <c r="AO21" s="65">
        <f t="shared" si="18"/>
        <v>5552.059770000001</v>
      </c>
      <c r="AP21" s="51"/>
      <c r="AQ21" s="65">
        <f t="shared" si="86"/>
        <v>0</v>
      </c>
      <c r="AR21" s="65">
        <f t="shared" si="19"/>
        <v>8824.120688</v>
      </c>
      <c r="AS21" s="20">
        <f t="shared" si="20"/>
        <v>8824.120688</v>
      </c>
      <c r="AT21" s="65">
        <f t="shared" si="21"/>
        <v>875.2624704</v>
      </c>
      <c r="AU21" s="51"/>
      <c r="AV21" s="51">
        <f t="shared" si="87"/>
        <v>0</v>
      </c>
      <c r="AW21" s="51">
        <f t="shared" si="22"/>
        <v>490.16374699999994</v>
      </c>
      <c r="AX21" s="33">
        <f t="shared" si="23"/>
        <v>490.16374699999994</v>
      </c>
      <c r="AY21" s="65">
        <f t="shared" si="24"/>
        <v>48.619227599999995</v>
      </c>
      <c r="AZ21" s="51"/>
      <c r="BA21" s="33">
        <f t="shared" si="88"/>
        <v>0</v>
      </c>
      <c r="BB21" s="33">
        <f t="shared" si="25"/>
        <v>5646.059518999999</v>
      </c>
      <c r="BC21" s="33">
        <f t="shared" si="26"/>
        <v>5646.059518999999</v>
      </c>
      <c r="BD21" s="65">
        <f t="shared" si="27"/>
        <v>560.0313252</v>
      </c>
      <c r="BE21" s="51"/>
      <c r="BF21" s="51">
        <f t="shared" si="89"/>
        <v>0</v>
      </c>
      <c r="BG21" s="51">
        <f t="shared" si="28"/>
        <v>7893.069358</v>
      </c>
      <c r="BH21" s="33">
        <f t="shared" si="29"/>
        <v>7893.069358</v>
      </c>
      <c r="BI21" s="65">
        <f t="shared" si="30"/>
        <v>782.9117064</v>
      </c>
      <c r="BJ21" s="51"/>
      <c r="BK21" s="51">
        <f t="shared" si="90"/>
        <v>0</v>
      </c>
      <c r="BL21" s="51">
        <f t="shared" si="31"/>
        <v>1104.188328</v>
      </c>
      <c r="BM21" s="33">
        <f t="shared" si="32"/>
        <v>1104.188328</v>
      </c>
      <c r="BN21" s="65">
        <f t="shared" si="33"/>
        <v>109.5241824</v>
      </c>
      <c r="BO21" s="51"/>
      <c r="BP21" s="51">
        <f t="shared" si="91"/>
        <v>0</v>
      </c>
      <c r="BQ21" s="51">
        <f t="shared" si="34"/>
        <v>5736.147744</v>
      </c>
      <c r="BR21" s="33">
        <f t="shared" si="35"/>
        <v>5736.147744</v>
      </c>
      <c r="BS21" s="65">
        <f t="shared" si="36"/>
        <v>568.9671552</v>
      </c>
      <c r="BT21" s="51"/>
      <c r="BU21" s="51">
        <f t="shared" si="92"/>
        <v>0</v>
      </c>
      <c r="BV21" s="51">
        <f t="shared" si="37"/>
        <v>325.99367</v>
      </c>
      <c r="BW21" s="33">
        <f t="shared" si="38"/>
        <v>325.99367</v>
      </c>
      <c r="BX21" s="65">
        <f t="shared" si="39"/>
        <v>32.335236</v>
      </c>
      <c r="BY21" s="51"/>
      <c r="BZ21" s="51">
        <f t="shared" si="93"/>
        <v>0</v>
      </c>
      <c r="CA21" s="51">
        <f t="shared" si="40"/>
        <v>1152.207447</v>
      </c>
      <c r="CB21" s="33">
        <f t="shared" si="41"/>
        <v>1152.207447</v>
      </c>
      <c r="CC21" s="65">
        <f t="shared" si="42"/>
        <v>114.28718760000001</v>
      </c>
      <c r="CD21" s="51"/>
      <c r="CE21" s="33">
        <f t="shared" si="94"/>
        <v>0</v>
      </c>
      <c r="CF21" s="33">
        <f t="shared" si="43"/>
        <v>4188.222531</v>
      </c>
      <c r="CG21" s="33">
        <f t="shared" si="44"/>
        <v>4188.222531</v>
      </c>
      <c r="CH21" s="65">
        <f t="shared" si="45"/>
        <v>415.4288148</v>
      </c>
      <c r="CI21" s="51"/>
      <c r="CJ21" s="51">
        <f t="shared" si="95"/>
        <v>0</v>
      </c>
      <c r="CK21" s="51">
        <f t="shared" si="46"/>
        <v>28601.628688</v>
      </c>
      <c r="CL21" s="33">
        <f t="shared" si="47"/>
        <v>28601.628688</v>
      </c>
      <c r="CM21" s="65">
        <f t="shared" si="48"/>
        <v>2836.9888704000005</v>
      </c>
      <c r="CN21" s="51"/>
      <c r="CO21" s="51">
        <f t="shared" si="96"/>
        <v>0</v>
      </c>
      <c r="CP21" s="51">
        <f t="shared" si="49"/>
        <v>118372.65933299999</v>
      </c>
      <c r="CQ21" s="33">
        <f t="shared" si="50"/>
        <v>118372.65933299999</v>
      </c>
      <c r="CR21" s="65">
        <f t="shared" si="51"/>
        <v>11741.3564364</v>
      </c>
      <c r="CS21" s="51"/>
      <c r="CT21" s="51">
        <f t="shared" si="97"/>
        <v>0</v>
      </c>
      <c r="CU21" s="51">
        <f t="shared" si="52"/>
        <v>21760.957404</v>
      </c>
      <c r="CV21" s="33">
        <f t="shared" si="53"/>
        <v>21760.957404</v>
      </c>
      <c r="CW21" s="65">
        <f t="shared" si="54"/>
        <v>2158.4642832</v>
      </c>
      <c r="CX21" s="51"/>
      <c r="CY21" s="51">
        <f t="shared" si="98"/>
        <v>0</v>
      </c>
      <c r="CZ21" s="51">
        <f t="shared" si="55"/>
        <v>74502.45925700001</v>
      </c>
      <c r="DA21" s="33">
        <f t="shared" si="56"/>
        <v>74502.45925700001</v>
      </c>
      <c r="DB21" s="65">
        <f t="shared" si="57"/>
        <v>7389.8815356000005</v>
      </c>
      <c r="DC21" s="51"/>
      <c r="DD21" s="51">
        <f t="shared" si="99"/>
        <v>0</v>
      </c>
      <c r="DE21" s="51">
        <f t="shared" si="58"/>
        <v>15884.439634999999</v>
      </c>
      <c r="DF21" s="33">
        <f t="shared" si="59"/>
        <v>15884.439634999999</v>
      </c>
      <c r="DG21" s="65">
        <f t="shared" si="60"/>
        <v>1575.573858</v>
      </c>
      <c r="DH21" s="51"/>
      <c r="DI21" s="51">
        <f t="shared" si="100"/>
        <v>0</v>
      </c>
      <c r="DJ21" s="51">
        <f t="shared" si="61"/>
        <v>1294.085926</v>
      </c>
      <c r="DK21" s="33">
        <f t="shared" si="62"/>
        <v>1294.085926</v>
      </c>
      <c r="DL21" s="65">
        <f t="shared" si="63"/>
        <v>128.3600808</v>
      </c>
      <c r="DM21" s="51"/>
      <c r="DN21" s="51">
        <f t="shared" si="101"/>
        <v>0</v>
      </c>
      <c r="DO21" s="51">
        <f t="shared" si="64"/>
        <v>1543.399851</v>
      </c>
      <c r="DP21" s="33">
        <f t="shared" si="65"/>
        <v>1543.399851</v>
      </c>
      <c r="DQ21" s="65">
        <f t="shared" si="66"/>
        <v>153.0894708</v>
      </c>
      <c r="DR21" s="51"/>
      <c r="DS21" s="51">
        <f t="shared" si="102"/>
        <v>0</v>
      </c>
      <c r="DT21" s="51">
        <f t="shared" si="67"/>
        <v>3147.808286</v>
      </c>
      <c r="DU21" s="33">
        <f t="shared" si="68"/>
        <v>3147.808286</v>
      </c>
      <c r="DV21" s="65">
        <f t="shared" si="69"/>
        <v>312.2303688</v>
      </c>
      <c r="DW21" s="51"/>
      <c r="DX21" s="51">
        <f t="shared" si="103"/>
        <v>0</v>
      </c>
      <c r="DY21" s="51">
        <f t="shared" si="70"/>
        <v>86764.262808</v>
      </c>
      <c r="DZ21" s="33">
        <f t="shared" si="71"/>
        <v>86764.262808</v>
      </c>
      <c r="EA21" s="65">
        <f t="shared" si="72"/>
        <v>8606.126966400001</v>
      </c>
      <c r="EB21" s="33"/>
      <c r="EC21" s="33">
        <f t="shared" si="104"/>
        <v>0</v>
      </c>
      <c r="ED21" s="33">
        <f t="shared" si="73"/>
        <v>3369.7186300000003</v>
      </c>
      <c r="EE21" s="33">
        <f t="shared" si="74"/>
        <v>3369.7186300000003</v>
      </c>
      <c r="EF21" s="65">
        <f t="shared" si="75"/>
        <v>334.241604</v>
      </c>
      <c r="EG21" s="51"/>
      <c r="EH21" s="51">
        <f t="shared" si="105"/>
        <v>0</v>
      </c>
      <c r="EI21" s="51">
        <f t="shared" si="76"/>
        <v>7221.472116</v>
      </c>
      <c r="EJ21" s="33">
        <f t="shared" si="77"/>
        <v>7221.472116</v>
      </c>
      <c r="EK21" s="65">
        <f t="shared" si="78"/>
        <v>716.2961328</v>
      </c>
      <c r="EL21" s="51"/>
      <c r="EM21" s="33"/>
      <c r="EN21" s="33"/>
      <c r="EO21" s="33"/>
    </row>
    <row r="22" spans="1:145" s="53" customFormat="1" ht="12.75">
      <c r="A22" s="52">
        <v>44835</v>
      </c>
      <c r="C22" s="35"/>
      <c r="D22" s="35">
        <v>838030</v>
      </c>
      <c r="E22" s="35">
        <f t="shared" si="0"/>
        <v>838030</v>
      </c>
      <c r="F22" s="35">
        <v>83124</v>
      </c>
      <c r="G22" s="51"/>
      <c r="H22" s="51"/>
      <c r="I22" s="51">
        <f>'Academic Project'!M22</f>
        <v>269471.479605</v>
      </c>
      <c r="J22" s="51">
        <f t="shared" si="79"/>
        <v>269471.479605</v>
      </c>
      <c r="K22" s="51">
        <f>'Academic Project'!O22</f>
        <v>26728.813133999996</v>
      </c>
      <c r="L22" s="51"/>
      <c r="M22" s="51"/>
      <c r="N22" s="41">
        <f t="shared" si="1"/>
        <v>568558.520395</v>
      </c>
      <c r="O22" s="33">
        <f t="shared" si="2"/>
        <v>568558.520395</v>
      </c>
      <c r="P22" s="41">
        <f t="shared" si="3"/>
        <v>56395.186866000004</v>
      </c>
      <c r="Q22" s="51"/>
      <c r="R22" s="65"/>
      <c r="S22" s="65">
        <f t="shared" si="4"/>
        <v>46105.477495</v>
      </c>
      <c r="T22" s="20">
        <f t="shared" si="5"/>
        <v>46105.477495</v>
      </c>
      <c r="U22" s="65">
        <f t="shared" si="6"/>
        <v>4573.191546</v>
      </c>
      <c r="V22" s="51"/>
      <c r="W22" s="65"/>
      <c r="X22" s="65">
        <f t="shared" si="7"/>
        <v>56284.86029899999</v>
      </c>
      <c r="Y22" s="20">
        <f t="shared" si="8"/>
        <v>56284.86029899999</v>
      </c>
      <c r="Z22" s="65">
        <f t="shared" si="9"/>
        <v>5582.8821492</v>
      </c>
      <c r="AA22" s="51"/>
      <c r="AB22" s="33"/>
      <c r="AC22" s="33">
        <f t="shared" si="10"/>
        <v>206.07157700000002</v>
      </c>
      <c r="AD22" s="33">
        <f t="shared" si="11"/>
        <v>206.07157700000002</v>
      </c>
      <c r="AE22" s="65">
        <f t="shared" si="12"/>
        <v>20.440191600000002</v>
      </c>
      <c r="AF22" s="51"/>
      <c r="AG22" s="65"/>
      <c r="AH22" s="65">
        <f t="shared" si="13"/>
        <v>12164.927283</v>
      </c>
      <c r="AI22" s="20">
        <f t="shared" si="14"/>
        <v>12164.927283</v>
      </c>
      <c r="AJ22" s="65">
        <f t="shared" si="15"/>
        <v>1206.6362964</v>
      </c>
      <c r="AK22" s="51"/>
      <c r="AL22" s="65"/>
      <c r="AM22" s="65">
        <f t="shared" si="16"/>
        <v>55974.118775</v>
      </c>
      <c r="AN22" s="20">
        <f t="shared" si="17"/>
        <v>55974.118775</v>
      </c>
      <c r="AO22" s="65">
        <f t="shared" si="18"/>
        <v>5552.059770000001</v>
      </c>
      <c r="AP22" s="51"/>
      <c r="AQ22" s="65"/>
      <c r="AR22" s="65">
        <f t="shared" si="19"/>
        <v>8824.120688</v>
      </c>
      <c r="AS22" s="20">
        <f t="shared" si="20"/>
        <v>8824.120688</v>
      </c>
      <c r="AT22" s="65">
        <f t="shared" si="21"/>
        <v>875.2624704</v>
      </c>
      <c r="AU22" s="51"/>
      <c r="AV22" s="51"/>
      <c r="AW22" s="51">
        <f t="shared" si="22"/>
        <v>490.16374699999994</v>
      </c>
      <c r="AX22" s="33">
        <f t="shared" si="23"/>
        <v>490.16374699999994</v>
      </c>
      <c r="AY22" s="65">
        <f t="shared" si="24"/>
        <v>48.619227599999995</v>
      </c>
      <c r="AZ22" s="51"/>
      <c r="BA22" s="33"/>
      <c r="BB22" s="33">
        <f t="shared" si="25"/>
        <v>5646.059518999999</v>
      </c>
      <c r="BC22" s="33">
        <f t="shared" si="26"/>
        <v>5646.059518999999</v>
      </c>
      <c r="BD22" s="65">
        <f t="shared" si="27"/>
        <v>560.0313252</v>
      </c>
      <c r="BE22" s="51"/>
      <c r="BF22" s="51"/>
      <c r="BG22" s="51">
        <f t="shared" si="28"/>
        <v>7893.069358</v>
      </c>
      <c r="BH22" s="33">
        <f t="shared" si="29"/>
        <v>7893.069358</v>
      </c>
      <c r="BI22" s="65">
        <f t="shared" si="30"/>
        <v>782.9117064</v>
      </c>
      <c r="BJ22" s="51"/>
      <c r="BK22" s="51"/>
      <c r="BL22" s="51">
        <f t="shared" si="31"/>
        <v>1104.188328</v>
      </c>
      <c r="BM22" s="33">
        <f t="shared" si="32"/>
        <v>1104.188328</v>
      </c>
      <c r="BN22" s="65">
        <f t="shared" si="33"/>
        <v>109.5241824</v>
      </c>
      <c r="BO22" s="51"/>
      <c r="BP22" s="51"/>
      <c r="BQ22" s="51">
        <f t="shared" si="34"/>
        <v>5736.147744</v>
      </c>
      <c r="BR22" s="33">
        <f t="shared" si="35"/>
        <v>5736.147744</v>
      </c>
      <c r="BS22" s="65">
        <f t="shared" si="36"/>
        <v>568.9671552</v>
      </c>
      <c r="BT22" s="51"/>
      <c r="BU22" s="51"/>
      <c r="BV22" s="51">
        <f t="shared" si="37"/>
        <v>325.99367</v>
      </c>
      <c r="BW22" s="33">
        <f t="shared" si="38"/>
        <v>325.99367</v>
      </c>
      <c r="BX22" s="65">
        <f t="shared" si="39"/>
        <v>32.335236</v>
      </c>
      <c r="BY22" s="51"/>
      <c r="BZ22" s="51"/>
      <c r="CA22" s="51">
        <f t="shared" si="40"/>
        <v>1152.207447</v>
      </c>
      <c r="CB22" s="33">
        <f t="shared" si="41"/>
        <v>1152.207447</v>
      </c>
      <c r="CC22" s="65">
        <f t="shared" si="42"/>
        <v>114.28718760000001</v>
      </c>
      <c r="CD22" s="51"/>
      <c r="CE22" s="33"/>
      <c r="CF22" s="33">
        <f t="shared" si="43"/>
        <v>4188.222531</v>
      </c>
      <c r="CG22" s="33">
        <f t="shared" si="44"/>
        <v>4188.222531</v>
      </c>
      <c r="CH22" s="65">
        <f t="shared" si="45"/>
        <v>415.4288148</v>
      </c>
      <c r="CI22" s="51"/>
      <c r="CJ22" s="51"/>
      <c r="CK22" s="51">
        <f t="shared" si="46"/>
        <v>28601.628688</v>
      </c>
      <c r="CL22" s="33">
        <f t="shared" si="47"/>
        <v>28601.628688</v>
      </c>
      <c r="CM22" s="65">
        <f t="shared" si="48"/>
        <v>2836.9888704000005</v>
      </c>
      <c r="CN22" s="51"/>
      <c r="CO22" s="51"/>
      <c r="CP22" s="51">
        <f t="shared" si="49"/>
        <v>118372.65933299999</v>
      </c>
      <c r="CQ22" s="33">
        <f t="shared" si="50"/>
        <v>118372.65933299999</v>
      </c>
      <c r="CR22" s="65">
        <f t="shared" si="51"/>
        <v>11741.3564364</v>
      </c>
      <c r="CS22" s="51"/>
      <c r="CT22" s="51"/>
      <c r="CU22" s="51">
        <f t="shared" si="52"/>
        <v>21760.957404</v>
      </c>
      <c r="CV22" s="33">
        <f t="shared" si="53"/>
        <v>21760.957404</v>
      </c>
      <c r="CW22" s="65">
        <f t="shared" si="54"/>
        <v>2158.4642832</v>
      </c>
      <c r="CX22" s="51"/>
      <c r="CY22" s="51"/>
      <c r="CZ22" s="51">
        <f t="shared" si="55"/>
        <v>74502.45925700001</v>
      </c>
      <c r="DA22" s="33">
        <f t="shared" si="56"/>
        <v>74502.45925700001</v>
      </c>
      <c r="DB22" s="65">
        <f t="shared" si="57"/>
        <v>7389.8815356000005</v>
      </c>
      <c r="DC22" s="51"/>
      <c r="DD22" s="51"/>
      <c r="DE22" s="51">
        <f t="shared" si="58"/>
        <v>15884.439634999999</v>
      </c>
      <c r="DF22" s="33">
        <f t="shared" si="59"/>
        <v>15884.439634999999</v>
      </c>
      <c r="DG22" s="65">
        <f t="shared" si="60"/>
        <v>1575.573858</v>
      </c>
      <c r="DH22" s="51"/>
      <c r="DI22" s="51"/>
      <c r="DJ22" s="51">
        <f t="shared" si="61"/>
        <v>1294.085926</v>
      </c>
      <c r="DK22" s="33">
        <f t="shared" si="62"/>
        <v>1294.085926</v>
      </c>
      <c r="DL22" s="65">
        <f t="shared" si="63"/>
        <v>128.3600808</v>
      </c>
      <c r="DM22" s="51"/>
      <c r="DN22" s="51"/>
      <c r="DO22" s="51">
        <f t="shared" si="64"/>
        <v>1543.399851</v>
      </c>
      <c r="DP22" s="33">
        <f t="shared" si="65"/>
        <v>1543.399851</v>
      </c>
      <c r="DQ22" s="65">
        <f t="shared" si="66"/>
        <v>153.0894708</v>
      </c>
      <c r="DR22" s="51"/>
      <c r="DS22" s="51"/>
      <c r="DT22" s="51">
        <f t="shared" si="67"/>
        <v>3147.808286</v>
      </c>
      <c r="DU22" s="33">
        <f t="shared" si="68"/>
        <v>3147.808286</v>
      </c>
      <c r="DV22" s="65">
        <f t="shared" si="69"/>
        <v>312.2303688</v>
      </c>
      <c r="DW22" s="51"/>
      <c r="DX22" s="51"/>
      <c r="DY22" s="51">
        <f t="shared" si="70"/>
        <v>86764.262808</v>
      </c>
      <c r="DZ22" s="33">
        <f t="shared" si="71"/>
        <v>86764.262808</v>
      </c>
      <c r="EA22" s="65">
        <f t="shared" si="72"/>
        <v>8606.126966400001</v>
      </c>
      <c r="EB22" s="33"/>
      <c r="EC22" s="33"/>
      <c r="ED22" s="33">
        <f t="shared" si="73"/>
        <v>3369.7186300000003</v>
      </c>
      <c r="EE22" s="33">
        <f t="shared" si="74"/>
        <v>3369.7186300000003</v>
      </c>
      <c r="EF22" s="65">
        <f t="shared" si="75"/>
        <v>334.241604</v>
      </c>
      <c r="EG22" s="51"/>
      <c r="EH22" s="51"/>
      <c r="EI22" s="51">
        <f t="shared" si="76"/>
        <v>7221.472116</v>
      </c>
      <c r="EJ22" s="33">
        <f t="shared" si="77"/>
        <v>7221.472116</v>
      </c>
      <c r="EK22" s="65">
        <f t="shared" si="78"/>
        <v>716.2961328</v>
      </c>
      <c r="EL22" s="51"/>
      <c r="EM22" s="33"/>
      <c r="EN22" s="33"/>
      <c r="EO22" s="33"/>
    </row>
    <row r="23" spans="1:145" s="53" customFormat="1" ht="12.75">
      <c r="A23" s="52">
        <v>45017</v>
      </c>
      <c r="C23" s="35">
        <v>5650000</v>
      </c>
      <c r="D23" s="35">
        <v>838030</v>
      </c>
      <c r="E23" s="35">
        <f t="shared" si="0"/>
        <v>6488030</v>
      </c>
      <c r="F23" s="35">
        <v>83124</v>
      </c>
      <c r="G23" s="51"/>
      <c r="H23" s="51">
        <f>'Academic Project'!L23</f>
        <v>1816777.2749999994</v>
      </c>
      <c r="I23" s="51">
        <f>'Academic Project'!M23</f>
        <v>269471.479605</v>
      </c>
      <c r="J23" s="51">
        <f t="shared" si="79"/>
        <v>2086248.7546049994</v>
      </c>
      <c r="K23" s="51">
        <f>'Academic Project'!O23</f>
        <v>26728.813133999996</v>
      </c>
      <c r="L23" s="51"/>
      <c r="M23" s="51">
        <f t="shared" si="80"/>
        <v>3833222.7249999996</v>
      </c>
      <c r="N23" s="41">
        <f t="shared" si="1"/>
        <v>568558.520395</v>
      </c>
      <c r="O23" s="33">
        <f t="shared" si="2"/>
        <v>4401781.245394999</v>
      </c>
      <c r="P23" s="41">
        <f t="shared" si="3"/>
        <v>56395.186866000004</v>
      </c>
      <c r="Q23" s="51"/>
      <c r="R23" s="65">
        <f t="shared" si="81"/>
        <v>310843.22500000003</v>
      </c>
      <c r="S23" s="65">
        <f t="shared" si="4"/>
        <v>46105.477495</v>
      </c>
      <c r="T23" s="20">
        <f t="shared" si="5"/>
        <v>356948.70249500003</v>
      </c>
      <c r="U23" s="65">
        <f t="shared" si="6"/>
        <v>4573.191546</v>
      </c>
      <c r="V23" s="51"/>
      <c r="W23" s="65">
        <f t="shared" si="82"/>
        <v>379472.64499999996</v>
      </c>
      <c r="X23" s="65">
        <f t="shared" si="7"/>
        <v>56284.86029899999</v>
      </c>
      <c r="Y23" s="20">
        <f t="shared" si="8"/>
        <v>435757.50529899995</v>
      </c>
      <c r="Z23" s="65">
        <f t="shared" si="9"/>
        <v>5582.8821492</v>
      </c>
      <c r="AA23" s="51"/>
      <c r="AB23" s="33">
        <f t="shared" si="83"/>
        <v>1389.335</v>
      </c>
      <c r="AC23" s="33">
        <f t="shared" si="10"/>
        <v>206.07157700000002</v>
      </c>
      <c r="AD23" s="33">
        <f t="shared" si="11"/>
        <v>1595.406577</v>
      </c>
      <c r="AE23" s="65">
        <f t="shared" si="12"/>
        <v>20.440191600000002</v>
      </c>
      <c r="AF23" s="51"/>
      <c r="AG23" s="65">
        <f t="shared" si="84"/>
        <v>82015.965</v>
      </c>
      <c r="AH23" s="65">
        <f t="shared" si="13"/>
        <v>12164.927283</v>
      </c>
      <c r="AI23" s="20">
        <f t="shared" si="14"/>
        <v>94180.892283</v>
      </c>
      <c r="AJ23" s="65">
        <f t="shared" si="15"/>
        <v>1206.6362964</v>
      </c>
      <c r="AK23" s="51"/>
      <c r="AL23" s="65">
        <f t="shared" si="85"/>
        <v>377377.625</v>
      </c>
      <c r="AM23" s="65">
        <f t="shared" si="16"/>
        <v>55974.118775</v>
      </c>
      <c r="AN23" s="20">
        <f t="shared" si="17"/>
        <v>433351.743775</v>
      </c>
      <c r="AO23" s="65">
        <f t="shared" si="18"/>
        <v>5552.059770000001</v>
      </c>
      <c r="AP23" s="51"/>
      <c r="AQ23" s="65">
        <f t="shared" si="86"/>
        <v>59492.24</v>
      </c>
      <c r="AR23" s="65">
        <f t="shared" si="19"/>
        <v>8824.120688</v>
      </c>
      <c r="AS23" s="20">
        <f t="shared" si="20"/>
        <v>68316.360688</v>
      </c>
      <c r="AT23" s="65">
        <f t="shared" si="21"/>
        <v>875.2624704</v>
      </c>
      <c r="AU23" s="51"/>
      <c r="AV23" s="51">
        <f t="shared" si="87"/>
        <v>3304.685</v>
      </c>
      <c r="AW23" s="51">
        <f t="shared" si="22"/>
        <v>490.16374699999994</v>
      </c>
      <c r="AX23" s="33">
        <f t="shared" si="23"/>
        <v>3794.848747</v>
      </c>
      <c r="AY23" s="65">
        <f t="shared" si="24"/>
        <v>48.619227599999995</v>
      </c>
      <c r="AZ23" s="51"/>
      <c r="BA23" s="33">
        <f t="shared" si="88"/>
        <v>38065.745</v>
      </c>
      <c r="BB23" s="33">
        <f t="shared" si="25"/>
        <v>5646.059518999999</v>
      </c>
      <c r="BC23" s="33">
        <f t="shared" si="26"/>
        <v>43711.804519000005</v>
      </c>
      <c r="BD23" s="65">
        <f t="shared" si="27"/>
        <v>560.0313252</v>
      </c>
      <c r="BE23" s="51"/>
      <c r="BF23" s="51">
        <f t="shared" si="89"/>
        <v>53215.09</v>
      </c>
      <c r="BG23" s="51">
        <f t="shared" si="28"/>
        <v>7893.069358</v>
      </c>
      <c r="BH23" s="33">
        <f t="shared" si="29"/>
        <v>61108.159358</v>
      </c>
      <c r="BI23" s="65">
        <f t="shared" si="30"/>
        <v>782.9117064</v>
      </c>
      <c r="BJ23" s="51"/>
      <c r="BK23" s="51">
        <f t="shared" si="90"/>
        <v>7444.44</v>
      </c>
      <c r="BL23" s="51">
        <f t="shared" si="31"/>
        <v>1104.188328</v>
      </c>
      <c r="BM23" s="33">
        <f t="shared" si="32"/>
        <v>8548.628327999999</v>
      </c>
      <c r="BN23" s="65">
        <f t="shared" si="33"/>
        <v>109.5241824</v>
      </c>
      <c r="BO23" s="51"/>
      <c r="BP23" s="51">
        <f t="shared" si="91"/>
        <v>38673.12</v>
      </c>
      <c r="BQ23" s="51">
        <f t="shared" si="34"/>
        <v>5736.147744</v>
      </c>
      <c r="BR23" s="33">
        <f t="shared" si="35"/>
        <v>44409.267744000004</v>
      </c>
      <c r="BS23" s="65">
        <f t="shared" si="36"/>
        <v>568.9671552</v>
      </c>
      <c r="BT23" s="51"/>
      <c r="BU23" s="51">
        <f t="shared" si="92"/>
        <v>2197.85</v>
      </c>
      <c r="BV23" s="51">
        <f t="shared" si="37"/>
        <v>325.99367</v>
      </c>
      <c r="BW23" s="33">
        <f t="shared" si="38"/>
        <v>2523.8436699999997</v>
      </c>
      <c r="BX23" s="65">
        <f t="shared" si="39"/>
        <v>32.335236</v>
      </c>
      <c r="BY23" s="51"/>
      <c r="BZ23" s="51">
        <f t="shared" si="93"/>
        <v>7768.185</v>
      </c>
      <c r="CA23" s="51">
        <f t="shared" si="40"/>
        <v>1152.207447</v>
      </c>
      <c r="CB23" s="33">
        <f t="shared" si="41"/>
        <v>8920.392447</v>
      </c>
      <c r="CC23" s="65">
        <f t="shared" si="42"/>
        <v>114.28718760000001</v>
      </c>
      <c r="CD23" s="51"/>
      <c r="CE23" s="33">
        <f t="shared" si="94"/>
        <v>28237.005</v>
      </c>
      <c r="CF23" s="33">
        <f t="shared" si="43"/>
        <v>4188.222531</v>
      </c>
      <c r="CG23" s="33">
        <f t="shared" si="44"/>
        <v>32425.227531</v>
      </c>
      <c r="CH23" s="65">
        <f t="shared" si="45"/>
        <v>415.4288148</v>
      </c>
      <c r="CI23" s="51"/>
      <c r="CJ23" s="51">
        <f t="shared" si="95"/>
        <v>192832.24000000002</v>
      </c>
      <c r="CK23" s="51">
        <f t="shared" si="46"/>
        <v>28601.628688</v>
      </c>
      <c r="CL23" s="33">
        <f t="shared" si="47"/>
        <v>221433.86868800002</v>
      </c>
      <c r="CM23" s="65">
        <f t="shared" si="48"/>
        <v>2836.9888704000005</v>
      </c>
      <c r="CN23" s="51"/>
      <c r="CO23" s="51">
        <f t="shared" si="96"/>
        <v>798068.715</v>
      </c>
      <c r="CP23" s="51">
        <f t="shared" si="49"/>
        <v>118372.65933299999</v>
      </c>
      <c r="CQ23" s="33">
        <f t="shared" si="50"/>
        <v>916441.3743329999</v>
      </c>
      <c r="CR23" s="65">
        <f t="shared" si="51"/>
        <v>11741.3564364</v>
      </c>
      <c r="CS23" s="51"/>
      <c r="CT23" s="51">
        <f t="shared" si="97"/>
        <v>146712.42</v>
      </c>
      <c r="CU23" s="51">
        <f t="shared" si="52"/>
        <v>21760.957404</v>
      </c>
      <c r="CV23" s="33">
        <f t="shared" si="53"/>
        <v>168473.37740400003</v>
      </c>
      <c r="CW23" s="65">
        <f t="shared" si="54"/>
        <v>2158.4642832</v>
      </c>
      <c r="CX23" s="51"/>
      <c r="CY23" s="51">
        <f t="shared" si="98"/>
        <v>502295.73500000004</v>
      </c>
      <c r="CZ23" s="51">
        <f t="shared" si="55"/>
        <v>74502.45925700001</v>
      </c>
      <c r="DA23" s="33">
        <f t="shared" si="56"/>
        <v>576798.194257</v>
      </c>
      <c r="DB23" s="65">
        <f t="shared" si="57"/>
        <v>7389.8815356000005</v>
      </c>
      <c r="DC23" s="51"/>
      <c r="DD23" s="51">
        <f t="shared" si="99"/>
        <v>107092.92499999999</v>
      </c>
      <c r="DE23" s="51">
        <f t="shared" si="58"/>
        <v>15884.439634999999</v>
      </c>
      <c r="DF23" s="33">
        <f t="shared" si="59"/>
        <v>122977.36463499999</v>
      </c>
      <c r="DG23" s="65">
        <f t="shared" si="60"/>
        <v>1575.573858</v>
      </c>
      <c r="DH23" s="51"/>
      <c r="DI23" s="51">
        <f t="shared" si="100"/>
        <v>8724.73</v>
      </c>
      <c r="DJ23" s="51">
        <f t="shared" si="61"/>
        <v>1294.085926</v>
      </c>
      <c r="DK23" s="33">
        <f t="shared" si="62"/>
        <v>10018.815926</v>
      </c>
      <c r="DL23" s="65">
        <f t="shared" si="63"/>
        <v>128.3600808</v>
      </c>
      <c r="DM23" s="51"/>
      <c r="DN23" s="51">
        <f t="shared" si="101"/>
        <v>10405.605</v>
      </c>
      <c r="DO23" s="51">
        <f t="shared" si="64"/>
        <v>1543.399851</v>
      </c>
      <c r="DP23" s="33">
        <f t="shared" si="65"/>
        <v>11949.004851</v>
      </c>
      <c r="DQ23" s="65">
        <f t="shared" si="66"/>
        <v>153.0894708</v>
      </c>
      <c r="DR23" s="51"/>
      <c r="DS23" s="51">
        <f t="shared" si="102"/>
        <v>21222.53</v>
      </c>
      <c r="DT23" s="51">
        <f t="shared" si="67"/>
        <v>3147.808286</v>
      </c>
      <c r="DU23" s="33">
        <f t="shared" si="68"/>
        <v>24370.338286</v>
      </c>
      <c r="DV23" s="65">
        <f t="shared" si="69"/>
        <v>312.2303688</v>
      </c>
      <c r="DW23" s="51"/>
      <c r="DX23" s="51">
        <f t="shared" si="103"/>
        <v>584964.84</v>
      </c>
      <c r="DY23" s="51">
        <f t="shared" si="70"/>
        <v>86764.262808</v>
      </c>
      <c r="DZ23" s="33">
        <f t="shared" si="71"/>
        <v>671729.1028079999</v>
      </c>
      <c r="EA23" s="65">
        <f t="shared" si="72"/>
        <v>8606.126966400001</v>
      </c>
      <c r="EB23" s="33"/>
      <c r="EC23" s="33">
        <f t="shared" si="104"/>
        <v>22718.65</v>
      </c>
      <c r="ED23" s="33">
        <f t="shared" si="73"/>
        <v>3369.7186300000003</v>
      </c>
      <c r="EE23" s="33">
        <f t="shared" si="74"/>
        <v>26088.36863</v>
      </c>
      <c r="EF23" s="65">
        <f t="shared" si="75"/>
        <v>334.241604</v>
      </c>
      <c r="EG23" s="51"/>
      <c r="EH23" s="51">
        <f t="shared" si="105"/>
        <v>48687.18</v>
      </c>
      <c r="EI23" s="51">
        <f t="shared" si="76"/>
        <v>7221.472116</v>
      </c>
      <c r="EJ23" s="33">
        <f t="shared" si="77"/>
        <v>55908.652116</v>
      </c>
      <c r="EK23" s="65">
        <f t="shared" si="78"/>
        <v>716.2961328</v>
      </c>
      <c r="EL23" s="51"/>
      <c r="EM23" s="33"/>
      <c r="EN23" s="33"/>
      <c r="EO23" s="33"/>
    </row>
    <row r="24" spans="1:145" s="53" customFormat="1" ht="12.75">
      <c r="A24" s="52">
        <v>45200</v>
      </c>
      <c r="C24" s="35"/>
      <c r="D24" s="35">
        <v>734281</v>
      </c>
      <c r="E24" s="35">
        <f t="shared" si="0"/>
        <v>734281</v>
      </c>
      <c r="F24" s="35">
        <v>83124</v>
      </c>
      <c r="G24" s="51"/>
      <c r="H24" s="51"/>
      <c r="I24" s="51">
        <f>'Academic Project'!M24</f>
        <v>236110.6255335</v>
      </c>
      <c r="J24" s="51">
        <f t="shared" si="79"/>
        <v>236110.6255335</v>
      </c>
      <c r="K24" s="51">
        <f>'Academic Project'!O24</f>
        <v>26728.813133999996</v>
      </c>
      <c r="L24" s="51"/>
      <c r="M24" s="51"/>
      <c r="N24" s="41">
        <f t="shared" si="1"/>
        <v>498170.3744664999</v>
      </c>
      <c r="O24" s="33">
        <f t="shared" si="2"/>
        <v>498170.3744664999</v>
      </c>
      <c r="P24" s="41">
        <f t="shared" si="3"/>
        <v>56395.186866000004</v>
      </c>
      <c r="Q24" s="51"/>
      <c r="R24" s="65"/>
      <c r="S24" s="65">
        <f t="shared" si="4"/>
        <v>40397.5706365</v>
      </c>
      <c r="T24" s="20">
        <f t="shared" si="5"/>
        <v>40397.5706365</v>
      </c>
      <c r="U24" s="65">
        <f t="shared" si="6"/>
        <v>4573.191546</v>
      </c>
      <c r="V24" s="51"/>
      <c r="W24" s="65"/>
      <c r="X24" s="65">
        <f t="shared" si="7"/>
        <v>49316.735087299996</v>
      </c>
      <c r="Y24" s="20">
        <f t="shared" si="8"/>
        <v>49316.735087299996</v>
      </c>
      <c r="Z24" s="65">
        <f t="shared" si="9"/>
        <v>5582.8821492</v>
      </c>
      <c r="AA24" s="51"/>
      <c r="AB24" s="33"/>
      <c r="AC24" s="33">
        <f t="shared" si="10"/>
        <v>180.5596979</v>
      </c>
      <c r="AD24" s="33">
        <f t="shared" si="11"/>
        <v>180.5596979</v>
      </c>
      <c r="AE24" s="65">
        <f t="shared" si="12"/>
        <v>20.440191600000002</v>
      </c>
      <c r="AF24" s="51"/>
      <c r="AG24" s="65"/>
      <c r="AH24" s="65">
        <f t="shared" si="13"/>
        <v>10658.896424100001</v>
      </c>
      <c r="AI24" s="20">
        <f t="shared" si="14"/>
        <v>10658.896424100001</v>
      </c>
      <c r="AJ24" s="65">
        <f t="shared" si="15"/>
        <v>1206.6362964</v>
      </c>
      <c r="AK24" s="51"/>
      <c r="AL24" s="65"/>
      <c r="AM24" s="65">
        <f t="shared" si="16"/>
        <v>49044.4636925</v>
      </c>
      <c r="AN24" s="20">
        <f t="shared" si="17"/>
        <v>49044.4636925</v>
      </c>
      <c r="AO24" s="65">
        <f t="shared" si="18"/>
        <v>5552.059770000001</v>
      </c>
      <c r="AP24" s="51"/>
      <c r="AQ24" s="65"/>
      <c r="AR24" s="65">
        <f t="shared" si="19"/>
        <v>7731.6852176</v>
      </c>
      <c r="AS24" s="20">
        <f t="shared" si="20"/>
        <v>7731.6852176</v>
      </c>
      <c r="AT24" s="65">
        <f t="shared" si="21"/>
        <v>875.2624704</v>
      </c>
      <c r="AU24" s="51"/>
      <c r="AV24" s="51"/>
      <c r="AW24" s="51">
        <f t="shared" si="22"/>
        <v>429.48095689999997</v>
      </c>
      <c r="AX24" s="33">
        <f t="shared" si="23"/>
        <v>429.48095689999997</v>
      </c>
      <c r="AY24" s="65">
        <f t="shared" si="24"/>
        <v>48.619227599999995</v>
      </c>
      <c r="AZ24" s="51"/>
      <c r="BA24" s="33"/>
      <c r="BB24" s="33">
        <f t="shared" si="25"/>
        <v>4947.0713813</v>
      </c>
      <c r="BC24" s="33">
        <f t="shared" si="26"/>
        <v>4947.0713813</v>
      </c>
      <c r="BD24" s="65">
        <f t="shared" si="27"/>
        <v>560.0313252</v>
      </c>
      <c r="BE24" s="51"/>
      <c r="BF24" s="51"/>
      <c r="BG24" s="51">
        <f t="shared" si="28"/>
        <v>6915.899026599999</v>
      </c>
      <c r="BH24" s="33">
        <f t="shared" si="29"/>
        <v>6915.899026599999</v>
      </c>
      <c r="BI24" s="65">
        <f t="shared" si="30"/>
        <v>782.9117064</v>
      </c>
      <c r="BJ24" s="51"/>
      <c r="BK24" s="51"/>
      <c r="BL24" s="51">
        <f t="shared" si="31"/>
        <v>967.4886455999999</v>
      </c>
      <c r="BM24" s="33">
        <f t="shared" si="32"/>
        <v>967.4886455999999</v>
      </c>
      <c r="BN24" s="65">
        <f t="shared" si="33"/>
        <v>109.5241824</v>
      </c>
      <c r="BO24" s="51"/>
      <c r="BP24" s="51"/>
      <c r="BQ24" s="51">
        <f t="shared" si="34"/>
        <v>5026.0065888</v>
      </c>
      <c r="BR24" s="33">
        <f t="shared" si="35"/>
        <v>5026.0065888</v>
      </c>
      <c r="BS24" s="65">
        <f t="shared" si="36"/>
        <v>568.9671552</v>
      </c>
      <c r="BT24" s="51"/>
      <c r="BU24" s="51"/>
      <c r="BV24" s="51">
        <f t="shared" si="37"/>
        <v>285.635309</v>
      </c>
      <c r="BW24" s="33">
        <f t="shared" si="38"/>
        <v>285.635309</v>
      </c>
      <c r="BX24" s="65">
        <f t="shared" si="39"/>
        <v>32.335236</v>
      </c>
      <c r="BY24" s="51"/>
      <c r="BZ24" s="51"/>
      <c r="CA24" s="51">
        <f t="shared" si="40"/>
        <v>1009.5629469</v>
      </c>
      <c r="CB24" s="33">
        <f t="shared" si="41"/>
        <v>1009.5629469</v>
      </c>
      <c r="CC24" s="65">
        <f t="shared" si="42"/>
        <v>114.28718760000001</v>
      </c>
      <c r="CD24" s="51"/>
      <c r="CE24" s="33"/>
      <c r="CF24" s="33">
        <f t="shared" si="43"/>
        <v>3669.7161536999997</v>
      </c>
      <c r="CG24" s="33">
        <f t="shared" si="44"/>
        <v>3669.7161536999997</v>
      </c>
      <c r="CH24" s="65">
        <f t="shared" si="45"/>
        <v>415.4288148</v>
      </c>
      <c r="CI24" s="51"/>
      <c r="CJ24" s="51"/>
      <c r="CK24" s="51">
        <f t="shared" si="46"/>
        <v>25060.7168176</v>
      </c>
      <c r="CL24" s="33">
        <f t="shared" si="47"/>
        <v>25060.7168176</v>
      </c>
      <c r="CM24" s="65">
        <f t="shared" si="48"/>
        <v>2836.9888704000005</v>
      </c>
      <c r="CN24" s="51"/>
      <c r="CO24" s="51"/>
      <c r="CP24" s="51">
        <f t="shared" si="49"/>
        <v>103717.99895909999</v>
      </c>
      <c r="CQ24" s="33">
        <f t="shared" si="50"/>
        <v>103717.99895909999</v>
      </c>
      <c r="CR24" s="65">
        <f t="shared" si="51"/>
        <v>11741.3564364</v>
      </c>
      <c r="CS24" s="51"/>
      <c r="CT24" s="51"/>
      <c r="CU24" s="51">
        <f t="shared" si="52"/>
        <v>19066.927870800002</v>
      </c>
      <c r="CV24" s="33">
        <f t="shared" si="53"/>
        <v>19066.927870800002</v>
      </c>
      <c r="CW24" s="65">
        <f t="shared" si="54"/>
        <v>2158.4642832</v>
      </c>
      <c r="CX24" s="51"/>
      <c r="CY24" s="51"/>
      <c r="CZ24" s="51">
        <f t="shared" si="55"/>
        <v>65278.976033900006</v>
      </c>
      <c r="DA24" s="33">
        <f t="shared" si="56"/>
        <v>65278.976033900006</v>
      </c>
      <c r="DB24" s="65">
        <f t="shared" si="57"/>
        <v>7389.8815356000005</v>
      </c>
      <c r="DC24" s="51"/>
      <c r="DD24" s="51"/>
      <c r="DE24" s="51">
        <f t="shared" si="58"/>
        <v>13917.9292145</v>
      </c>
      <c r="DF24" s="33">
        <f t="shared" si="59"/>
        <v>13917.9292145</v>
      </c>
      <c r="DG24" s="65">
        <f t="shared" si="60"/>
        <v>1575.573858</v>
      </c>
      <c r="DH24" s="51"/>
      <c r="DI24" s="51"/>
      <c r="DJ24" s="51">
        <f t="shared" si="61"/>
        <v>1133.8767202</v>
      </c>
      <c r="DK24" s="33">
        <f t="shared" si="62"/>
        <v>1133.8767202</v>
      </c>
      <c r="DL24" s="65">
        <f t="shared" si="63"/>
        <v>128.3600808</v>
      </c>
      <c r="DM24" s="51"/>
      <c r="DN24" s="51"/>
      <c r="DO24" s="51">
        <f t="shared" si="64"/>
        <v>1352.3253177</v>
      </c>
      <c r="DP24" s="33">
        <f t="shared" si="65"/>
        <v>1352.3253177</v>
      </c>
      <c r="DQ24" s="65">
        <f t="shared" si="66"/>
        <v>153.0894708</v>
      </c>
      <c r="DR24" s="51"/>
      <c r="DS24" s="51"/>
      <c r="DT24" s="51">
        <f t="shared" si="67"/>
        <v>2758.1062922</v>
      </c>
      <c r="DU24" s="33">
        <f t="shared" si="68"/>
        <v>2758.1062922</v>
      </c>
      <c r="DV24" s="65">
        <f t="shared" si="69"/>
        <v>312.2303688</v>
      </c>
      <c r="DW24" s="51"/>
      <c r="DX24" s="51"/>
      <c r="DY24" s="51">
        <f t="shared" si="70"/>
        <v>76022.7553416</v>
      </c>
      <c r="DZ24" s="33">
        <f t="shared" si="71"/>
        <v>76022.7553416</v>
      </c>
      <c r="EA24" s="65">
        <f t="shared" si="72"/>
        <v>8606.126966400001</v>
      </c>
      <c r="EB24" s="33"/>
      <c r="EC24" s="33"/>
      <c r="ED24" s="33">
        <f t="shared" si="73"/>
        <v>2952.543901</v>
      </c>
      <c r="EE24" s="33">
        <f t="shared" si="74"/>
        <v>2952.543901</v>
      </c>
      <c r="EF24" s="65">
        <f t="shared" si="75"/>
        <v>334.241604</v>
      </c>
      <c r="EG24" s="51"/>
      <c r="EH24" s="51"/>
      <c r="EI24" s="51">
        <f t="shared" si="76"/>
        <v>6327.4462332</v>
      </c>
      <c r="EJ24" s="33">
        <f t="shared" si="77"/>
        <v>6327.4462332</v>
      </c>
      <c r="EK24" s="65">
        <f t="shared" si="78"/>
        <v>716.2961328</v>
      </c>
      <c r="EL24" s="51"/>
      <c r="EM24" s="33"/>
      <c r="EN24" s="33"/>
      <c r="EO24" s="33"/>
    </row>
    <row r="25" spans="1:145" s="53" customFormat="1" ht="12.75">
      <c r="A25" s="52">
        <v>45383</v>
      </c>
      <c r="C25" s="35">
        <v>5860000</v>
      </c>
      <c r="D25" s="35">
        <v>734281</v>
      </c>
      <c r="E25" s="35">
        <f t="shared" si="0"/>
        <v>6594281</v>
      </c>
      <c r="F25" s="35">
        <v>83124</v>
      </c>
      <c r="G25" s="51"/>
      <c r="H25" s="51">
        <f>'Academic Project'!L25</f>
        <v>1884303.5099999995</v>
      </c>
      <c r="I25" s="51">
        <f>'Academic Project'!M25</f>
        <v>236110.6255335</v>
      </c>
      <c r="J25" s="51">
        <f t="shared" si="79"/>
        <v>2120414.1355334995</v>
      </c>
      <c r="K25" s="51">
        <f>'Academic Project'!O25</f>
        <v>26728.813133999996</v>
      </c>
      <c r="L25" s="51"/>
      <c r="M25" s="51">
        <f t="shared" si="80"/>
        <v>3975696.4900000007</v>
      </c>
      <c r="N25" s="41">
        <f t="shared" si="1"/>
        <v>498170.3744664999</v>
      </c>
      <c r="O25" s="33">
        <f t="shared" si="2"/>
        <v>4473866.8644665005</v>
      </c>
      <c r="P25" s="41">
        <f t="shared" si="3"/>
        <v>56395.186866000004</v>
      </c>
      <c r="Q25" s="51"/>
      <c r="R25" s="65">
        <f t="shared" si="81"/>
        <v>322396.69</v>
      </c>
      <c r="S25" s="65">
        <f t="shared" si="4"/>
        <v>40397.5706365</v>
      </c>
      <c r="T25" s="20">
        <f t="shared" si="5"/>
        <v>362794.2606365</v>
      </c>
      <c r="U25" s="65">
        <f t="shared" si="6"/>
        <v>4573.191546</v>
      </c>
      <c r="V25" s="51"/>
      <c r="W25" s="65">
        <f t="shared" si="82"/>
        <v>393576.93799999997</v>
      </c>
      <c r="X25" s="65">
        <f t="shared" si="7"/>
        <v>49316.735087299996</v>
      </c>
      <c r="Y25" s="20">
        <f t="shared" si="8"/>
        <v>442893.6730873</v>
      </c>
      <c r="Z25" s="65">
        <f t="shared" si="9"/>
        <v>5582.8821492</v>
      </c>
      <c r="AA25" s="51"/>
      <c r="AB25" s="33">
        <f t="shared" si="83"/>
        <v>1440.9740000000002</v>
      </c>
      <c r="AC25" s="33">
        <f t="shared" si="10"/>
        <v>180.5596979</v>
      </c>
      <c r="AD25" s="33">
        <f t="shared" si="11"/>
        <v>1621.5336979</v>
      </c>
      <c r="AE25" s="65">
        <f t="shared" si="12"/>
        <v>20.440191600000002</v>
      </c>
      <c r="AF25" s="51"/>
      <c r="AG25" s="65">
        <f t="shared" si="84"/>
        <v>85064.346</v>
      </c>
      <c r="AH25" s="65">
        <f t="shared" si="13"/>
        <v>10658.896424100001</v>
      </c>
      <c r="AI25" s="20">
        <f t="shared" si="14"/>
        <v>95723.24242410001</v>
      </c>
      <c r="AJ25" s="65">
        <f t="shared" si="15"/>
        <v>1206.6362964</v>
      </c>
      <c r="AK25" s="51"/>
      <c r="AL25" s="65">
        <f t="shared" si="85"/>
        <v>391404.05000000005</v>
      </c>
      <c r="AM25" s="65">
        <f t="shared" si="16"/>
        <v>49044.4636925</v>
      </c>
      <c r="AN25" s="20">
        <f t="shared" si="17"/>
        <v>440448.51369250007</v>
      </c>
      <c r="AO25" s="65">
        <f t="shared" si="18"/>
        <v>5552.059770000001</v>
      </c>
      <c r="AP25" s="51"/>
      <c r="AQ25" s="65">
        <f t="shared" si="86"/>
        <v>61703.456</v>
      </c>
      <c r="AR25" s="65">
        <f t="shared" si="19"/>
        <v>7731.6852176</v>
      </c>
      <c r="AS25" s="20">
        <f t="shared" si="20"/>
        <v>69435.1412176</v>
      </c>
      <c r="AT25" s="65">
        <f t="shared" si="21"/>
        <v>875.2624704</v>
      </c>
      <c r="AU25" s="51"/>
      <c r="AV25" s="51">
        <f t="shared" si="87"/>
        <v>3427.5139999999997</v>
      </c>
      <c r="AW25" s="51">
        <f t="shared" si="22"/>
        <v>429.48095689999997</v>
      </c>
      <c r="AX25" s="33">
        <f t="shared" si="23"/>
        <v>3856.9949568999996</v>
      </c>
      <c r="AY25" s="65">
        <f t="shared" si="24"/>
        <v>48.619227599999995</v>
      </c>
      <c r="AZ25" s="51"/>
      <c r="BA25" s="33">
        <f t="shared" si="88"/>
        <v>39480.578</v>
      </c>
      <c r="BB25" s="33">
        <f t="shared" si="25"/>
        <v>4947.0713813</v>
      </c>
      <c r="BC25" s="33">
        <f t="shared" si="26"/>
        <v>44427.6493813</v>
      </c>
      <c r="BD25" s="65">
        <f t="shared" si="27"/>
        <v>560.0313252</v>
      </c>
      <c r="BE25" s="51"/>
      <c r="BF25" s="51">
        <f t="shared" si="89"/>
        <v>55192.99599999999</v>
      </c>
      <c r="BG25" s="51">
        <f t="shared" si="28"/>
        <v>6915.899026599999</v>
      </c>
      <c r="BH25" s="33">
        <f t="shared" si="29"/>
        <v>62108.89502659999</v>
      </c>
      <c r="BI25" s="65">
        <f t="shared" si="30"/>
        <v>782.9117064</v>
      </c>
      <c r="BJ25" s="51"/>
      <c r="BK25" s="51">
        <f t="shared" si="90"/>
        <v>7721.1359999999995</v>
      </c>
      <c r="BL25" s="51">
        <f t="shared" si="31"/>
        <v>967.4886455999999</v>
      </c>
      <c r="BM25" s="33">
        <f t="shared" si="32"/>
        <v>8688.624645599999</v>
      </c>
      <c r="BN25" s="65">
        <f t="shared" si="33"/>
        <v>109.5241824</v>
      </c>
      <c r="BO25" s="51"/>
      <c r="BP25" s="51">
        <f t="shared" si="91"/>
        <v>40110.528</v>
      </c>
      <c r="BQ25" s="51">
        <f t="shared" si="34"/>
        <v>5026.0065888</v>
      </c>
      <c r="BR25" s="33">
        <f t="shared" si="35"/>
        <v>45136.5345888</v>
      </c>
      <c r="BS25" s="65">
        <f t="shared" si="36"/>
        <v>568.9671552</v>
      </c>
      <c r="BT25" s="51"/>
      <c r="BU25" s="51">
        <f t="shared" si="92"/>
        <v>2279.54</v>
      </c>
      <c r="BV25" s="51">
        <f t="shared" si="37"/>
        <v>285.635309</v>
      </c>
      <c r="BW25" s="33">
        <f t="shared" si="38"/>
        <v>2565.175309</v>
      </c>
      <c r="BX25" s="65">
        <f t="shared" si="39"/>
        <v>32.335236</v>
      </c>
      <c r="BY25" s="51"/>
      <c r="BZ25" s="51">
        <f t="shared" si="93"/>
        <v>8056.914000000001</v>
      </c>
      <c r="CA25" s="51">
        <f t="shared" si="40"/>
        <v>1009.5629469</v>
      </c>
      <c r="CB25" s="33">
        <f t="shared" si="41"/>
        <v>9066.4769469</v>
      </c>
      <c r="CC25" s="65">
        <f t="shared" si="42"/>
        <v>114.28718760000001</v>
      </c>
      <c r="CD25" s="51"/>
      <c r="CE25" s="33">
        <f t="shared" si="94"/>
        <v>29286.522</v>
      </c>
      <c r="CF25" s="33">
        <f t="shared" si="43"/>
        <v>3669.7161536999997</v>
      </c>
      <c r="CG25" s="33">
        <f t="shared" si="44"/>
        <v>32956.238153700004</v>
      </c>
      <c r="CH25" s="65">
        <f t="shared" si="45"/>
        <v>415.4288148</v>
      </c>
      <c r="CI25" s="51"/>
      <c r="CJ25" s="51">
        <f t="shared" si="95"/>
        <v>199999.456</v>
      </c>
      <c r="CK25" s="51">
        <f t="shared" si="46"/>
        <v>25060.7168176</v>
      </c>
      <c r="CL25" s="33">
        <f t="shared" si="47"/>
        <v>225060.17281760002</v>
      </c>
      <c r="CM25" s="65">
        <f t="shared" si="48"/>
        <v>2836.9888704000005</v>
      </c>
      <c r="CN25" s="51"/>
      <c r="CO25" s="51">
        <f t="shared" si="96"/>
        <v>827731.446</v>
      </c>
      <c r="CP25" s="51">
        <f t="shared" si="49"/>
        <v>103717.99895909999</v>
      </c>
      <c r="CQ25" s="33">
        <f t="shared" si="50"/>
        <v>931449.4449591</v>
      </c>
      <c r="CR25" s="65">
        <f t="shared" si="51"/>
        <v>11741.3564364</v>
      </c>
      <c r="CS25" s="51"/>
      <c r="CT25" s="51">
        <f t="shared" si="97"/>
        <v>152165.448</v>
      </c>
      <c r="CU25" s="51">
        <f t="shared" si="52"/>
        <v>19066.927870800002</v>
      </c>
      <c r="CV25" s="33">
        <f t="shared" si="53"/>
        <v>171232.3758708</v>
      </c>
      <c r="CW25" s="65">
        <f t="shared" si="54"/>
        <v>2158.4642832</v>
      </c>
      <c r="CX25" s="51"/>
      <c r="CY25" s="51">
        <f t="shared" si="98"/>
        <v>520965.134</v>
      </c>
      <c r="CZ25" s="51">
        <f t="shared" si="55"/>
        <v>65278.976033900006</v>
      </c>
      <c r="DA25" s="33">
        <f t="shared" si="56"/>
        <v>586244.1100339</v>
      </c>
      <c r="DB25" s="65">
        <f t="shared" si="57"/>
        <v>7389.8815356000005</v>
      </c>
      <c r="DC25" s="51"/>
      <c r="DD25" s="51">
        <f t="shared" si="99"/>
        <v>111073.37</v>
      </c>
      <c r="DE25" s="51">
        <f t="shared" si="58"/>
        <v>13917.9292145</v>
      </c>
      <c r="DF25" s="33">
        <f t="shared" si="59"/>
        <v>124991.2992145</v>
      </c>
      <c r="DG25" s="65">
        <f t="shared" si="60"/>
        <v>1575.573858</v>
      </c>
      <c r="DH25" s="51"/>
      <c r="DI25" s="51">
        <f t="shared" si="100"/>
        <v>9049.011999999999</v>
      </c>
      <c r="DJ25" s="51">
        <f t="shared" si="61"/>
        <v>1133.8767202</v>
      </c>
      <c r="DK25" s="33">
        <f t="shared" si="62"/>
        <v>10182.888720199999</v>
      </c>
      <c r="DL25" s="65">
        <f t="shared" si="63"/>
        <v>128.3600808</v>
      </c>
      <c r="DM25" s="51"/>
      <c r="DN25" s="51">
        <f t="shared" si="101"/>
        <v>10792.362</v>
      </c>
      <c r="DO25" s="51">
        <f t="shared" si="64"/>
        <v>1352.3253177</v>
      </c>
      <c r="DP25" s="33">
        <f t="shared" si="65"/>
        <v>12144.6873177</v>
      </c>
      <c r="DQ25" s="65">
        <f t="shared" si="66"/>
        <v>153.0894708</v>
      </c>
      <c r="DR25" s="51"/>
      <c r="DS25" s="51">
        <f t="shared" si="102"/>
        <v>22011.332</v>
      </c>
      <c r="DT25" s="51">
        <f t="shared" si="67"/>
        <v>2758.1062922</v>
      </c>
      <c r="DU25" s="33">
        <f t="shared" si="68"/>
        <v>24769.4382922</v>
      </c>
      <c r="DV25" s="65">
        <f t="shared" si="69"/>
        <v>312.2303688</v>
      </c>
      <c r="DW25" s="51"/>
      <c r="DX25" s="51">
        <f t="shared" si="103"/>
        <v>606706.8960000001</v>
      </c>
      <c r="DY25" s="51">
        <f t="shared" si="70"/>
        <v>76022.7553416</v>
      </c>
      <c r="DZ25" s="33">
        <f t="shared" si="71"/>
        <v>682729.6513416001</v>
      </c>
      <c r="EA25" s="65">
        <f t="shared" si="72"/>
        <v>8606.126966400001</v>
      </c>
      <c r="EB25" s="33"/>
      <c r="EC25" s="33">
        <f t="shared" si="104"/>
        <v>23563.06</v>
      </c>
      <c r="ED25" s="33">
        <f t="shared" si="73"/>
        <v>2952.543901</v>
      </c>
      <c r="EE25" s="33">
        <f t="shared" si="74"/>
        <v>26515.603901000002</v>
      </c>
      <c r="EF25" s="65">
        <f t="shared" si="75"/>
        <v>334.241604</v>
      </c>
      <c r="EG25" s="51"/>
      <c r="EH25" s="51">
        <f t="shared" si="105"/>
        <v>50496.792</v>
      </c>
      <c r="EI25" s="51">
        <f t="shared" si="76"/>
        <v>6327.4462332</v>
      </c>
      <c r="EJ25" s="33">
        <f t="shared" si="77"/>
        <v>56824.2382332</v>
      </c>
      <c r="EK25" s="65">
        <f t="shared" si="78"/>
        <v>716.2961328</v>
      </c>
      <c r="EL25" s="51"/>
      <c r="EM25" s="33"/>
      <c r="EN25" s="33"/>
      <c r="EO25" s="33"/>
    </row>
    <row r="26" spans="1:145" s="53" customFormat="1" ht="12.75">
      <c r="A26" s="52">
        <v>45566</v>
      </c>
      <c r="C26" s="35"/>
      <c r="D26" s="35">
        <v>624773</v>
      </c>
      <c r="E26" s="35">
        <f t="shared" si="0"/>
        <v>624773</v>
      </c>
      <c r="F26" s="35">
        <v>83124</v>
      </c>
      <c r="G26" s="51"/>
      <c r="H26" s="51"/>
      <c r="I26" s="51">
        <f>'Academic Project'!M26</f>
        <v>200897.9448555</v>
      </c>
      <c r="J26" s="51">
        <f t="shared" si="79"/>
        <v>200897.9448555</v>
      </c>
      <c r="K26" s="51">
        <f>'Academic Project'!O26</f>
        <v>26728.813133999996</v>
      </c>
      <c r="L26" s="51"/>
      <c r="M26" s="51"/>
      <c r="N26" s="41">
        <f t="shared" si="1"/>
        <v>423875.05514449993</v>
      </c>
      <c r="O26" s="33">
        <f t="shared" si="2"/>
        <v>423875.05514449993</v>
      </c>
      <c r="P26" s="41">
        <f t="shared" si="3"/>
        <v>56395.186866000004</v>
      </c>
      <c r="Q26" s="51"/>
      <c r="R26" s="65"/>
      <c r="S26" s="65">
        <f t="shared" si="4"/>
        <v>34372.8237545</v>
      </c>
      <c r="T26" s="20">
        <f t="shared" si="5"/>
        <v>34372.8237545</v>
      </c>
      <c r="U26" s="65">
        <f t="shared" si="6"/>
        <v>4573.191546</v>
      </c>
      <c r="V26" s="51"/>
      <c r="W26" s="65"/>
      <c r="X26" s="65">
        <f t="shared" si="7"/>
        <v>41961.8164309</v>
      </c>
      <c r="Y26" s="20">
        <f t="shared" si="8"/>
        <v>41961.8164309</v>
      </c>
      <c r="Z26" s="65">
        <f t="shared" si="9"/>
        <v>5582.8821492</v>
      </c>
      <c r="AA26" s="51"/>
      <c r="AB26" s="33"/>
      <c r="AC26" s="33">
        <f t="shared" si="10"/>
        <v>153.6316807</v>
      </c>
      <c r="AD26" s="33">
        <f t="shared" si="11"/>
        <v>153.6316807</v>
      </c>
      <c r="AE26" s="65">
        <f t="shared" si="12"/>
        <v>20.440191600000002</v>
      </c>
      <c r="AF26" s="51"/>
      <c r="AG26" s="65"/>
      <c r="AH26" s="65">
        <f t="shared" si="13"/>
        <v>9069.2673453</v>
      </c>
      <c r="AI26" s="20">
        <f t="shared" si="14"/>
        <v>9069.2673453</v>
      </c>
      <c r="AJ26" s="65">
        <f t="shared" si="15"/>
        <v>1206.6362964</v>
      </c>
      <c r="AK26" s="51"/>
      <c r="AL26" s="65"/>
      <c r="AM26" s="65">
        <f t="shared" si="16"/>
        <v>41730.150602500005</v>
      </c>
      <c r="AN26" s="20">
        <f t="shared" si="17"/>
        <v>41730.150602500005</v>
      </c>
      <c r="AO26" s="65">
        <f t="shared" si="18"/>
        <v>5552.059770000001</v>
      </c>
      <c r="AP26" s="51"/>
      <c r="AQ26" s="65"/>
      <c r="AR26" s="65">
        <f t="shared" si="19"/>
        <v>6578.6097808</v>
      </c>
      <c r="AS26" s="20">
        <f t="shared" si="20"/>
        <v>6578.6097808</v>
      </c>
      <c r="AT26" s="65">
        <f t="shared" si="21"/>
        <v>875.2624704</v>
      </c>
      <c r="AU26" s="51"/>
      <c r="AV26" s="51"/>
      <c r="AW26" s="51">
        <f t="shared" si="22"/>
        <v>365.4297277</v>
      </c>
      <c r="AX26" s="33">
        <f t="shared" si="23"/>
        <v>365.4297277</v>
      </c>
      <c r="AY26" s="65">
        <f t="shared" si="24"/>
        <v>48.619227599999995</v>
      </c>
      <c r="AZ26" s="51"/>
      <c r="BA26" s="33"/>
      <c r="BB26" s="33">
        <f t="shared" si="25"/>
        <v>4209.2831329</v>
      </c>
      <c r="BC26" s="33">
        <f t="shared" si="26"/>
        <v>4209.2831329</v>
      </c>
      <c r="BD26" s="65">
        <f t="shared" si="27"/>
        <v>560.0313252</v>
      </c>
      <c r="BE26" s="51"/>
      <c r="BF26" s="51"/>
      <c r="BG26" s="51">
        <f t="shared" si="28"/>
        <v>5884.486977799999</v>
      </c>
      <c r="BH26" s="33">
        <f t="shared" si="29"/>
        <v>5884.486977799999</v>
      </c>
      <c r="BI26" s="65">
        <f t="shared" si="30"/>
        <v>782.9117064</v>
      </c>
      <c r="BJ26" s="51"/>
      <c r="BK26" s="51"/>
      <c r="BL26" s="51">
        <f t="shared" si="31"/>
        <v>823.2009048</v>
      </c>
      <c r="BM26" s="33">
        <f t="shared" si="32"/>
        <v>823.2009048</v>
      </c>
      <c r="BN26" s="65">
        <f t="shared" si="33"/>
        <v>109.5241824</v>
      </c>
      <c r="BO26" s="51"/>
      <c r="BP26" s="51"/>
      <c r="BQ26" s="51">
        <f t="shared" si="34"/>
        <v>4276.4462304</v>
      </c>
      <c r="BR26" s="33">
        <f t="shared" si="35"/>
        <v>4276.4462304</v>
      </c>
      <c r="BS26" s="65">
        <f t="shared" si="36"/>
        <v>568.9671552</v>
      </c>
      <c r="BT26" s="51"/>
      <c r="BU26" s="51"/>
      <c r="BV26" s="51">
        <f t="shared" si="37"/>
        <v>243.036697</v>
      </c>
      <c r="BW26" s="33">
        <f t="shared" si="38"/>
        <v>243.036697</v>
      </c>
      <c r="BX26" s="65">
        <f t="shared" si="39"/>
        <v>32.335236</v>
      </c>
      <c r="BY26" s="51"/>
      <c r="BZ26" s="51"/>
      <c r="CA26" s="51">
        <f t="shared" si="40"/>
        <v>859.0003977</v>
      </c>
      <c r="CB26" s="33">
        <f t="shared" si="41"/>
        <v>859.0003977</v>
      </c>
      <c r="CC26" s="65">
        <f t="shared" si="42"/>
        <v>114.28718760000001</v>
      </c>
      <c r="CD26" s="51"/>
      <c r="CE26" s="33"/>
      <c r="CF26" s="33">
        <f t="shared" si="43"/>
        <v>3122.4280221</v>
      </c>
      <c r="CG26" s="33">
        <f t="shared" si="44"/>
        <v>3122.4280221</v>
      </c>
      <c r="CH26" s="65">
        <f t="shared" si="45"/>
        <v>415.4288148</v>
      </c>
      <c r="CI26" s="51"/>
      <c r="CJ26" s="51"/>
      <c r="CK26" s="51">
        <f t="shared" si="46"/>
        <v>21323.252580800003</v>
      </c>
      <c r="CL26" s="33">
        <f t="shared" si="47"/>
        <v>21323.252580800003</v>
      </c>
      <c r="CM26" s="65">
        <f t="shared" si="48"/>
        <v>2836.9888704000005</v>
      </c>
      <c r="CN26" s="51"/>
      <c r="CO26" s="51"/>
      <c r="CP26" s="51">
        <f t="shared" si="49"/>
        <v>88249.87350029999</v>
      </c>
      <c r="CQ26" s="33">
        <f t="shared" si="50"/>
        <v>88249.87350029999</v>
      </c>
      <c r="CR26" s="65">
        <f t="shared" si="51"/>
        <v>11741.3564364</v>
      </c>
      <c r="CS26" s="51"/>
      <c r="CT26" s="51"/>
      <c r="CU26" s="51">
        <f t="shared" si="52"/>
        <v>16223.3555364</v>
      </c>
      <c r="CV26" s="33">
        <f t="shared" si="53"/>
        <v>16223.3555364</v>
      </c>
      <c r="CW26" s="65">
        <f t="shared" si="54"/>
        <v>2158.4642832</v>
      </c>
      <c r="CX26" s="51"/>
      <c r="CY26" s="51"/>
      <c r="CZ26" s="51">
        <f t="shared" si="55"/>
        <v>55543.506768700005</v>
      </c>
      <c r="DA26" s="33">
        <f t="shared" si="56"/>
        <v>55543.506768700005</v>
      </c>
      <c r="DB26" s="65">
        <f t="shared" si="57"/>
        <v>7389.8815356000005</v>
      </c>
      <c r="DC26" s="51"/>
      <c r="DD26" s="51"/>
      <c r="DE26" s="51">
        <f t="shared" si="58"/>
        <v>11842.259828499999</v>
      </c>
      <c r="DF26" s="33">
        <f t="shared" si="59"/>
        <v>11842.259828499999</v>
      </c>
      <c r="DG26" s="65">
        <f t="shared" si="60"/>
        <v>1575.573858</v>
      </c>
      <c r="DH26" s="51"/>
      <c r="DI26" s="51"/>
      <c r="DJ26" s="51">
        <f t="shared" si="61"/>
        <v>964.7744666</v>
      </c>
      <c r="DK26" s="33">
        <f t="shared" si="62"/>
        <v>964.7744666</v>
      </c>
      <c r="DL26" s="65">
        <f t="shared" si="63"/>
        <v>128.3600808</v>
      </c>
      <c r="DM26" s="51"/>
      <c r="DN26" s="51"/>
      <c r="DO26" s="51">
        <f t="shared" si="64"/>
        <v>1150.6444341</v>
      </c>
      <c r="DP26" s="33">
        <f t="shared" si="65"/>
        <v>1150.6444341</v>
      </c>
      <c r="DQ26" s="65">
        <f t="shared" si="66"/>
        <v>153.0894708</v>
      </c>
      <c r="DR26" s="51"/>
      <c r="DS26" s="51"/>
      <c r="DT26" s="51">
        <f t="shared" si="67"/>
        <v>2346.7723426</v>
      </c>
      <c r="DU26" s="33">
        <f t="shared" si="68"/>
        <v>2346.7723426</v>
      </c>
      <c r="DV26" s="65">
        <f t="shared" si="69"/>
        <v>312.2303688</v>
      </c>
      <c r="DW26" s="51"/>
      <c r="DX26" s="51"/>
      <c r="DY26" s="51">
        <f t="shared" si="70"/>
        <v>64684.9978728</v>
      </c>
      <c r="DZ26" s="33">
        <f t="shared" si="71"/>
        <v>64684.9978728</v>
      </c>
      <c r="EA26" s="65">
        <f t="shared" si="72"/>
        <v>8606.126966400001</v>
      </c>
      <c r="EB26" s="33"/>
      <c r="EC26" s="33"/>
      <c r="ED26" s="33">
        <f t="shared" si="73"/>
        <v>2512.212233</v>
      </c>
      <c r="EE26" s="33">
        <f t="shared" si="74"/>
        <v>2512.212233</v>
      </c>
      <c r="EF26" s="65">
        <f t="shared" si="75"/>
        <v>334.241604</v>
      </c>
      <c r="EG26" s="51"/>
      <c r="EH26" s="51"/>
      <c r="EI26" s="51">
        <f t="shared" si="76"/>
        <v>5383.7938956</v>
      </c>
      <c r="EJ26" s="33">
        <f t="shared" si="77"/>
        <v>5383.7938956</v>
      </c>
      <c r="EK26" s="65">
        <f t="shared" si="78"/>
        <v>716.2961328</v>
      </c>
      <c r="EL26" s="51"/>
      <c r="EM26" s="33"/>
      <c r="EN26" s="33"/>
      <c r="EO26" s="33"/>
    </row>
    <row r="27" spans="1:145" s="53" customFormat="1" ht="12.75">
      <c r="A27" s="52">
        <v>45748</v>
      </c>
      <c r="C27" s="35">
        <v>6080000</v>
      </c>
      <c r="D27" s="35">
        <v>624773</v>
      </c>
      <c r="E27" s="35">
        <f t="shared" si="0"/>
        <v>6704773</v>
      </c>
      <c r="F27" s="35">
        <v>83124</v>
      </c>
      <c r="G27" s="51"/>
      <c r="H27" s="51">
        <f>'Academic Project'!L27</f>
        <v>1955045.2799999998</v>
      </c>
      <c r="I27" s="51">
        <f>'Academic Project'!M27</f>
        <v>200897.9448555</v>
      </c>
      <c r="J27" s="51">
        <f t="shared" si="79"/>
        <v>2155943.2248555</v>
      </c>
      <c r="K27" s="51">
        <f>'Academic Project'!O27</f>
        <v>26728.813133999996</v>
      </c>
      <c r="L27" s="51"/>
      <c r="M27" s="51">
        <f t="shared" si="80"/>
        <v>4124954.72</v>
      </c>
      <c r="N27" s="41">
        <f t="shared" si="1"/>
        <v>423875.05514449993</v>
      </c>
      <c r="O27" s="33">
        <f t="shared" si="2"/>
        <v>4548829.7751445</v>
      </c>
      <c r="P27" s="41">
        <f t="shared" si="3"/>
        <v>56395.186866000004</v>
      </c>
      <c r="Q27" s="51"/>
      <c r="R27" s="65">
        <f t="shared" si="81"/>
        <v>334500.32</v>
      </c>
      <c r="S27" s="65">
        <f t="shared" si="4"/>
        <v>34372.8237545</v>
      </c>
      <c r="T27" s="20">
        <f t="shared" si="5"/>
        <v>368873.1437545</v>
      </c>
      <c r="U27" s="65">
        <f t="shared" si="6"/>
        <v>4573.191546</v>
      </c>
      <c r="V27" s="51"/>
      <c r="W27" s="65">
        <f t="shared" si="82"/>
        <v>408352.86399999994</v>
      </c>
      <c r="X27" s="65">
        <f t="shared" si="7"/>
        <v>41961.8164309</v>
      </c>
      <c r="Y27" s="20">
        <f t="shared" si="8"/>
        <v>450314.68043089996</v>
      </c>
      <c r="Z27" s="65">
        <f t="shared" si="9"/>
        <v>5582.8821492</v>
      </c>
      <c r="AA27" s="51"/>
      <c r="AB27" s="33">
        <f t="shared" si="83"/>
        <v>1495.0720000000001</v>
      </c>
      <c r="AC27" s="33">
        <f t="shared" si="10"/>
        <v>153.6316807</v>
      </c>
      <c r="AD27" s="33">
        <f t="shared" si="11"/>
        <v>1648.7036807000002</v>
      </c>
      <c r="AE27" s="65">
        <f t="shared" si="12"/>
        <v>20.440191600000002</v>
      </c>
      <c r="AF27" s="51"/>
      <c r="AG27" s="65">
        <f t="shared" si="84"/>
        <v>88257.888</v>
      </c>
      <c r="AH27" s="65">
        <f t="shared" si="13"/>
        <v>9069.2673453</v>
      </c>
      <c r="AI27" s="20">
        <f t="shared" si="14"/>
        <v>97327.15534530001</v>
      </c>
      <c r="AJ27" s="65">
        <f t="shared" si="15"/>
        <v>1206.6362964</v>
      </c>
      <c r="AK27" s="51"/>
      <c r="AL27" s="65">
        <f t="shared" si="85"/>
        <v>406098.4</v>
      </c>
      <c r="AM27" s="65">
        <f t="shared" si="16"/>
        <v>41730.150602500005</v>
      </c>
      <c r="AN27" s="20">
        <f t="shared" si="17"/>
        <v>447828.55060250004</v>
      </c>
      <c r="AO27" s="65">
        <f t="shared" si="18"/>
        <v>5552.059770000001</v>
      </c>
      <c r="AP27" s="51"/>
      <c r="AQ27" s="65">
        <f t="shared" si="86"/>
        <v>64019.968</v>
      </c>
      <c r="AR27" s="65">
        <f t="shared" si="19"/>
        <v>6578.6097808</v>
      </c>
      <c r="AS27" s="20">
        <f t="shared" si="20"/>
        <v>70598.5777808</v>
      </c>
      <c r="AT27" s="65">
        <f t="shared" si="21"/>
        <v>875.2624704</v>
      </c>
      <c r="AU27" s="51"/>
      <c r="AV27" s="51">
        <f t="shared" si="87"/>
        <v>3556.1919999999996</v>
      </c>
      <c r="AW27" s="51">
        <f t="shared" si="22"/>
        <v>365.4297277</v>
      </c>
      <c r="AX27" s="33">
        <f t="shared" si="23"/>
        <v>3921.6217276999996</v>
      </c>
      <c r="AY27" s="65">
        <f t="shared" si="24"/>
        <v>48.619227599999995</v>
      </c>
      <c r="AZ27" s="51"/>
      <c r="BA27" s="33">
        <f t="shared" si="88"/>
        <v>40962.784</v>
      </c>
      <c r="BB27" s="33">
        <f t="shared" si="25"/>
        <v>4209.2831329</v>
      </c>
      <c r="BC27" s="33">
        <f t="shared" si="26"/>
        <v>45172.0671329</v>
      </c>
      <c r="BD27" s="65">
        <f t="shared" si="27"/>
        <v>560.0313252</v>
      </c>
      <c r="BE27" s="51"/>
      <c r="BF27" s="51">
        <f t="shared" si="89"/>
        <v>57265.087999999996</v>
      </c>
      <c r="BG27" s="51">
        <f t="shared" si="28"/>
        <v>5884.486977799999</v>
      </c>
      <c r="BH27" s="33">
        <f t="shared" si="29"/>
        <v>63149.574977799995</v>
      </c>
      <c r="BI27" s="65">
        <f t="shared" si="30"/>
        <v>782.9117064</v>
      </c>
      <c r="BJ27" s="51"/>
      <c r="BK27" s="51">
        <f t="shared" si="90"/>
        <v>8011.008</v>
      </c>
      <c r="BL27" s="51">
        <f t="shared" si="31"/>
        <v>823.2009048</v>
      </c>
      <c r="BM27" s="33">
        <f t="shared" si="32"/>
        <v>8834.2089048</v>
      </c>
      <c r="BN27" s="65">
        <f t="shared" si="33"/>
        <v>109.5241824</v>
      </c>
      <c r="BO27" s="51"/>
      <c r="BP27" s="51">
        <f t="shared" si="91"/>
        <v>41616.384</v>
      </c>
      <c r="BQ27" s="51">
        <f t="shared" si="34"/>
        <v>4276.4462304</v>
      </c>
      <c r="BR27" s="33">
        <f t="shared" si="35"/>
        <v>45892.830230399995</v>
      </c>
      <c r="BS27" s="65">
        <f t="shared" si="36"/>
        <v>568.9671552</v>
      </c>
      <c r="BT27" s="51"/>
      <c r="BU27" s="51">
        <f t="shared" si="92"/>
        <v>2365.1200000000003</v>
      </c>
      <c r="BV27" s="51">
        <f t="shared" si="37"/>
        <v>243.036697</v>
      </c>
      <c r="BW27" s="33">
        <f t="shared" si="38"/>
        <v>2608.1566970000003</v>
      </c>
      <c r="BX27" s="65">
        <f t="shared" si="39"/>
        <v>32.335236</v>
      </c>
      <c r="BY27" s="51"/>
      <c r="BZ27" s="51">
        <f t="shared" si="93"/>
        <v>8359.392</v>
      </c>
      <c r="CA27" s="51">
        <f t="shared" si="40"/>
        <v>859.0003977</v>
      </c>
      <c r="CB27" s="33">
        <f t="shared" si="41"/>
        <v>9218.3923977</v>
      </c>
      <c r="CC27" s="65">
        <f t="shared" si="42"/>
        <v>114.28718760000001</v>
      </c>
      <c r="CD27" s="51"/>
      <c r="CE27" s="33">
        <f t="shared" si="94"/>
        <v>30386.016</v>
      </c>
      <c r="CF27" s="33">
        <f t="shared" si="43"/>
        <v>3122.4280221</v>
      </c>
      <c r="CG27" s="33">
        <f t="shared" si="44"/>
        <v>33508.4440221</v>
      </c>
      <c r="CH27" s="65">
        <f t="shared" si="45"/>
        <v>415.4288148</v>
      </c>
      <c r="CI27" s="51"/>
      <c r="CJ27" s="51">
        <f t="shared" si="95"/>
        <v>207507.96800000002</v>
      </c>
      <c r="CK27" s="51">
        <f t="shared" si="46"/>
        <v>21323.252580800003</v>
      </c>
      <c r="CL27" s="33">
        <f t="shared" si="47"/>
        <v>228831.22058080003</v>
      </c>
      <c r="CM27" s="65">
        <f t="shared" si="48"/>
        <v>2836.9888704000005</v>
      </c>
      <c r="CN27" s="51"/>
      <c r="CO27" s="51">
        <f t="shared" si="96"/>
        <v>858806.688</v>
      </c>
      <c r="CP27" s="51">
        <f t="shared" si="49"/>
        <v>88249.87350029999</v>
      </c>
      <c r="CQ27" s="33">
        <f t="shared" si="50"/>
        <v>947056.5615003</v>
      </c>
      <c r="CR27" s="65">
        <f t="shared" si="51"/>
        <v>11741.3564364</v>
      </c>
      <c r="CS27" s="51"/>
      <c r="CT27" s="51">
        <f t="shared" si="97"/>
        <v>157878.144</v>
      </c>
      <c r="CU27" s="51">
        <f t="shared" si="52"/>
        <v>16223.3555364</v>
      </c>
      <c r="CV27" s="33">
        <f t="shared" si="53"/>
        <v>174101.4995364</v>
      </c>
      <c r="CW27" s="65">
        <f t="shared" si="54"/>
        <v>2158.4642832</v>
      </c>
      <c r="CX27" s="51"/>
      <c r="CY27" s="51">
        <f t="shared" si="98"/>
        <v>540523.552</v>
      </c>
      <c r="CZ27" s="51">
        <f t="shared" si="55"/>
        <v>55543.506768700005</v>
      </c>
      <c r="DA27" s="33">
        <f t="shared" si="56"/>
        <v>596067.0587687</v>
      </c>
      <c r="DB27" s="65">
        <f t="shared" si="57"/>
        <v>7389.8815356000005</v>
      </c>
      <c r="DC27" s="51"/>
      <c r="DD27" s="51">
        <f t="shared" si="99"/>
        <v>115243.36</v>
      </c>
      <c r="DE27" s="51">
        <f t="shared" si="58"/>
        <v>11842.259828499999</v>
      </c>
      <c r="DF27" s="33">
        <f t="shared" si="59"/>
        <v>127085.6198285</v>
      </c>
      <c r="DG27" s="65">
        <f t="shared" si="60"/>
        <v>1575.573858</v>
      </c>
      <c r="DH27" s="51"/>
      <c r="DI27" s="51">
        <f t="shared" si="100"/>
        <v>9388.735999999999</v>
      </c>
      <c r="DJ27" s="51">
        <f t="shared" si="61"/>
        <v>964.7744666</v>
      </c>
      <c r="DK27" s="33">
        <f t="shared" si="62"/>
        <v>10353.510466599999</v>
      </c>
      <c r="DL27" s="65">
        <f t="shared" si="63"/>
        <v>128.3600808</v>
      </c>
      <c r="DM27" s="51"/>
      <c r="DN27" s="51">
        <f t="shared" si="101"/>
        <v>11197.536</v>
      </c>
      <c r="DO27" s="51">
        <f t="shared" si="64"/>
        <v>1150.6444341</v>
      </c>
      <c r="DP27" s="33">
        <f t="shared" si="65"/>
        <v>12348.1804341</v>
      </c>
      <c r="DQ27" s="65">
        <f t="shared" si="66"/>
        <v>153.0894708</v>
      </c>
      <c r="DR27" s="51"/>
      <c r="DS27" s="51">
        <f t="shared" si="102"/>
        <v>22837.696</v>
      </c>
      <c r="DT27" s="51">
        <f t="shared" si="67"/>
        <v>2346.7723426</v>
      </c>
      <c r="DU27" s="33">
        <f t="shared" si="68"/>
        <v>25184.4683426</v>
      </c>
      <c r="DV27" s="65">
        <f t="shared" si="69"/>
        <v>312.2303688</v>
      </c>
      <c r="DW27" s="51"/>
      <c r="DX27" s="51">
        <f t="shared" si="103"/>
        <v>629484.2880000001</v>
      </c>
      <c r="DY27" s="51">
        <f t="shared" si="70"/>
        <v>64684.9978728</v>
      </c>
      <c r="DZ27" s="33">
        <f t="shared" si="71"/>
        <v>694169.2858728</v>
      </c>
      <c r="EA27" s="65">
        <f t="shared" si="72"/>
        <v>8606.126966400001</v>
      </c>
      <c r="EB27" s="33"/>
      <c r="EC27" s="33">
        <f t="shared" si="104"/>
        <v>24447.68</v>
      </c>
      <c r="ED27" s="33">
        <f t="shared" si="73"/>
        <v>2512.212233</v>
      </c>
      <c r="EE27" s="33">
        <f t="shared" si="74"/>
        <v>26959.892233</v>
      </c>
      <c r="EF27" s="65">
        <f t="shared" si="75"/>
        <v>334.241604</v>
      </c>
      <c r="EG27" s="51"/>
      <c r="EH27" s="51">
        <f t="shared" si="105"/>
        <v>52392.576</v>
      </c>
      <c r="EI27" s="51">
        <f t="shared" si="76"/>
        <v>5383.7938956</v>
      </c>
      <c r="EJ27" s="33">
        <f t="shared" si="77"/>
        <v>57776.3698956</v>
      </c>
      <c r="EK27" s="65">
        <f t="shared" si="78"/>
        <v>716.2961328</v>
      </c>
      <c r="EL27" s="51"/>
      <c r="EM27" s="33"/>
      <c r="EN27" s="33"/>
      <c r="EO27" s="33"/>
    </row>
    <row r="28" spans="1:145" s="53" customFormat="1" ht="12.75">
      <c r="A28" s="52">
        <v>45931</v>
      </c>
      <c r="C28" s="35"/>
      <c r="D28" s="35">
        <v>511153</v>
      </c>
      <c r="E28" s="35">
        <f t="shared" si="0"/>
        <v>511153</v>
      </c>
      <c r="F28" s="35">
        <v>83124</v>
      </c>
      <c r="G28" s="51"/>
      <c r="H28" s="51"/>
      <c r="I28" s="51">
        <f>'Academic Project'!M28</f>
        <v>164363.03618549998</v>
      </c>
      <c r="J28" s="51">
        <f t="shared" si="79"/>
        <v>164363.03618549998</v>
      </c>
      <c r="K28" s="51">
        <f>'Academic Project'!O28</f>
        <v>26728.813133999996</v>
      </c>
      <c r="L28" s="51"/>
      <c r="M28" s="51"/>
      <c r="N28" s="41">
        <f t="shared" si="1"/>
        <v>346789.9638145</v>
      </c>
      <c r="O28" s="33">
        <f t="shared" si="2"/>
        <v>346789.9638145</v>
      </c>
      <c r="P28" s="41">
        <f t="shared" si="3"/>
        <v>56395.186866000004</v>
      </c>
      <c r="Q28" s="51"/>
      <c r="R28" s="65"/>
      <c r="S28" s="65">
        <f t="shared" si="4"/>
        <v>28121.849024500003</v>
      </c>
      <c r="T28" s="20">
        <f t="shared" si="5"/>
        <v>28121.849024500003</v>
      </c>
      <c r="U28" s="65">
        <f t="shared" si="6"/>
        <v>4573.191546</v>
      </c>
      <c r="V28" s="51"/>
      <c r="W28" s="65"/>
      <c r="X28" s="65">
        <f t="shared" si="7"/>
        <v>34330.722284899995</v>
      </c>
      <c r="Y28" s="20">
        <f t="shared" si="8"/>
        <v>34330.722284899995</v>
      </c>
      <c r="Z28" s="65">
        <f t="shared" si="9"/>
        <v>5582.8821492</v>
      </c>
      <c r="AA28" s="51"/>
      <c r="AB28" s="33"/>
      <c r="AC28" s="33">
        <f t="shared" si="10"/>
        <v>125.69252270000001</v>
      </c>
      <c r="AD28" s="33">
        <f t="shared" si="11"/>
        <v>125.69252270000001</v>
      </c>
      <c r="AE28" s="65">
        <f t="shared" si="12"/>
        <v>20.440191600000002</v>
      </c>
      <c r="AF28" s="51"/>
      <c r="AG28" s="65"/>
      <c r="AH28" s="65">
        <f t="shared" si="13"/>
        <v>7419.9480633</v>
      </c>
      <c r="AI28" s="20">
        <f t="shared" si="14"/>
        <v>7419.9480633</v>
      </c>
      <c r="AJ28" s="65">
        <f t="shared" si="15"/>
        <v>1206.6362964</v>
      </c>
      <c r="AK28" s="51"/>
      <c r="AL28" s="65"/>
      <c r="AM28" s="65">
        <f t="shared" si="16"/>
        <v>34141.186752500005</v>
      </c>
      <c r="AN28" s="20">
        <f t="shared" si="17"/>
        <v>34141.186752500005</v>
      </c>
      <c r="AO28" s="65">
        <f t="shared" si="18"/>
        <v>5552.059770000001</v>
      </c>
      <c r="AP28" s="51"/>
      <c r="AQ28" s="65"/>
      <c r="AR28" s="65">
        <f t="shared" si="19"/>
        <v>5382.2366288</v>
      </c>
      <c r="AS28" s="20">
        <f t="shared" si="20"/>
        <v>5382.2366288</v>
      </c>
      <c r="AT28" s="65">
        <f t="shared" si="21"/>
        <v>875.2624704</v>
      </c>
      <c r="AU28" s="51"/>
      <c r="AV28" s="51"/>
      <c r="AW28" s="51">
        <f t="shared" si="22"/>
        <v>298.9733897</v>
      </c>
      <c r="AX28" s="33">
        <f t="shared" si="23"/>
        <v>298.9733897</v>
      </c>
      <c r="AY28" s="65">
        <f t="shared" si="24"/>
        <v>48.619227599999995</v>
      </c>
      <c r="AZ28" s="51"/>
      <c r="BA28" s="33"/>
      <c r="BB28" s="33">
        <f t="shared" si="25"/>
        <v>3443.7911069</v>
      </c>
      <c r="BC28" s="33">
        <f t="shared" si="26"/>
        <v>3443.7911069</v>
      </c>
      <c r="BD28" s="65">
        <f t="shared" si="27"/>
        <v>560.0313252</v>
      </c>
      <c r="BE28" s="51"/>
      <c r="BF28" s="51"/>
      <c r="BG28" s="51">
        <f t="shared" si="28"/>
        <v>4814.345645799999</v>
      </c>
      <c r="BH28" s="33">
        <f t="shared" si="29"/>
        <v>4814.345645799999</v>
      </c>
      <c r="BI28" s="65">
        <f t="shared" si="30"/>
        <v>782.9117064</v>
      </c>
      <c r="BJ28" s="51"/>
      <c r="BK28" s="51"/>
      <c r="BL28" s="51">
        <f t="shared" si="31"/>
        <v>673.4951927999999</v>
      </c>
      <c r="BM28" s="33">
        <f t="shared" si="32"/>
        <v>673.4951927999999</v>
      </c>
      <c r="BN28" s="65">
        <f t="shared" si="33"/>
        <v>109.5241824</v>
      </c>
      <c r="BO28" s="51"/>
      <c r="BP28" s="51"/>
      <c r="BQ28" s="51">
        <f t="shared" si="34"/>
        <v>3498.7400543999997</v>
      </c>
      <c r="BR28" s="33">
        <f t="shared" si="35"/>
        <v>3498.7400543999997</v>
      </c>
      <c r="BS28" s="65">
        <f t="shared" si="36"/>
        <v>568.9671552</v>
      </c>
      <c r="BT28" s="51"/>
      <c r="BU28" s="51"/>
      <c r="BV28" s="51">
        <f t="shared" si="37"/>
        <v>198.83851700000002</v>
      </c>
      <c r="BW28" s="33">
        <f t="shared" si="38"/>
        <v>198.83851700000002</v>
      </c>
      <c r="BX28" s="65">
        <f t="shared" si="39"/>
        <v>32.335236</v>
      </c>
      <c r="BY28" s="51"/>
      <c r="BZ28" s="51"/>
      <c r="CA28" s="51">
        <f t="shared" si="40"/>
        <v>702.7842597</v>
      </c>
      <c r="CB28" s="33">
        <f t="shared" si="41"/>
        <v>702.7842597</v>
      </c>
      <c r="CC28" s="65">
        <f t="shared" si="42"/>
        <v>114.28718760000001</v>
      </c>
      <c r="CD28" s="51"/>
      <c r="CE28" s="33"/>
      <c r="CF28" s="33">
        <f t="shared" si="43"/>
        <v>2554.5893481</v>
      </c>
      <c r="CG28" s="33">
        <f t="shared" si="44"/>
        <v>2554.5893481</v>
      </c>
      <c r="CH28" s="65">
        <f t="shared" si="45"/>
        <v>415.4288148</v>
      </c>
      <c r="CI28" s="51"/>
      <c r="CJ28" s="51"/>
      <c r="CK28" s="51">
        <f t="shared" si="46"/>
        <v>17445.447428800002</v>
      </c>
      <c r="CL28" s="33">
        <f t="shared" si="47"/>
        <v>17445.447428800002</v>
      </c>
      <c r="CM28" s="65">
        <f t="shared" si="48"/>
        <v>2836.9888704000005</v>
      </c>
      <c r="CN28" s="51"/>
      <c r="CO28" s="51"/>
      <c r="CP28" s="51">
        <f t="shared" si="49"/>
        <v>72200.9235183</v>
      </c>
      <c r="CQ28" s="33">
        <f t="shared" si="50"/>
        <v>72200.9235183</v>
      </c>
      <c r="CR28" s="65">
        <f t="shared" si="51"/>
        <v>11741.3564364</v>
      </c>
      <c r="CS28" s="51"/>
      <c r="CT28" s="51"/>
      <c r="CU28" s="51">
        <f t="shared" si="52"/>
        <v>13273.0077204</v>
      </c>
      <c r="CV28" s="33">
        <f t="shared" si="53"/>
        <v>13273.0077204</v>
      </c>
      <c r="CW28" s="65">
        <f t="shared" si="54"/>
        <v>2158.4642832</v>
      </c>
      <c r="CX28" s="51"/>
      <c r="CY28" s="51"/>
      <c r="CZ28" s="51">
        <f t="shared" si="55"/>
        <v>45442.4728907</v>
      </c>
      <c r="DA28" s="33">
        <f t="shared" si="56"/>
        <v>45442.4728907</v>
      </c>
      <c r="DB28" s="65">
        <f t="shared" si="57"/>
        <v>7389.8815356000005</v>
      </c>
      <c r="DC28" s="51"/>
      <c r="DD28" s="51"/>
      <c r="DE28" s="51">
        <f t="shared" si="58"/>
        <v>9688.6495385</v>
      </c>
      <c r="DF28" s="33">
        <f t="shared" si="59"/>
        <v>9688.6495385</v>
      </c>
      <c r="DG28" s="65">
        <f t="shared" si="60"/>
        <v>1575.573858</v>
      </c>
      <c r="DH28" s="51"/>
      <c r="DI28" s="51"/>
      <c r="DJ28" s="51">
        <f t="shared" si="61"/>
        <v>789.3224626</v>
      </c>
      <c r="DK28" s="33">
        <f t="shared" si="62"/>
        <v>789.3224626</v>
      </c>
      <c r="DL28" s="65">
        <f t="shared" si="63"/>
        <v>128.3600808</v>
      </c>
      <c r="DM28" s="51"/>
      <c r="DN28" s="51"/>
      <c r="DO28" s="51">
        <f t="shared" si="64"/>
        <v>941.3904801</v>
      </c>
      <c r="DP28" s="33">
        <f t="shared" si="65"/>
        <v>941.3904801</v>
      </c>
      <c r="DQ28" s="65">
        <f t="shared" si="66"/>
        <v>153.0894708</v>
      </c>
      <c r="DR28" s="51"/>
      <c r="DS28" s="51"/>
      <c r="DT28" s="51">
        <f t="shared" si="67"/>
        <v>1919.9928986</v>
      </c>
      <c r="DU28" s="33">
        <f t="shared" si="68"/>
        <v>1919.9928986</v>
      </c>
      <c r="DV28" s="65">
        <f t="shared" si="69"/>
        <v>312.2303688</v>
      </c>
      <c r="DW28" s="51"/>
      <c r="DX28" s="51"/>
      <c r="DY28" s="51">
        <f t="shared" si="70"/>
        <v>52921.5102408</v>
      </c>
      <c r="DZ28" s="33">
        <f t="shared" si="71"/>
        <v>52921.5102408</v>
      </c>
      <c r="EA28" s="65">
        <f t="shared" si="72"/>
        <v>8606.126966400001</v>
      </c>
      <c r="EB28" s="33"/>
      <c r="EC28" s="33"/>
      <c r="ED28" s="33">
        <f t="shared" si="73"/>
        <v>2055.3462130000003</v>
      </c>
      <c r="EE28" s="33">
        <f t="shared" si="74"/>
        <v>2055.3462130000003</v>
      </c>
      <c r="EF28" s="65">
        <f t="shared" si="75"/>
        <v>334.241604</v>
      </c>
      <c r="EG28" s="51"/>
      <c r="EH28" s="51"/>
      <c r="EI28" s="51">
        <f t="shared" si="76"/>
        <v>4404.7076316</v>
      </c>
      <c r="EJ28" s="33">
        <f t="shared" si="77"/>
        <v>4404.7076316</v>
      </c>
      <c r="EK28" s="65">
        <f t="shared" si="78"/>
        <v>716.2961328</v>
      </c>
      <c r="EL28" s="51"/>
      <c r="EM28" s="33"/>
      <c r="EN28" s="33"/>
      <c r="EO28" s="33"/>
    </row>
    <row r="29" spans="1:145" s="53" customFormat="1" ht="12.75">
      <c r="A29" s="52">
        <v>46113</v>
      </c>
      <c r="C29" s="35">
        <v>6305000</v>
      </c>
      <c r="D29" s="35">
        <v>511153</v>
      </c>
      <c r="E29" s="35">
        <f t="shared" si="0"/>
        <v>6816153</v>
      </c>
      <c r="F29" s="35">
        <v>83124</v>
      </c>
      <c r="G29" s="51"/>
      <c r="H29" s="51">
        <f>'Academic Project'!L29</f>
        <v>2027394.8175</v>
      </c>
      <c r="I29" s="51">
        <f>'Academic Project'!M29</f>
        <v>164363.03618549998</v>
      </c>
      <c r="J29" s="51">
        <f t="shared" si="79"/>
        <v>2191757.8536855</v>
      </c>
      <c r="K29" s="51">
        <f>'Academic Project'!O29</f>
        <v>26728.813133999996</v>
      </c>
      <c r="L29" s="51"/>
      <c r="M29" s="51">
        <f t="shared" si="80"/>
        <v>4277605.1825</v>
      </c>
      <c r="N29" s="41">
        <f t="shared" si="1"/>
        <v>346789.9638145</v>
      </c>
      <c r="O29" s="33">
        <f t="shared" si="2"/>
        <v>4624395.1463145</v>
      </c>
      <c r="P29" s="41">
        <f t="shared" si="3"/>
        <v>56395.186866000004</v>
      </c>
      <c r="Q29" s="51"/>
      <c r="R29" s="65">
        <f t="shared" si="81"/>
        <v>346879.03250000003</v>
      </c>
      <c r="S29" s="65">
        <f t="shared" si="4"/>
        <v>28121.849024500003</v>
      </c>
      <c r="T29" s="20">
        <f t="shared" si="5"/>
        <v>375000.88152450003</v>
      </c>
      <c r="U29" s="65">
        <f t="shared" si="6"/>
        <v>4573.191546</v>
      </c>
      <c r="V29" s="51"/>
      <c r="W29" s="65">
        <f t="shared" si="82"/>
        <v>423464.6065</v>
      </c>
      <c r="X29" s="65">
        <f t="shared" si="7"/>
        <v>34330.722284899995</v>
      </c>
      <c r="Y29" s="20">
        <f t="shared" si="8"/>
        <v>457795.3287849</v>
      </c>
      <c r="Z29" s="65">
        <f t="shared" si="9"/>
        <v>5582.8821492</v>
      </c>
      <c r="AA29" s="51"/>
      <c r="AB29" s="33">
        <f t="shared" si="83"/>
        <v>1550.3995</v>
      </c>
      <c r="AC29" s="33">
        <f t="shared" si="10"/>
        <v>125.69252270000001</v>
      </c>
      <c r="AD29" s="33">
        <f t="shared" si="11"/>
        <v>1676.0920227</v>
      </c>
      <c r="AE29" s="65">
        <f t="shared" si="12"/>
        <v>20.440191600000002</v>
      </c>
      <c r="AF29" s="51"/>
      <c r="AG29" s="65">
        <f t="shared" si="84"/>
        <v>91524.0105</v>
      </c>
      <c r="AH29" s="65">
        <f t="shared" si="13"/>
        <v>7419.9480633</v>
      </c>
      <c r="AI29" s="20">
        <f t="shared" si="14"/>
        <v>98943.95856330001</v>
      </c>
      <c r="AJ29" s="65">
        <f t="shared" si="15"/>
        <v>1206.6362964</v>
      </c>
      <c r="AK29" s="51"/>
      <c r="AL29" s="65">
        <f t="shared" si="85"/>
        <v>421126.7125</v>
      </c>
      <c r="AM29" s="65">
        <f t="shared" si="16"/>
        <v>34141.186752500005</v>
      </c>
      <c r="AN29" s="20">
        <f t="shared" si="17"/>
        <v>455267.89925250004</v>
      </c>
      <c r="AO29" s="65">
        <f t="shared" si="18"/>
        <v>5552.059770000001</v>
      </c>
      <c r="AP29" s="51"/>
      <c r="AQ29" s="65">
        <f t="shared" si="86"/>
        <v>66389.128</v>
      </c>
      <c r="AR29" s="65">
        <f t="shared" si="19"/>
        <v>5382.2366288</v>
      </c>
      <c r="AS29" s="20">
        <f t="shared" si="20"/>
        <v>71771.3646288</v>
      </c>
      <c r="AT29" s="65">
        <f t="shared" si="21"/>
        <v>875.2624704</v>
      </c>
      <c r="AU29" s="51"/>
      <c r="AV29" s="51">
        <f t="shared" si="87"/>
        <v>3687.7945</v>
      </c>
      <c r="AW29" s="51">
        <f t="shared" si="22"/>
        <v>298.9733897</v>
      </c>
      <c r="AX29" s="33">
        <f t="shared" si="23"/>
        <v>3986.7678897</v>
      </c>
      <c r="AY29" s="65">
        <f t="shared" si="24"/>
        <v>48.619227599999995</v>
      </c>
      <c r="AZ29" s="51"/>
      <c r="BA29" s="33">
        <f t="shared" si="88"/>
        <v>42478.6765</v>
      </c>
      <c r="BB29" s="33">
        <f t="shared" si="25"/>
        <v>3443.7911069</v>
      </c>
      <c r="BC29" s="33">
        <f t="shared" si="26"/>
        <v>45922.4676069</v>
      </c>
      <c r="BD29" s="65">
        <f t="shared" si="27"/>
        <v>560.0313252</v>
      </c>
      <c r="BE29" s="51"/>
      <c r="BF29" s="51">
        <f t="shared" si="89"/>
        <v>59384.272999999994</v>
      </c>
      <c r="BG29" s="51">
        <f t="shared" si="28"/>
        <v>4814.345645799999</v>
      </c>
      <c r="BH29" s="33">
        <f t="shared" si="29"/>
        <v>64198.618645799994</v>
      </c>
      <c r="BI29" s="65">
        <f t="shared" si="30"/>
        <v>782.9117064</v>
      </c>
      <c r="BJ29" s="51"/>
      <c r="BK29" s="51">
        <f t="shared" si="90"/>
        <v>8307.467999999999</v>
      </c>
      <c r="BL29" s="51">
        <f t="shared" si="31"/>
        <v>673.4951927999999</v>
      </c>
      <c r="BM29" s="33">
        <f t="shared" si="32"/>
        <v>8980.963192799998</v>
      </c>
      <c r="BN29" s="65">
        <f t="shared" si="33"/>
        <v>109.5241824</v>
      </c>
      <c r="BO29" s="51"/>
      <c r="BP29" s="51">
        <f t="shared" si="91"/>
        <v>43156.464</v>
      </c>
      <c r="BQ29" s="51">
        <f t="shared" si="34"/>
        <v>3498.7400543999997</v>
      </c>
      <c r="BR29" s="33">
        <f t="shared" si="35"/>
        <v>46655.2040544</v>
      </c>
      <c r="BS29" s="65">
        <f t="shared" si="36"/>
        <v>568.9671552</v>
      </c>
      <c r="BT29" s="51"/>
      <c r="BU29" s="51">
        <f t="shared" si="92"/>
        <v>2452.645</v>
      </c>
      <c r="BV29" s="51">
        <f t="shared" si="37"/>
        <v>198.83851700000002</v>
      </c>
      <c r="BW29" s="33">
        <f t="shared" si="38"/>
        <v>2651.483517</v>
      </c>
      <c r="BX29" s="65">
        <f t="shared" si="39"/>
        <v>32.335236</v>
      </c>
      <c r="BY29" s="51"/>
      <c r="BZ29" s="51">
        <f t="shared" si="93"/>
        <v>8668.7445</v>
      </c>
      <c r="CA29" s="51">
        <f t="shared" si="40"/>
        <v>702.7842597</v>
      </c>
      <c r="CB29" s="33">
        <f t="shared" si="41"/>
        <v>9371.5287597</v>
      </c>
      <c r="CC29" s="65">
        <f t="shared" si="42"/>
        <v>114.28718760000001</v>
      </c>
      <c r="CD29" s="51"/>
      <c r="CE29" s="33">
        <f t="shared" si="94"/>
        <v>31510.498499999998</v>
      </c>
      <c r="CF29" s="33">
        <f t="shared" si="43"/>
        <v>2554.5893481</v>
      </c>
      <c r="CG29" s="33">
        <f t="shared" si="44"/>
        <v>34065.087848099996</v>
      </c>
      <c r="CH29" s="65">
        <f t="shared" si="45"/>
        <v>415.4288148</v>
      </c>
      <c r="CI29" s="51"/>
      <c r="CJ29" s="51">
        <f t="shared" si="95"/>
        <v>215187.12800000003</v>
      </c>
      <c r="CK29" s="51">
        <f t="shared" si="46"/>
        <v>17445.447428800002</v>
      </c>
      <c r="CL29" s="33">
        <f t="shared" si="47"/>
        <v>232632.57542880002</v>
      </c>
      <c r="CM29" s="65">
        <f t="shared" si="48"/>
        <v>2836.9888704000005</v>
      </c>
      <c r="CN29" s="51"/>
      <c r="CO29" s="51">
        <f t="shared" si="96"/>
        <v>890588.1854999999</v>
      </c>
      <c r="CP29" s="51">
        <f t="shared" si="49"/>
        <v>72200.9235183</v>
      </c>
      <c r="CQ29" s="33">
        <f t="shared" si="50"/>
        <v>962789.1090183</v>
      </c>
      <c r="CR29" s="65">
        <f t="shared" si="51"/>
        <v>11741.3564364</v>
      </c>
      <c r="CS29" s="51"/>
      <c r="CT29" s="51">
        <f t="shared" si="97"/>
        <v>163720.674</v>
      </c>
      <c r="CU29" s="51">
        <f t="shared" si="52"/>
        <v>13273.0077204</v>
      </c>
      <c r="CV29" s="33">
        <f t="shared" si="53"/>
        <v>176993.6817204</v>
      </c>
      <c r="CW29" s="65">
        <f t="shared" si="54"/>
        <v>2158.4642832</v>
      </c>
      <c r="CX29" s="51"/>
      <c r="CY29" s="51">
        <f t="shared" si="98"/>
        <v>560526.4795</v>
      </c>
      <c r="CZ29" s="51">
        <f t="shared" si="55"/>
        <v>45442.4728907</v>
      </c>
      <c r="DA29" s="33">
        <f t="shared" si="56"/>
        <v>605968.9523907</v>
      </c>
      <c r="DB29" s="65">
        <f t="shared" si="57"/>
        <v>7389.8815356000005</v>
      </c>
      <c r="DC29" s="51"/>
      <c r="DD29" s="51">
        <f t="shared" si="99"/>
        <v>119508.1225</v>
      </c>
      <c r="DE29" s="51">
        <f t="shared" si="58"/>
        <v>9688.6495385</v>
      </c>
      <c r="DF29" s="33">
        <f t="shared" si="59"/>
        <v>129196.7720385</v>
      </c>
      <c r="DG29" s="65">
        <f t="shared" si="60"/>
        <v>1575.573858</v>
      </c>
      <c r="DH29" s="51"/>
      <c r="DI29" s="51">
        <f t="shared" si="100"/>
        <v>9736.180999999999</v>
      </c>
      <c r="DJ29" s="51">
        <f t="shared" si="61"/>
        <v>789.3224626</v>
      </c>
      <c r="DK29" s="33">
        <f t="shared" si="62"/>
        <v>10525.503462599998</v>
      </c>
      <c r="DL29" s="65">
        <f t="shared" si="63"/>
        <v>128.3600808</v>
      </c>
      <c r="DM29" s="51"/>
      <c r="DN29" s="51">
        <f t="shared" si="101"/>
        <v>11611.9185</v>
      </c>
      <c r="DO29" s="51">
        <f t="shared" si="64"/>
        <v>941.3904801</v>
      </c>
      <c r="DP29" s="33">
        <f t="shared" si="65"/>
        <v>12553.3089801</v>
      </c>
      <c r="DQ29" s="65">
        <f t="shared" si="66"/>
        <v>153.0894708</v>
      </c>
      <c r="DR29" s="51"/>
      <c r="DS29" s="51">
        <f t="shared" si="102"/>
        <v>23682.841</v>
      </c>
      <c r="DT29" s="51">
        <f t="shared" si="67"/>
        <v>1919.9928986</v>
      </c>
      <c r="DU29" s="33">
        <f t="shared" si="68"/>
        <v>25602.8338986</v>
      </c>
      <c r="DV29" s="65">
        <f t="shared" si="69"/>
        <v>312.2303688</v>
      </c>
      <c r="DW29" s="51"/>
      <c r="DX29" s="51">
        <f t="shared" si="103"/>
        <v>652779.348</v>
      </c>
      <c r="DY29" s="51">
        <f t="shared" si="70"/>
        <v>52921.5102408</v>
      </c>
      <c r="DZ29" s="33">
        <f t="shared" si="71"/>
        <v>705700.8582408</v>
      </c>
      <c r="EA29" s="65">
        <f t="shared" si="72"/>
        <v>8606.126966400001</v>
      </c>
      <c r="EB29" s="33"/>
      <c r="EC29" s="33">
        <f t="shared" si="104"/>
        <v>25352.405000000002</v>
      </c>
      <c r="ED29" s="33">
        <f t="shared" si="73"/>
        <v>2055.3462130000003</v>
      </c>
      <c r="EE29" s="33">
        <f t="shared" si="74"/>
        <v>27407.751213000003</v>
      </c>
      <c r="EF29" s="65">
        <f t="shared" si="75"/>
        <v>334.241604</v>
      </c>
      <c r="EG29" s="51"/>
      <c r="EH29" s="51">
        <f t="shared" si="105"/>
        <v>54331.446</v>
      </c>
      <c r="EI29" s="51">
        <f t="shared" si="76"/>
        <v>4404.7076316</v>
      </c>
      <c r="EJ29" s="33">
        <f t="shared" si="77"/>
        <v>58736.153631600006</v>
      </c>
      <c r="EK29" s="65">
        <f t="shared" si="78"/>
        <v>716.2961328</v>
      </c>
      <c r="EL29" s="51"/>
      <c r="EM29" s="33"/>
      <c r="EN29" s="33"/>
      <c r="EO29" s="33"/>
    </row>
    <row r="30" spans="1:145" s="53" customFormat="1" ht="12.75">
      <c r="A30" s="52">
        <v>46296</v>
      </c>
      <c r="C30" s="35"/>
      <c r="D30" s="35">
        <v>392303</v>
      </c>
      <c r="E30" s="35">
        <f t="shared" si="0"/>
        <v>392303</v>
      </c>
      <c r="F30" s="35">
        <v>83124</v>
      </c>
      <c r="G30" s="51"/>
      <c r="H30" s="51"/>
      <c r="I30" s="51">
        <f>'Academic Project'!M30</f>
        <v>126146.4027105</v>
      </c>
      <c r="J30" s="51">
        <f t="shared" si="79"/>
        <v>126146.4027105</v>
      </c>
      <c r="K30" s="51">
        <f>'Academic Project'!O30</f>
        <v>26728.813133999996</v>
      </c>
      <c r="L30" s="51"/>
      <c r="M30" s="51"/>
      <c r="N30" s="41">
        <f t="shared" si="1"/>
        <v>266156.59728950006</v>
      </c>
      <c r="O30" s="33">
        <f t="shared" si="2"/>
        <v>266156.59728950006</v>
      </c>
      <c r="P30" s="41">
        <f t="shared" si="3"/>
        <v>56395.186866000004</v>
      </c>
      <c r="Q30" s="51"/>
      <c r="R30" s="65"/>
      <c r="S30" s="65">
        <f t="shared" si="4"/>
        <v>21583.137999500002</v>
      </c>
      <c r="T30" s="20">
        <f t="shared" si="5"/>
        <v>21583.137999500002</v>
      </c>
      <c r="U30" s="65">
        <f t="shared" si="6"/>
        <v>4573.191546</v>
      </c>
      <c r="V30" s="51"/>
      <c r="W30" s="65"/>
      <c r="X30" s="65">
        <f t="shared" si="7"/>
        <v>26348.3640799</v>
      </c>
      <c r="Y30" s="20">
        <f t="shared" si="8"/>
        <v>26348.3640799</v>
      </c>
      <c r="Z30" s="65">
        <f t="shared" si="9"/>
        <v>5582.8821492</v>
      </c>
      <c r="AA30" s="51"/>
      <c r="AB30" s="33"/>
      <c r="AC30" s="33">
        <f t="shared" si="10"/>
        <v>96.4673077</v>
      </c>
      <c r="AD30" s="33">
        <f t="shared" si="11"/>
        <v>96.4673077</v>
      </c>
      <c r="AE30" s="65">
        <f t="shared" si="12"/>
        <v>20.440191600000002</v>
      </c>
      <c r="AF30" s="51"/>
      <c r="AG30" s="65"/>
      <c r="AH30" s="65">
        <f t="shared" si="13"/>
        <v>5694.7095783</v>
      </c>
      <c r="AI30" s="20">
        <f t="shared" si="14"/>
        <v>5694.7095783</v>
      </c>
      <c r="AJ30" s="65">
        <f t="shared" si="15"/>
        <v>1206.6362964</v>
      </c>
      <c r="AK30" s="51"/>
      <c r="AL30" s="65"/>
      <c r="AM30" s="65">
        <f t="shared" si="16"/>
        <v>26202.8981275</v>
      </c>
      <c r="AN30" s="20">
        <f t="shared" si="17"/>
        <v>26202.8981275</v>
      </c>
      <c r="AO30" s="65">
        <f t="shared" si="18"/>
        <v>5552.059770000001</v>
      </c>
      <c r="AP30" s="51"/>
      <c r="AQ30" s="65"/>
      <c r="AR30" s="65">
        <f t="shared" si="19"/>
        <v>4130.7936688</v>
      </c>
      <c r="AS30" s="20">
        <f t="shared" si="20"/>
        <v>4130.7936688</v>
      </c>
      <c r="AT30" s="65">
        <f t="shared" si="21"/>
        <v>875.2624704</v>
      </c>
      <c r="AU30" s="51"/>
      <c r="AV30" s="51"/>
      <c r="AW30" s="51">
        <f t="shared" si="22"/>
        <v>229.45802469999998</v>
      </c>
      <c r="AX30" s="33">
        <f t="shared" si="23"/>
        <v>229.45802469999998</v>
      </c>
      <c r="AY30" s="65">
        <f t="shared" si="24"/>
        <v>48.619227599999995</v>
      </c>
      <c r="AZ30" s="51"/>
      <c r="BA30" s="33"/>
      <c r="BB30" s="33">
        <f t="shared" si="25"/>
        <v>2643.0630019</v>
      </c>
      <c r="BC30" s="33">
        <f t="shared" si="26"/>
        <v>2643.0630019</v>
      </c>
      <c r="BD30" s="65">
        <f t="shared" si="27"/>
        <v>560.0313252</v>
      </c>
      <c r="BE30" s="51"/>
      <c r="BF30" s="51"/>
      <c r="BG30" s="51">
        <f t="shared" si="28"/>
        <v>3694.9450357999995</v>
      </c>
      <c r="BH30" s="33">
        <f t="shared" si="29"/>
        <v>3694.9450357999995</v>
      </c>
      <c r="BI30" s="65">
        <f t="shared" si="30"/>
        <v>782.9117064</v>
      </c>
      <c r="BJ30" s="51"/>
      <c r="BK30" s="51"/>
      <c r="BL30" s="51">
        <f t="shared" si="31"/>
        <v>516.8984328</v>
      </c>
      <c r="BM30" s="33">
        <f t="shared" si="32"/>
        <v>516.8984328</v>
      </c>
      <c r="BN30" s="65">
        <f t="shared" si="33"/>
        <v>109.5241824</v>
      </c>
      <c r="BO30" s="51"/>
      <c r="BP30" s="51"/>
      <c r="BQ30" s="51">
        <f t="shared" si="34"/>
        <v>2685.2355744</v>
      </c>
      <c r="BR30" s="33">
        <f t="shared" si="35"/>
        <v>2685.2355744</v>
      </c>
      <c r="BS30" s="65">
        <f t="shared" si="36"/>
        <v>568.9671552</v>
      </c>
      <c r="BT30" s="51"/>
      <c r="BU30" s="51"/>
      <c r="BV30" s="51">
        <f t="shared" si="37"/>
        <v>152.60586700000002</v>
      </c>
      <c r="BW30" s="33">
        <f t="shared" si="38"/>
        <v>152.60586700000002</v>
      </c>
      <c r="BX30" s="65">
        <f t="shared" si="39"/>
        <v>32.335236</v>
      </c>
      <c r="BY30" s="51"/>
      <c r="BZ30" s="51"/>
      <c r="CA30" s="51">
        <f t="shared" si="40"/>
        <v>539.3773947000001</v>
      </c>
      <c r="CB30" s="33">
        <f t="shared" si="41"/>
        <v>539.3773947000001</v>
      </c>
      <c r="CC30" s="65">
        <f t="shared" si="42"/>
        <v>114.28718760000001</v>
      </c>
      <c r="CD30" s="51"/>
      <c r="CE30" s="33"/>
      <c r="CF30" s="33">
        <f t="shared" si="43"/>
        <v>1960.6127030999999</v>
      </c>
      <c r="CG30" s="33">
        <f t="shared" si="44"/>
        <v>1960.6127030999999</v>
      </c>
      <c r="CH30" s="65">
        <f t="shared" si="45"/>
        <v>415.4288148</v>
      </c>
      <c r="CI30" s="51"/>
      <c r="CJ30" s="51"/>
      <c r="CK30" s="51">
        <f t="shared" si="46"/>
        <v>13389.144468800001</v>
      </c>
      <c r="CL30" s="33">
        <f t="shared" si="47"/>
        <v>13389.144468800001</v>
      </c>
      <c r="CM30" s="65">
        <f t="shared" si="48"/>
        <v>2836.9888704000005</v>
      </c>
      <c r="CN30" s="51"/>
      <c r="CO30" s="51"/>
      <c r="CP30" s="51">
        <f t="shared" si="49"/>
        <v>55413.2302833</v>
      </c>
      <c r="CQ30" s="33">
        <f t="shared" si="50"/>
        <v>55413.2302833</v>
      </c>
      <c r="CR30" s="65">
        <f t="shared" si="51"/>
        <v>11741.3564364</v>
      </c>
      <c r="CS30" s="51"/>
      <c r="CT30" s="51"/>
      <c r="CU30" s="51">
        <f t="shared" si="52"/>
        <v>10186.853540400001</v>
      </c>
      <c r="CV30" s="33">
        <f t="shared" si="53"/>
        <v>10186.853540400001</v>
      </c>
      <c r="CW30" s="65">
        <f t="shared" si="54"/>
        <v>2158.4642832</v>
      </c>
      <c r="CX30" s="51"/>
      <c r="CY30" s="51"/>
      <c r="CZ30" s="51">
        <f t="shared" si="55"/>
        <v>34876.482075700005</v>
      </c>
      <c r="DA30" s="33">
        <f t="shared" si="56"/>
        <v>34876.482075700005</v>
      </c>
      <c r="DB30" s="65">
        <f t="shared" si="57"/>
        <v>7389.8815356000005</v>
      </c>
      <c r="DC30" s="51"/>
      <c r="DD30" s="51"/>
      <c r="DE30" s="51">
        <f t="shared" si="58"/>
        <v>7435.9072135</v>
      </c>
      <c r="DF30" s="33">
        <f t="shared" si="59"/>
        <v>7435.9072135</v>
      </c>
      <c r="DG30" s="65">
        <f t="shared" si="60"/>
        <v>1575.573858</v>
      </c>
      <c r="DH30" s="51"/>
      <c r="DI30" s="51"/>
      <c r="DJ30" s="51">
        <f t="shared" si="61"/>
        <v>605.7942926</v>
      </c>
      <c r="DK30" s="33">
        <f t="shared" si="62"/>
        <v>605.7942926</v>
      </c>
      <c r="DL30" s="65">
        <f t="shared" si="63"/>
        <v>128.3600808</v>
      </c>
      <c r="DM30" s="51"/>
      <c r="DN30" s="51"/>
      <c r="DO30" s="51">
        <f t="shared" si="64"/>
        <v>722.5044351</v>
      </c>
      <c r="DP30" s="33">
        <f t="shared" si="65"/>
        <v>722.5044351</v>
      </c>
      <c r="DQ30" s="65">
        <f t="shared" si="66"/>
        <v>153.0894708</v>
      </c>
      <c r="DR30" s="51"/>
      <c r="DS30" s="51"/>
      <c r="DT30" s="51">
        <f t="shared" si="67"/>
        <v>1473.5685286</v>
      </c>
      <c r="DU30" s="33">
        <f t="shared" si="68"/>
        <v>1473.5685286</v>
      </c>
      <c r="DV30" s="65">
        <f t="shared" si="69"/>
        <v>312.2303688</v>
      </c>
      <c r="DW30" s="51"/>
      <c r="DX30" s="51"/>
      <c r="DY30" s="51">
        <f t="shared" si="70"/>
        <v>40616.5418808</v>
      </c>
      <c r="DZ30" s="33">
        <f t="shared" si="71"/>
        <v>40616.5418808</v>
      </c>
      <c r="EA30" s="65">
        <f t="shared" si="72"/>
        <v>8606.126966400001</v>
      </c>
      <c r="EB30" s="33"/>
      <c r="EC30" s="33"/>
      <c r="ED30" s="33">
        <f t="shared" si="73"/>
        <v>1577.4503630000002</v>
      </c>
      <c r="EE30" s="33">
        <f t="shared" si="74"/>
        <v>1577.4503630000002</v>
      </c>
      <c r="EF30" s="65">
        <f t="shared" si="75"/>
        <v>334.241604</v>
      </c>
      <c r="EG30" s="51"/>
      <c r="EH30" s="51"/>
      <c r="EI30" s="51">
        <f t="shared" si="76"/>
        <v>3380.5534116</v>
      </c>
      <c r="EJ30" s="33">
        <f t="shared" si="77"/>
        <v>3380.5534116</v>
      </c>
      <c r="EK30" s="65">
        <f t="shared" si="78"/>
        <v>716.2961328</v>
      </c>
      <c r="EL30" s="51"/>
      <c r="EM30" s="33"/>
      <c r="EN30" s="33"/>
      <c r="EO30" s="33"/>
    </row>
    <row r="31" spans="1:145" s="53" customFormat="1" ht="12.75">
      <c r="A31" s="52">
        <v>46478</v>
      </c>
      <c r="C31" s="35">
        <v>6545000</v>
      </c>
      <c r="D31" s="35">
        <v>392303</v>
      </c>
      <c r="E31" s="35">
        <f t="shared" si="0"/>
        <v>6937303</v>
      </c>
      <c r="F31" s="35">
        <v>83124</v>
      </c>
      <c r="G31" s="51"/>
      <c r="H31" s="51">
        <f>'Academic Project'!L31</f>
        <v>2104567.6574999997</v>
      </c>
      <c r="I31" s="51">
        <f>'Academic Project'!M31</f>
        <v>126146.4027105</v>
      </c>
      <c r="J31" s="51">
        <f t="shared" si="79"/>
        <v>2230714.0602105</v>
      </c>
      <c r="K31" s="51">
        <f>'Academic Project'!O31</f>
        <v>26728.813133999996</v>
      </c>
      <c r="L31" s="51"/>
      <c r="M31" s="51">
        <f t="shared" si="80"/>
        <v>4440432.342499999</v>
      </c>
      <c r="N31" s="41">
        <f t="shared" si="1"/>
        <v>266156.59728950006</v>
      </c>
      <c r="O31" s="33">
        <f t="shared" si="2"/>
        <v>4706588.939789499</v>
      </c>
      <c r="P31" s="41">
        <f t="shared" si="3"/>
        <v>56395.186866000004</v>
      </c>
      <c r="Q31" s="51"/>
      <c r="R31" s="65">
        <f t="shared" si="81"/>
        <v>360082.9925</v>
      </c>
      <c r="S31" s="65">
        <f t="shared" si="4"/>
        <v>21583.137999500002</v>
      </c>
      <c r="T31" s="20">
        <f t="shared" si="5"/>
        <v>381666.13049949997</v>
      </c>
      <c r="U31" s="65">
        <f t="shared" si="6"/>
        <v>4573.191546</v>
      </c>
      <c r="V31" s="51"/>
      <c r="W31" s="65">
        <f t="shared" si="82"/>
        <v>439583.7985</v>
      </c>
      <c r="X31" s="65">
        <f t="shared" si="7"/>
        <v>26348.3640799</v>
      </c>
      <c r="Y31" s="20">
        <f t="shared" si="8"/>
        <v>465932.1625799</v>
      </c>
      <c r="Z31" s="65">
        <f t="shared" si="9"/>
        <v>5582.8821492</v>
      </c>
      <c r="AA31" s="51"/>
      <c r="AB31" s="33">
        <f t="shared" si="83"/>
        <v>1609.4155</v>
      </c>
      <c r="AC31" s="33">
        <f t="shared" si="10"/>
        <v>96.4673077</v>
      </c>
      <c r="AD31" s="33">
        <f t="shared" si="11"/>
        <v>1705.8828077</v>
      </c>
      <c r="AE31" s="65">
        <f t="shared" si="12"/>
        <v>20.440191600000002</v>
      </c>
      <c r="AF31" s="51"/>
      <c r="AG31" s="65">
        <f t="shared" si="84"/>
        <v>95007.8745</v>
      </c>
      <c r="AH31" s="65">
        <f t="shared" si="13"/>
        <v>5694.7095783</v>
      </c>
      <c r="AI31" s="20">
        <f t="shared" si="14"/>
        <v>100702.5840783</v>
      </c>
      <c r="AJ31" s="65">
        <f t="shared" si="15"/>
        <v>1206.6362964</v>
      </c>
      <c r="AK31" s="51"/>
      <c r="AL31" s="65">
        <f t="shared" si="85"/>
        <v>437156.91250000003</v>
      </c>
      <c r="AM31" s="65">
        <f t="shared" si="16"/>
        <v>26202.8981275</v>
      </c>
      <c r="AN31" s="20">
        <f t="shared" si="17"/>
        <v>463359.81062750006</v>
      </c>
      <c r="AO31" s="65">
        <f t="shared" si="18"/>
        <v>5552.059770000001</v>
      </c>
      <c r="AP31" s="51"/>
      <c r="AQ31" s="65">
        <f t="shared" si="86"/>
        <v>68916.232</v>
      </c>
      <c r="AR31" s="65">
        <f t="shared" si="19"/>
        <v>4130.7936688</v>
      </c>
      <c r="AS31" s="20">
        <f t="shared" si="20"/>
        <v>73047.02566880001</v>
      </c>
      <c r="AT31" s="65">
        <f t="shared" si="21"/>
        <v>875.2624704</v>
      </c>
      <c r="AU31" s="51"/>
      <c r="AV31" s="51">
        <f t="shared" si="87"/>
        <v>3828.1704999999997</v>
      </c>
      <c r="AW31" s="51">
        <f t="shared" si="22"/>
        <v>229.45802469999998</v>
      </c>
      <c r="AX31" s="33">
        <f t="shared" si="23"/>
        <v>4057.6285246999996</v>
      </c>
      <c r="AY31" s="65">
        <f t="shared" si="24"/>
        <v>48.619227599999995</v>
      </c>
      <c r="AZ31" s="51"/>
      <c r="BA31" s="33">
        <f t="shared" si="88"/>
        <v>44095.6285</v>
      </c>
      <c r="BB31" s="33">
        <f t="shared" si="25"/>
        <v>2643.0630019</v>
      </c>
      <c r="BC31" s="33">
        <f t="shared" si="26"/>
        <v>46738.6915019</v>
      </c>
      <c r="BD31" s="65">
        <f t="shared" si="27"/>
        <v>560.0313252</v>
      </c>
      <c r="BE31" s="51"/>
      <c r="BF31" s="51">
        <f t="shared" si="89"/>
        <v>61644.736999999994</v>
      </c>
      <c r="BG31" s="51">
        <f t="shared" si="28"/>
        <v>3694.9450357999995</v>
      </c>
      <c r="BH31" s="33">
        <f t="shared" si="29"/>
        <v>65339.6820358</v>
      </c>
      <c r="BI31" s="65">
        <f t="shared" si="30"/>
        <v>782.9117064</v>
      </c>
      <c r="BJ31" s="51"/>
      <c r="BK31" s="51">
        <f t="shared" si="90"/>
        <v>8623.692</v>
      </c>
      <c r="BL31" s="51">
        <f t="shared" si="31"/>
        <v>516.8984328</v>
      </c>
      <c r="BM31" s="33">
        <f t="shared" si="32"/>
        <v>9140.5904328</v>
      </c>
      <c r="BN31" s="65">
        <f t="shared" si="33"/>
        <v>109.5241824</v>
      </c>
      <c r="BO31" s="51"/>
      <c r="BP31" s="51">
        <f t="shared" si="91"/>
        <v>44799.216</v>
      </c>
      <c r="BQ31" s="51">
        <f t="shared" si="34"/>
        <v>2685.2355744</v>
      </c>
      <c r="BR31" s="33">
        <f t="shared" si="35"/>
        <v>47484.4515744</v>
      </c>
      <c r="BS31" s="65">
        <f t="shared" si="36"/>
        <v>568.9671552</v>
      </c>
      <c r="BT31" s="51"/>
      <c r="BU31" s="51">
        <f t="shared" si="92"/>
        <v>2546.005</v>
      </c>
      <c r="BV31" s="51">
        <f t="shared" si="37"/>
        <v>152.60586700000002</v>
      </c>
      <c r="BW31" s="33">
        <f t="shared" si="38"/>
        <v>2698.6108670000003</v>
      </c>
      <c r="BX31" s="65">
        <f t="shared" si="39"/>
        <v>32.335236</v>
      </c>
      <c r="BY31" s="51"/>
      <c r="BZ31" s="51">
        <f t="shared" si="93"/>
        <v>8998.720500000001</v>
      </c>
      <c r="CA31" s="51">
        <f t="shared" si="40"/>
        <v>539.3773947000001</v>
      </c>
      <c r="CB31" s="33">
        <f t="shared" si="41"/>
        <v>9538.097894700002</v>
      </c>
      <c r="CC31" s="65">
        <f t="shared" si="42"/>
        <v>114.28718760000001</v>
      </c>
      <c r="CD31" s="51"/>
      <c r="CE31" s="33">
        <f t="shared" si="94"/>
        <v>32709.9465</v>
      </c>
      <c r="CF31" s="33">
        <f t="shared" si="43"/>
        <v>1960.6127030999999</v>
      </c>
      <c r="CG31" s="33">
        <f t="shared" si="44"/>
        <v>34670.5592031</v>
      </c>
      <c r="CH31" s="65">
        <f t="shared" si="45"/>
        <v>415.4288148</v>
      </c>
      <c r="CI31" s="51"/>
      <c r="CJ31" s="51">
        <f t="shared" si="95"/>
        <v>223378.23200000002</v>
      </c>
      <c r="CK31" s="51">
        <f t="shared" si="46"/>
        <v>13389.144468800001</v>
      </c>
      <c r="CL31" s="33">
        <f t="shared" si="47"/>
        <v>236767.3764688</v>
      </c>
      <c r="CM31" s="65">
        <f t="shared" si="48"/>
        <v>2836.9888704000005</v>
      </c>
      <c r="CN31" s="51"/>
      <c r="CO31" s="51">
        <f t="shared" si="96"/>
        <v>924488.4495</v>
      </c>
      <c r="CP31" s="51">
        <f t="shared" si="49"/>
        <v>55413.2302833</v>
      </c>
      <c r="CQ31" s="33">
        <f t="shared" si="50"/>
        <v>979901.6797833</v>
      </c>
      <c r="CR31" s="65">
        <f t="shared" si="51"/>
        <v>11741.3564364</v>
      </c>
      <c r="CS31" s="51"/>
      <c r="CT31" s="51">
        <f t="shared" si="97"/>
        <v>169952.706</v>
      </c>
      <c r="CU31" s="51">
        <f t="shared" si="52"/>
        <v>10186.853540400001</v>
      </c>
      <c r="CV31" s="33">
        <f t="shared" si="53"/>
        <v>180139.55954040002</v>
      </c>
      <c r="CW31" s="65">
        <f t="shared" si="54"/>
        <v>2158.4642832</v>
      </c>
      <c r="CX31" s="51"/>
      <c r="CY31" s="51">
        <f t="shared" si="98"/>
        <v>581862.9355</v>
      </c>
      <c r="CZ31" s="51">
        <f t="shared" si="55"/>
        <v>34876.482075700005</v>
      </c>
      <c r="DA31" s="33">
        <f t="shared" si="56"/>
        <v>616739.4175757</v>
      </c>
      <c r="DB31" s="65">
        <f t="shared" si="57"/>
        <v>7389.8815356000005</v>
      </c>
      <c r="DC31" s="51"/>
      <c r="DD31" s="51">
        <f t="shared" si="99"/>
        <v>124057.2025</v>
      </c>
      <c r="DE31" s="51">
        <f t="shared" si="58"/>
        <v>7435.9072135</v>
      </c>
      <c r="DF31" s="33">
        <f t="shared" si="59"/>
        <v>131493.1097135</v>
      </c>
      <c r="DG31" s="65">
        <f t="shared" si="60"/>
        <v>1575.573858</v>
      </c>
      <c r="DH31" s="51"/>
      <c r="DI31" s="51">
        <f t="shared" si="100"/>
        <v>10106.788999999999</v>
      </c>
      <c r="DJ31" s="51">
        <f t="shared" si="61"/>
        <v>605.7942926</v>
      </c>
      <c r="DK31" s="33">
        <f t="shared" si="62"/>
        <v>10712.583292599998</v>
      </c>
      <c r="DL31" s="65">
        <f t="shared" si="63"/>
        <v>128.3600808</v>
      </c>
      <c r="DM31" s="51"/>
      <c r="DN31" s="51">
        <f t="shared" si="101"/>
        <v>12053.9265</v>
      </c>
      <c r="DO31" s="51">
        <f t="shared" si="64"/>
        <v>722.5044351</v>
      </c>
      <c r="DP31" s="33">
        <f t="shared" si="65"/>
        <v>12776.4309351</v>
      </c>
      <c r="DQ31" s="65">
        <f t="shared" si="66"/>
        <v>153.0894708</v>
      </c>
      <c r="DR31" s="51"/>
      <c r="DS31" s="51">
        <f t="shared" si="102"/>
        <v>24584.328999999998</v>
      </c>
      <c r="DT31" s="51">
        <f t="shared" si="67"/>
        <v>1473.5685286</v>
      </c>
      <c r="DU31" s="33">
        <f t="shared" si="68"/>
        <v>26057.8975286</v>
      </c>
      <c r="DV31" s="65">
        <f t="shared" si="69"/>
        <v>312.2303688</v>
      </c>
      <c r="DW31" s="51"/>
      <c r="DX31" s="51">
        <f t="shared" si="103"/>
        <v>677627.412</v>
      </c>
      <c r="DY31" s="51">
        <f t="shared" si="70"/>
        <v>40616.5418808</v>
      </c>
      <c r="DZ31" s="33">
        <f t="shared" si="71"/>
        <v>718243.9538808</v>
      </c>
      <c r="EA31" s="65">
        <f t="shared" si="72"/>
        <v>8606.126966400001</v>
      </c>
      <c r="EB31" s="33"/>
      <c r="EC31" s="33">
        <f t="shared" si="104"/>
        <v>26317.445000000003</v>
      </c>
      <c r="ED31" s="33">
        <f t="shared" si="73"/>
        <v>1577.4503630000002</v>
      </c>
      <c r="EE31" s="33">
        <f t="shared" si="74"/>
        <v>27894.895363000003</v>
      </c>
      <c r="EF31" s="65">
        <f t="shared" si="75"/>
        <v>334.241604</v>
      </c>
      <c r="EG31" s="51"/>
      <c r="EH31" s="51">
        <f t="shared" si="105"/>
        <v>56399.574</v>
      </c>
      <c r="EI31" s="51">
        <f t="shared" si="76"/>
        <v>3380.5534116</v>
      </c>
      <c r="EJ31" s="33">
        <f t="shared" si="77"/>
        <v>59780.1274116</v>
      </c>
      <c r="EK31" s="65">
        <f t="shared" si="78"/>
        <v>716.2961328</v>
      </c>
      <c r="EL31" s="51"/>
      <c r="EM31" s="33"/>
      <c r="EN31" s="33"/>
      <c r="EO31" s="33"/>
    </row>
    <row r="32" spans="1:145" s="53" customFormat="1" ht="12.75">
      <c r="A32" s="52">
        <v>46661</v>
      </c>
      <c r="C32" s="35"/>
      <c r="D32" s="35">
        <v>267867</v>
      </c>
      <c r="E32" s="35">
        <f t="shared" si="0"/>
        <v>267867</v>
      </c>
      <c r="F32" s="35">
        <v>83124</v>
      </c>
      <c r="G32" s="51"/>
      <c r="H32" s="51"/>
      <c r="I32" s="51">
        <f>'Academic Project'!M32</f>
        <v>86133.57138449998</v>
      </c>
      <c r="J32" s="51">
        <f t="shared" si="79"/>
        <v>86133.57138449998</v>
      </c>
      <c r="K32" s="51">
        <f>'Academic Project'!O32</f>
        <v>26728.813133999996</v>
      </c>
      <c r="L32" s="51"/>
      <c r="M32" s="51"/>
      <c r="N32" s="41">
        <f t="shared" si="1"/>
        <v>181733.42861550002</v>
      </c>
      <c r="O32" s="33">
        <f t="shared" si="2"/>
        <v>181733.42861550002</v>
      </c>
      <c r="P32" s="41">
        <f t="shared" si="3"/>
        <v>56395.186866000004</v>
      </c>
      <c r="Q32" s="51"/>
      <c r="R32" s="65"/>
      <c r="S32" s="65">
        <f t="shared" si="4"/>
        <v>14737.104805500001</v>
      </c>
      <c r="T32" s="20">
        <f t="shared" si="5"/>
        <v>14737.104805500001</v>
      </c>
      <c r="U32" s="65">
        <f t="shared" si="6"/>
        <v>4573.191546</v>
      </c>
      <c r="V32" s="51"/>
      <c r="W32" s="65"/>
      <c r="X32" s="65">
        <f t="shared" si="7"/>
        <v>17990.8316811</v>
      </c>
      <c r="Y32" s="20">
        <f t="shared" si="8"/>
        <v>17990.8316811</v>
      </c>
      <c r="Z32" s="65">
        <f t="shared" si="9"/>
        <v>5582.8821492</v>
      </c>
      <c r="AA32" s="51"/>
      <c r="AB32" s="33"/>
      <c r="AC32" s="33">
        <f t="shared" si="10"/>
        <v>65.8684953</v>
      </c>
      <c r="AD32" s="33">
        <f t="shared" si="11"/>
        <v>65.8684953</v>
      </c>
      <c r="AE32" s="65">
        <f t="shared" si="12"/>
        <v>20.440191600000002</v>
      </c>
      <c r="AF32" s="51"/>
      <c r="AG32" s="65"/>
      <c r="AH32" s="65">
        <f t="shared" si="13"/>
        <v>3888.3841587</v>
      </c>
      <c r="AI32" s="20">
        <f t="shared" si="14"/>
        <v>3888.3841587</v>
      </c>
      <c r="AJ32" s="65">
        <f t="shared" si="15"/>
        <v>1206.6362964</v>
      </c>
      <c r="AK32" s="51"/>
      <c r="AL32" s="65"/>
      <c r="AM32" s="65">
        <f t="shared" si="16"/>
        <v>17891.5065975</v>
      </c>
      <c r="AN32" s="20">
        <f t="shared" si="17"/>
        <v>17891.5065975</v>
      </c>
      <c r="AO32" s="65">
        <f t="shared" si="18"/>
        <v>5552.059770000001</v>
      </c>
      <c r="AP32" s="51"/>
      <c r="AQ32" s="65"/>
      <c r="AR32" s="65">
        <f t="shared" si="19"/>
        <v>2820.5323632</v>
      </c>
      <c r="AS32" s="20">
        <f t="shared" si="20"/>
        <v>2820.5323632</v>
      </c>
      <c r="AT32" s="65">
        <f t="shared" si="21"/>
        <v>875.2624704</v>
      </c>
      <c r="AU32" s="51"/>
      <c r="AV32" s="51"/>
      <c r="AW32" s="51">
        <f t="shared" si="22"/>
        <v>156.6754083</v>
      </c>
      <c r="AX32" s="33">
        <f t="shared" si="23"/>
        <v>156.6754083</v>
      </c>
      <c r="AY32" s="65">
        <f t="shared" si="24"/>
        <v>48.619227599999995</v>
      </c>
      <c r="AZ32" s="51"/>
      <c r="BA32" s="33"/>
      <c r="BB32" s="33">
        <f t="shared" si="25"/>
        <v>1804.7003391</v>
      </c>
      <c r="BC32" s="33">
        <f t="shared" si="26"/>
        <v>1804.7003391</v>
      </c>
      <c r="BD32" s="65">
        <f t="shared" si="27"/>
        <v>560.0313252</v>
      </c>
      <c r="BE32" s="51"/>
      <c r="BF32" s="51"/>
      <c r="BG32" s="51">
        <f t="shared" si="28"/>
        <v>2522.9321262</v>
      </c>
      <c r="BH32" s="33">
        <f t="shared" si="29"/>
        <v>2522.9321262</v>
      </c>
      <c r="BI32" s="65">
        <f t="shared" si="30"/>
        <v>782.9117064</v>
      </c>
      <c r="BJ32" s="51"/>
      <c r="BK32" s="51"/>
      <c r="BL32" s="51">
        <f t="shared" si="31"/>
        <v>352.9415592</v>
      </c>
      <c r="BM32" s="33">
        <f t="shared" si="32"/>
        <v>352.9415592</v>
      </c>
      <c r="BN32" s="65">
        <f t="shared" si="33"/>
        <v>109.5241824</v>
      </c>
      <c r="BO32" s="51"/>
      <c r="BP32" s="51"/>
      <c r="BQ32" s="51">
        <f t="shared" si="34"/>
        <v>1833.4960416</v>
      </c>
      <c r="BR32" s="33">
        <f t="shared" si="35"/>
        <v>1833.4960416</v>
      </c>
      <c r="BS32" s="65">
        <f t="shared" si="36"/>
        <v>568.9671552</v>
      </c>
      <c r="BT32" s="51"/>
      <c r="BU32" s="51"/>
      <c r="BV32" s="51">
        <f t="shared" si="37"/>
        <v>104.200263</v>
      </c>
      <c r="BW32" s="33">
        <f t="shared" si="38"/>
        <v>104.200263</v>
      </c>
      <c r="BX32" s="65">
        <f t="shared" si="39"/>
        <v>32.335236</v>
      </c>
      <c r="BY32" s="51"/>
      <c r="BZ32" s="51"/>
      <c r="CA32" s="51">
        <f t="shared" si="40"/>
        <v>368.29033830000003</v>
      </c>
      <c r="CB32" s="33">
        <f t="shared" si="41"/>
        <v>368.29033830000003</v>
      </c>
      <c r="CC32" s="65">
        <f t="shared" si="42"/>
        <v>114.28718760000001</v>
      </c>
      <c r="CD32" s="51"/>
      <c r="CE32" s="33"/>
      <c r="CF32" s="33">
        <f t="shared" si="43"/>
        <v>1338.7189059</v>
      </c>
      <c r="CG32" s="33">
        <f t="shared" si="44"/>
        <v>1338.7189059</v>
      </c>
      <c r="CH32" s="65">
        <f t="shared" si="45"/>
        <v>415.4288148</v>
      </c>
      <c r="CI32" s="51"/>
      <c r="CJ32" s="51"/>
      <c r="CK32" s="51">
        <f t="shared" si="46"/>
        <v>9142.1935632</v>
      </c>
      <c r="CL32" s="33">
        <f t="shared" si="47"/>
        <v>9142.1935632</v>
      </c>
      <c r="CM32" s="65">
        <f t="shared" si="48"/>
        <v>2836.9888704000005</v>
      </c>
      <c r="CN32" s="51"/>
      <c r="CO32" s="51"/>
      <c r="CP32" s="51">
        <f t="shared" si="49"/>
        <v>37836.5084037</v>
      </c>
      <c r="CQ32" s="33">
        <f t="shared" si="50"/>
        <v>37836.5084037</v>
      </c>
      <c r="CR32" s="65">
        <f t="shared" si="51"/>
        <v>11741.3564364</v>
      </c>
      <c r="CS32" s="51"/>
      <c r="CT32" s="51"/>
      <c r="CU32" s="51">
        <f t="shared" si="52"/>
        <v>6955.6488156000005</v>
      </c>
      <c r="CV32" s="33">
        <f t="shared" si="53"/>
        <v>6955.6488156000005</v>
      </c>
      <c r="CW32" s="65">
        <f t="shared" si="54"/>
        <v>2158.4642832</v>
      </c>
      <c r="CX32" s="51"/>
      <c r="CY32" s="51"/>
      <c r="CZ32" s="51">
        <f t="shared" si="55"/>
        <v>23813.8852473</v>
      </c>
      <c r="DA32" s="33">
        <f t="shared" si="56"/>
        <v>23813.8852473</v>
      </c>
      <c r="DB32" s="65">
        <f t="shared" si="57"/>
        <v>7389.8815356000005</v>
      </c>
      <c r="DC32" s="51"/>
      <c r="DD32" s="51"/>
      <c r="DE32" s="51">
        <f t="shared" si="58"/>
        <v>5077.2850515</v>
      </c>
      <c r="DF32" s="33">
        <f t="shared" si="59"/>
        <v>5077.2850515</v>
      </c>
      <c r="DG32" s="65">
        <f t="shared" si="60"/>
        <v>1575.573858</v>
      </c>
      <c r="DH32" s="51"/>
      <c r="DI32" s="51"/>
      <c r="DJ32" s="51">
        <f t="shared" si="61"/>
        <v>413.6402214</v>
      </c>
      <c r="DK32" s="33">
        <f t="shared" si="62"/>
        <v>413.6402214</v>
      </c>
      <c r="DL32" s="65">
        <f t="shared" si="63"/>
        <v>128.3600808</v>
      </c>
      <c r="DM32" s="51"/>
      <c r="DN32" s="51"/>
      <c r="DO32" s="51">
        <f t="shared" si="64"/>
        <v>493.33065389999996</v>
      </c>
      <c r="DP32" s="33">
        <f t="shared" si="65"/>
        <v>493.33065389999996</v>
      </c>
      <c r="DQ32" s="65">
        <f t="shared" si="66"/>
        <v>153.0894708</v>
      </c>
      <c r="DR32" s="51"/>
      <c r="DS32" s="51"/>
      <c r="DT32" s="51">
        <f t="shared" si="67"/>
        <v>1006.1620254</v>
      </c>
      <c r="DU32" s="33">
        <f t="shared" si="68"/>
        <v>1006.1620254</v>
      </c>
      <c r="DV32" s="65">
        <f t="shared" si="69"/>
        <v>312.2303688</v>
      </c>
      <c r="DW32" s="51"/>
      <c r="DX32" s="51"/>
      <c r="DY32" s="51">
        <f t="shared" si="70"/>
        <v>27733.2348312</v>
      </c>
      <c r="DZ32" s="33">
        <f t="shared" si="71"/>
        <v>27733.2348312</v>
      </c>
      <c r="EA32" s="65">
        <f t="shared" si="72"/>
        <v>8606.126966400001</v>
      </c>
      <c r="EB32" s="33"/>
      <c r="EC32" s="33"/>
      <c r="ED32" s="33">
        <f t="shared" si="73"/>
        <v>1077.0932070000001</v>
      </c>
      <c r="EE32" s="33">
        <f t="shared" si="74"/>
        <v>1077.0932070000001</v>
      </c>
      <c r="EF32" s="65">
        <f t="shared" si="75"/>
        <v>334.241604</v>
      </c>
      <c r="EG32" s="51"/>
      <c r="EH32" s="51"/>
      <c r="EI32" s="51">
        <f t="shared" si="76"/>
        <v>2308.2635124</v>
      </c>
      <c r="EJ32" s="33">
        <f t="shared" si="77"/>
        <v>2308.2635124</v>
      </c>
      <c r="EK32" s="65">
        <f t="shared" si="78"/>
        <v>716.2961328</v>
      </c>
      <c r="EL32" s="51"/>
      <c r="EM32" s="33"/>
      <c r="EN32" s="33"/>
      <c r="EO32" s="33"/>
    </row>
    <row r="33" spans="1:145" s="53" customFormat="1" ht="12.75">
      <c r="A33" s="52">
        <v>46844</v>
      </c>
      <c r="C33" s="35">
        <v>6795000</v>
      </c>
      <c r="D33" s="35">
        <v>267867</v>
      </c>
      <c r="E33" s="35">
        <f t="shared" si="0"/>
        <v>7062867</v>
      </c>
      <c r="F33" s="35">
        <v>83124</v>
      </c>
      <c r="G33" s="51"/>
      <c r="H33" s="51">
        <f>'Academic Project'!L33</f>
        <v>2184956.0325</v>
      </c>
      <c r="I33" s="51">
        <f>'Academic Project'!M33</f>
        <v>86133.57138449998</v>
      </c>
      <c r="J33" s="51">
        <f t="shared" si="79"/>
        <v>2271089.6038845</v>
      </c>
      <c r="K33" s="51">
        <f>'Academic Project'!O33</f>
        <v>26728.813133999996</v>
      </c>
      <c r="L33" s="51"/>
      <c r="M33" s="51">
        <f t="shared" si="80"/>
        <v>4610043.967499999</v>
      </c>
      <c r="N33" s="41">
        <f t="shared" si="1"/>
        <v>181733.42861550002</v>
      </c>
      <c r="O33" s="33">
        <f t="shared" si="2"/>
        <v>4791777.3961155</v>
      </c>
      <c r="P33" s="41">
        <f t="shared" si="3"/>
        <v>56395.186866000004</v>
      </c>
      <c r="Q33" s="51"/>
      <c r="R33" s="65">
        <f t="shared" si="81"/>
        <v>373837.1175</v>
      </c>
      <c r="S33" s="65">
        <f t="shared" si="4"/>
        <v>14737.104805500001</v>
      </c>
      <c r="T33" s="20">
        <f t="shared" si="5"/>
        <v>388574.2223055</v>
      </c>
      <c r="U33" s="65">
        <f t="shared" si="6"/>
        <v>4573.191546</v>
      </c>
      <c r="V33" s="51"/>
      <c r="W33" s="65">
        <f t="shared" si="82"/>
        <v>456374.6235</v>
      </c>
      <c r="X33" s="65">
        <f t="shared" si="7"/>
        <v>17990.8316811</v>
      </c>
      <c r="Y33" s="20">
        <f t="shared" si="8"/>
        <v>474365.4551811</v>
      </c>
      <c r="Z33" s="65">
        <f t="shared" si="9"/>
        <v>5582.8821492</v>
      </c>
      <c r="AA33" s="51"/>
      <c r="AB33" s="33">
        <f t="shared" si="83"/>
        <v>1670.8905000000002</v>
      </c>
      <c r="AC33" s="33">
        <f t="shared" si="10"/>
        <v>65.8684953</v>
      </c>
      <c r="AD33" s="33">
        <f t="shared" si="11"/>
        <v>1736.7589953000002</v>
      </c>
      <c r="AE33" s="65">
        <f t="shared" si="12"/>
        <v>20.440191600000002</v>
      </c>
      <c r="AF33" s="51"/>
      <c r="AG33" s="65">
        <f t="shared" si="84"/>
        <v>98636.8995</v>
      </c>
      <c r="AH33" s="65">
        <f t="shared" si="13"/>
        <v>3888.3841587</v>
      </c>
      <c r="AI33" s="20">
        <f t="shared" si="14"/>
        <v>102525.2836587</v>
      </c>
      <c r="AJ33" s="65">
        <f t="shared" si="15"/>
        <v>1206.6362964</v>
      </c>
      <c r="AK33" s="51"/>
      <c r="AL33" s="65">
        <f t="shared" si="85"/>
        <v>453855.03750000003</v>
      </c>
      <c r="AM33" s="65">
        <f t="shared" si="16"/>
        <v>17891.5065975</v>
      </c>
      <c r="AN33" s="20">
        <f t="shared" si="17"/>
        <v>471746.54409750004</v>
      </c>
      <c r="AO33" s="65">
        <f t="shared" si="18"/>
        <v>5552.059770000001</v>
      </c>
      <c r="AP33" s="51"/>
      <c r="AQ33" s="65">
        <f t="shared" si="86"/>
        <v>71548.632</v>
      </c>
      <c r="AR33" s="65">
        <f t="shared" si="19"/>
        <v>2820.5323632</v>
      </c>
      <c r="AS33" s="20">
        <f t="shared" si="20"/>
        <v>74369.16436319999</v>
      </c>
      <c r="AT33" s="65">
        <f t="shared" si="21"/>
        <v>875.2624704</v>
      </c>
      <c r="AU33" s="51"/>
      <c r="AV33" s="51">
        <f t="shared" si="87"/>
        <v>3974.3954999999996</v>
      </c>
      <c r="AW33" s="51">
        <f t="shared" si="22"/>
        <v>156.6754083</v>
      </c>
      <c r="AX33" s="33">
        <f t="shared" si="23"/>
        <v>4131.070908299999</v>
      </c>
      <c r="AY33" s="65">
        <f t="shared" si="24"/>
        <v>48.619227599999995</v>
      </c>
      <c r="AZ33" s="51"/>
      <c r="BA33" s="33">
        <f t="shared" si="88"/>
        <v>45779.953499999996</v>
      </c>
      <c r="BB33" s="33">
        <f t="shared" si="25"/>
        <v>1804.7003391</v>
      </c>
      <c r="BC33" s="33">
        <f t="shared" si="26"/>
        <v>47584.6538391</v>
      </c>
      <c r="BD33" s="65">
        <f t="shared" si="27"/>
        <v>560.0313252</v>
      </c>
      <c r="BE33" s="51"/>
      <c r="BF33" s="51">
        <f t="shared" si="89"/>
        <v>63999.386999999995</v>
      </c>
      <c r="BG33" s="51">
        <f t="shared" si="28"/>
        <v>2522.9321262</v>
      </c>
      <c r="BH33" s="33">
        <f t="shared" si="29"/>
        <v>66522.31912619999</v>
      </c>
      <c r="BI33" s="65">
        <f t="shared" si="30"/>
        <v>782.9117064</v>
      </c>
      <c r="BJ33" s="51"/>
      <c r="BK33" s="51">
        <f t="shared" si="90"/>
        <v>8953.091999999999</v>
      </c>
      <c r="BL33" s="51">
        <f t="shared" si="31"/>
        <v>352.9415592</v>
      </c>
      <c r="BM33" s="33">
        <f t="shared" si="32"/>
        <v>9306.0335592</v>
      </c>
      <c r="BN33" s="65">
        <f t="shared" si="33"/>
        <v>109.5241824</v>
      </c>
      <c r="BO33" s="51"/>
      <c r="BP33" s="51">
        <f t="shared" si="91"/>
        <v>46510.416</v>
      </c>
      <c r="BQ33" s="51">
        <f t="shared" si="34"/>
        <v>1833.4960416</v>
      </c>
      <c r="BR33" s="33">
        <f t="shared" si="35"/>
        <v>48343.9120416</v>
      </c>
      <c r="BS33" s="65">
        <f t="shared" si="36"/>
        <v>568.9671552</v>
      </c>
      <c r="BT33" s="51"/>
      <c r="BU33" s="51">
        <f t="shared" si="92"/>
        <v>2643.255</v>
      </c>
      <c r="BV33" s="51">
        <f t="shared" si="37"/>
        <v>104.200263</v>
      </c>
      <c r="BW33" s="33">
        <f t="shared" si="38"/>
        <v>2747.4552630000003</v>
      </c>
      <c r="BX33" s="65">
        <f t="shared" si="39"/>
        <v>32.335236</v>
      </c>
      <c r="BY33" s="51"/>
      <c r="BZ33" s="51">
        <f t="shared" si="93"/>
        <v>9342.4455</v>
      </c>
      <c r="CA33" s="51">
        <f t="shared" si="40"/>
        <v>368.29033830000003</v>
      </c>
      <c r="CB33" s="33">
        <f t="shared" si="41"/>
        <v>9710.7358383</v>
      </c>
      <c r="CC33" s="65">
        <f t="shared" si="42"/>
        <v>114.28718760000001</v>
      </c>
      <c r="CD33" s="51"/>
      <c r="CE33" s="33">
        <f t="shared" si="94"/>
        <v>33959.3715</v>
      </c>
      <c r="CF33" s="33">
        <f t="shared" si="43"/>
        <v>1338.7189059</v>
      </c>
      <c r="CG33" s="33">
        <f t="shared" si="44"/>
        <v>35298.0904059</v>
      </c>
      <c r="CH33" s="65">
        <f t="shared" si="45"/>
        <v>415.4288148</v>
      </c>
      <c r="CI33" s="51"/>
      <c r="CJ33" s="51">
        <f t="shared" si="95"/>
        <v>231910.632</v>
      </c>
      <c r="CK33" s="51">
        <f t="shared" si="46"/>
        <v>9142.1935632</v>
      </c>
      <c r="CL33" s="33">
        <f t="shared" si="47"/>
        <v>241052.82556320002</v>
      </c>
      <c r="CM33" s="65">
        <f t="shared" si="48"/>
        <v>2836.9888704000005</v>
      </c>
      <c r="CN33" s="51"/>
      <c r="CO33" s="51">
        <f t="shared" si="96"/>
        <v>959801.2244999999</v>
      </c>
      <c r="CP33" s="51">
        <f t="shared" si="49"/>
        <v>37836.5084037</v>
      </c>
      <c r="CQ33" s="33">
        <f t="shared" si="50"/>
        <v>997637.7329036999</v>
      </c>
      <c r="CR33" s="65">
        <f t="shared" si="51"/>
        <v>11741.3564364</v>
      </c>
      <c r="CS33" s="51"/>
      <c r="CT33" s="51">
        <f t="shared" si="97"/>
        <v>176444.40600000002</v>
      </c>
      <c r="CU33" s="51">
        <f t="shared" si="52"/>
        <v>6955.6488156000005</v>
      </c>
      <c r="CV33" s="33">
        <f t="shared" si="53"/>
        <v>183400.05481560001</v>
      </c>
      <c r="CW33" s="65">
        <f t="shared" si="54"/>
        <v>2158.4642832</v>
      </c>
      <c r="CX33" s="51"/>
      <c r="CY33" s="51">
        <f t="shared" si="98"/>
        <v>604088.4105</v>
      </c>
      <c r="CZ33" s="51">
        <f t="shared" si="55"/>
        <v>23813.8852473</v>
      </c>
      <c r="DA33" s="33">
        <f t="shared" si="56"/>
        <v>627902.2957473</v>
      </c>
      <c r="DB33" s="65">
        <f t="shared" si="57"/>
        <v>7389.8815356000005</v>
      </c>
      <c r="DC33" s="51"/>
      <c r="DD33" s="51">
        <f t="shared" si="99"/>
        <v>128795.8275</v>
      </c>
      <c r="DE33" s="51">
        <f t="shared" si="58"/>
        <v>5077.2850515</v>
      </c>
      <c r="DF33" s="33">
        <f t="shared" si="59"/>
        <v>133873.1125515</v>
      </c>
      <c r="DG33" s="65">
        <f t="shared" si="60"/>
        <v>1575.573858</v>
      </c>
      <c r="DH33" s="51"/>
      <c r="DI33" s="51">
        <f t="shared" si="100"/>
        <v>10492.839</v>
      </c>
      <c r="DJ33" s="51">
        <f t="shared" si="61"/>
        <v>413.6402214</v>
      </c>
      <c r="DK33" s="33">
        <f t="shared" si="62"/>
        <v>10906.4792214</v>
      </c>
      <c r="DL33" s="65">
        <f t="shared" si="63"/>
        <v>128.3600808</v>
      </c>
      <c r="DM33" s="51"/>
      <c r="DN33" s="51">
        <f t="shared" si="101"/>
        <v>12514.351499999999</v>
      </c>
      <c r="DO33" s="51">
        <f t="shared" si="64"/>
        <v>493.33065389999996</v>
      </c>
      <c r="DP33" s="33">
        <f t="shared" si="65"/>
        <v>13007.6821539</v>
      </c>
      <c r="DQ33" s="65">
        <f t="shared" si="66"/>
        <v>153.0894708</v>
      </c>
      <c r="DR33" s="51"/>
      <c r="DS33" s="51">
        <f t="shared" si="102"/>
        <v>25523.379</v>
      </c>
      <c r="DT33" s="51">
        <f t="shared" si="67"/>
        <v>1006.1620254</v>
      </c>
      <c r="DU33" s="33">
        <f t="shared" si="68"/>
        <v>26529.5410254</v>
      </c>
      <c r="DV33" s="65">
        <f t="shared" si="69"/>
        <v>312.2303688</v>
      </c>
      <c r="DW33" s="51"/>
      <c r="DX33" s="51">
        <f t="shared" si="103"/>
        <v>703510.812</v>
      </c>
      <c r="DY33" s="51">
        <f t="shared" si="70"/>
        <v>27733.2348312</v>
      </c>
      <c r="DZ33" s="33">
        <f t="shared" si="71"/>
        <v>731244.0468312</v>
      </c>
      <c r="EA33" s="65">
        <f t="shared" si="72"/>
        <v>8606.126966400001</v>
      </c>
      <c r="EB33" s="33"/>
      <c r="EC33" s="33">
        <f t="shared" si="104"/>
        <v>27322.695000000003</v>
      </c>
      <c r="ED33" s="33">
        <f t="shared" si="73"/>
        <v>1077.0932070000001</v>
      </c>
      <c r="EE33" s="33">
        <f t="shared" si="74"/>
        <v>28399.788207000005</v>
      </c>
      <c r="EF33" s="65">
        <f t="shared" si="75"/>
        <v>334.241604</v>
      </c>
      <c r="EG33" s="51"/>
      <c r="EH33" s="51">
        <f t="shared" si="105"/>
        <v>58553.874</v>
      </c>
      <c r="EI33" s="51">
        <f t="shared" si="76"/>
        <v>2308.2635124</v>
      </c>
      <c r="EJ33" s="33">
        <f t="shared" si="77"/>
        <v>60862.137512400004</v>
      </c>
      <c r="EK33" s="65">
        <f t="shared" si="78"/>
        <v>716.2961328</v>
      </c>
      <c r="EL33" s="51"/>
      <c r="EM33" s="33"/>
      <c r="EN33" s="33"/>
      <c r="EO33" s="33"/>
    </row>
    <row r="34" spans="1:145" s="53" customFormat="1" ht="12.75">
      <c r="A34" s="52">
        <v>47027</v>
      </c>
      <c r="C34" s="35"/>
      <c r="D34" s="35">
        <v>137573</v>
      </c>
      <c r="E34" s="35">
        <f t="shared" si="0"/>
        <v>137573</v>
      </c>
      <c r="F34" s="35">
        <v>83124</v>
      </c>
      <c r="G34" s="51"/>
      <c r="H34" s="51"/>
      <c r="I34" s="51">
        <f>'Academic Project'!M34</f>
        <v>44237.0796555</v>
      </c>
      <c r="J34" s="51">
        <f t="shared" si="79"/>
        <v>44237.0796555</v>
      </c>
      <c r="K34" s="51">
        <f>'Academic Project'!O34</f>
        <v>26728.813133999996</v>
      </c>
      <c r="L34" s="51"/>
      <c r="M34" s="51"/>
      <c r="N34" s="41">
        <f t="shared" si="1"/>
        <v>93335.9203445</v>
      </c>
      <c r="O34" s="33">
        <f t="shared" si="2"/>
        <v>93335.9203445</v>
      </c>
      <c r="P34" s="41">
        <f t="shared" si="3"/>
        <v>56395.186866000004</v>
      </c>
      <c r="Q34" s="51"/>
      <c r="R34" s="65"/>
      <c r="S34" s="65">
        <f t="shared" si="4"/>
        <v>7568.784954500001</v>
      </c>
      <c r="T34" s="20">
        <f t="shared" si="5"/>
        <v>7568.784954500001</v>
      </c>
      <c r="U34" s="65">
        <f t="shared" si="6"/>
        <v>4573.191546</v>
      </c>
      <c r="V34" s="51"/>
      <c r="W34" s="65"/>
      <c r="X34" s="65">
        <f t="shared" si="7"/>
        <v>9239.856670899999</v>
      </c>
      <c r="Y34" s="20">
        <f t="shared" si="8"/>
        <v>9239.856670899999</v>
      </c>
      <c r="Z34" s="65">
        <f t="shared" si="9"/>
        <v>5582.8821492</v>
      </c>
      <c r="AA34" s="51"/>
      <c r="AB34" s="33"/>
      <c r="AC34" s="33">
        <f t="shared" si="10"/>
        <v>33.8292007</v>
      </c>
      <c r="AD34" s="33">
        <f t="shared" si="11"/>
        <v>33.8292007</v>
      </c>
      <c r="AE34" s="65">
        <f t="shared" si="12"/>
        <v>20.440191600000002</v>
      </c>
      <c r="AF34" s="51"/>
      <c r="AG34" s="65"/>
      <c r="AH34" s="65">
        <f t="shared" si="13"/>
        <v>1997.0234253</v>
      </c>
      <c r="AI34" s="20">
        <f t="shared" si="14"/>
        <v>1997.0234253</v>
      </c>
      <c r="AJ34" s="65">
        <f t="shared" si="15"/>
        <v>1206.6362964</v>
      </c>
      <c r="AK34" s="51"/>
      <c r="AL34" s="65"/>
      <c r="AM34" s="65">
        <f t="shared" si="16"/>
        <v>9188.844602500001</v>
      </c>
      <c r="AN34" s="20">
        <f t="shared" si="17"/>
        <v>9188.844602500001</v>
      </c>
      <c r="AO34" s="65">
        <f t="shared" si="18"/>
        <v>5552.059770000001</v>
      </c>
      <c r="AP34" s="51"/>
      <c r="AQ34" s="65"/>
      <c r="AR34" s="65">
        <f t="shared" si="19"/>
        <v>1448.5886608</v>
      </c>
      <c r="AS34" s="20">
        <f t="shared" si="20"/>
        <v>1448.5886608</v>
      </c>
      <c r="AT34" s="65">
        <f t="shared" si="21"/>
        <v>875.2624704</v>
      </c>
      <c r="AU34" s="51"/>
      <c r="AV34" s="51"/>
      <c r="AW34" s="51">
        <f t="shared" si="22"/>
        <v>80.46644769999999</v>
      </c>
      <c r="AX34" s="33">
        <f t="shared" si="23"/>
        <v>80.46644769999999</v>
      </c>
      <c r="AY34" s="65">
        <f t="shared" si="24"/>
        <v>48.619227599999995</v>
      </c>
      <c r="AZ34" s="51"/>
      <c r="BA34" s="33"/>
      <c r="BB34" s="33">
        <f t="shared" si="25"/>
        <v>926.8705729</v>
      </c>
      <c r="BC34" s="33">
        <f t="shared" si="26"/>
        <v>926.8705729</v>
      </c>
      <c r="BD34" s="65">
        <f t="shared" si="27"/>
        <v>560.0313252</v>
      </c>
      <c r="BE34" s="51"/>
      <c r="BF34" s="51"/>
      <c r="BG34" s="51">
        <f t="shared" si="28"/>
        <v>1295.7450577999998</v>
      </c>
      <c r="BH34" s="33">
        <f t="shared" si="29"/>
        <v>1295.7450577999998</v>
      </c>
      <c r="BI34" s="65">
        <f t="shared" si="30"/>
        <v>782.9117064</v>
      </c>
      <c r="BJ34" s="51"/>
      <c r="BK34" s="51"/>
      <c r="BL34" s="51">
        <f t="shared" si="31"/>
        <v>181.2661848</v>
      </c>
      <c r="BM34" s="33">
        <f t="shared" si="32"/>
        <v>181.2661848</v>
      </c>
      <c r="BN34" s="65">
        <f t="shared" si="33"/>
        <v>109.5241824</v>
      </c>
      <c r="BO34" s="51"/>
      <c r="BP34" s="51"/>
      <c r="BQ34" s="51">
        <f t="shared" si="34"/>
        <v>941.6596704</v>
      </c>
      <c r="BR34" s="33">
        <f t="shared" si="35"/>
        <v>941.6596704</v>
      </c>
      <c r="BS34" s="65">
        <f t="shared" si="36"/>
        <v>568.9671552</v>
      </c>
      <c r="BT34" s="51"/>
      <c r="BU34" s="51"/>
      <c r="BV34" s="51">
        <f t="shared" si="37"/>
        <v>53.515897</v>
      </c>
      <c r="BW34" s="33">
        <f t="shared" si="38"/>
        <v>53.515897</v>
      </c>
      <c r="BX34" s="65">
        <f t="shared" si="39"/>
        <v>32.335236</v>
      </c>
      <c r="BY34" s="51"/>
      <c r="BZ34" s="51"/>
      <c r="CA34" s="51">
        <f t="shared" si="40"/>
        <v>189.1491177</v>
      </c>
      <c r="CB34" s="33">
        <f t="shared" si="41"/>
        <v>189.1491177</v>
      </c>
      <c r="CC34" s="65">
        <f t="shared" si="42"/>
        <v>114.28718760000001</v>
      </c>
      <c r="CD34" s="51"/>
      <c r="CE34" s="33"/>
      <c r="CF34" s="33">
        <f t="shared" si="43"/>
        <v>687.5485821</v>
      </c>
      <c r="CG34" s="33">
        <f t="shared" si="44"/>
        <v>687.5485821</v>
      </c>
      <c r="CH34" s="65">
        <f t="shared" si="45"/>
        <v>415.4288148</v>
      </c>
      <c r="CI34" s="51"/>
      <c r="CJ34" s="51"/>
      <c r="CK34" s="51">
        <f t="shared" si="46"/>
        <v>4695.3114608000005</v>
      </c>
      <c r="CL34" s="33">
        <f t="shared" si="47"/>
        <v>4695.3114608000005</v>
      </c>
      <c r="CM34" s="65">
        <f t="shared" si="48"/>
        <v>2836.9888704000005</v>
      </c>
      <c r="CN34" s="51"/>
      <c r="CO34" s="51"/>
      <c r="CP34" s="51">
        <f t="shared" si="49"/>
        <v>19432.337580299998</v>
      </c>
      <c r="CQ34" s="33">
        <f t="shared" si="50"/>
        <v>19432.337580299998</v>
      </c>
      <c r="CR34" s="65">
        <f t="shared" si="51"/>
        <v>11741.3564364</v>
      </c>
      <c r="CS34" s="51"/>
      <c r="CT34" s="51"/>
      <c r="CU34" s="51">
        <f t="shared" si="52"/>
        <v>3572.3305764</v>
      </c>
      <c r="CV34" s="33">
        <f t="shared" si="53"/>
        <v>3572.3305764</v>
      </c>
      <c r="CW34" s="65">
        <f t="shared" si="54"/>
        <v>2158.4642832</v>
      </c>
      <c r="CX34" s="51"/>
      <c r="CY34" s="51"/>
      <c r="CZ34" s="51">
        <f t="shared" si="55"/>
        <v>12230.5010887</v>
      </c>
      <c r="DA34" s="33">
        <f t="shared" si="56"/>
        <v>12230.5010887</v>
      </c>
      <c r="DB34" s="65">
        <f t="shared" si="57"/>
        <v>7389.8815356000005</v>
      </c>
      <c r="DC34" s="51"/>
      <c r="DD34" s="51"/>
      <c r="DE34" s="51">
        <f t="shared" si="58"/>
        <v>2607.6274285</v>
      </c>
      <c r="DF34" s="33">
        <f t="shared" si="59"/>
        <v>2607.6274285</v>
      </c>
      <c r="DG34" s="65">
        <f t="shared" si="60"/>
        <v>1575.573858</v>
      </c>
      <c r="DH34" s="51"/>
      <c r="DI34" s="51"/>
      <c r="DJ34" s="51">
        <f t="shared" si="61"/>
        <v>212.4402266</v>
      </c>
      <c r="DK34" s="33">
        <f t="shared" si="62"/>
        <v>212.4402266</v>
      </c>
      <c r="DL34" s="65">
        <f t="shared" si="63"/>
        <v>128.3600808</v>
      </c>
      <c r="DM34" s="51"/>
      <c r="DN34" s="51"/>
      <c r="DO34" s="51">
        <f t="shared" si="64"/>
        <v>253.36819409999998</v>
      </c>
      <c r="DP34" s="33">
        <f t="shared" si="65"/>
        <v>253.36819409999998</v>
      </c>
      <c r="DQ34" s="65">
        <f t="shared" si="66"/>
        <v>153.0894708</v>
      </c>
      <c r="DR34" s="51"/>
      <c r="DS34" s="51"/>
      <c r="DT34" s="51">
        <f t="shared" si="67"/>
        <v>516.7517025999999</v>
      </c>
      <c r="DU34" s="33">
        <f t="shared" si="68"/>
        <v>516.7517025999999</v>
      </c>
      <c r="DV34" s="65">
        <f t="shared" si="69"/>
        <v>312.2303688</v>
      </c>
      <c r="DW34" s="51"/>
      <c r="DX34" s="51"/>
      <c r="DY34" s="51">
        <f t="shared" si="70"/>
        <v>14243.4279528</v>
      </c>
      <c r="DZ34" s="33">
        <f t="shared" si="71"/>
        <v>14243.4279528</v>
      </c>
      <c r="EA34" s="65">
        <f t="shared" si="72"/>
        <v>8606.126966400001</v>
      </c>
      <c r="EB34" s="33"/>
      <c r="EC34" s="33"/>
      <c r="ED34" s="33">
        <f t="shared" si="73"/>
        <v>553.1810330000001</v>
      </c>
      <c r="EE34" s="33">
        <f t="shared" si="74"/>
        <v>553.1810330000001</v>
      </c>
      <c r="EF34" s="65">
        <f t="shared" si="75"/>
        <v>334.241604</v>
      </c>
      <c r="EG34" s="51"/>
      <c r="EH34" s="51"/>
      <c r="EI34" s="51">
        <f t="shared" si="76"/>
        <v>1185.4940556000001</v>
      </c>
      <c r="EJ34" s="33">
        <f t="shared" si="77"/>
        <v>1185.4940556000001</v>
      </c>
      <c r="EK34" s="65">
        <f t="shared" si="78"/>
        <v>716.2961328</v>
      </c>
      <c r="EL34" s="51"/>
      <c r="EM34" s="33"/>
      <c r="EN34" s="33"/>
      <c r="EO34" s="33"/>
    </row>
    <row r="35" spans="1:145" s="53" customFormat="1" ht="12.75">
      <c r="A35" s="52">
        <v>47209</v>
      </c>
      <c r="C35" s="35">
        <v>7055000</v>
      </c>
      <c r="D35" s="35">
        <v>137573</v>
      </c>
      <c r="E35" s="35">
        <f t="shared" si="0"/>
        <v>7192573</v>
      </c>
      <c r="F35" s="35">
        <v>83124</v>
      </c>
      <c r="G35" s="51"/>
      <c r="H35" s="51">
        <f>'Academic Project'!L35</f>
        <v>2268559.9425</v>
      </c>
      <c r="I35" s="51">
        <f>'Academic Project'!M35</f>
        <v>44237.0796555</v>
      </c>
      <c r="J35" s="51">
        <f t="shared" si="79"/>
        <v>2312797.0221555</v>
      </c>
      <c r="K35" s="51">
        <f>'Academic Project'!O35</f>
        <v>26728.813133999996</v>
      </c>
      <c r="L35" s="51"/>
      <c r="M35" s="51">
        <f t="shared" si="80"/>
        <v>4786440.057499999</v>
      </c>
      <c r="N35" s="41">
        <f t="shared" si="1"/>
        <v>93335.9203445</v>
      </c>
      <c r="O35" s="33">
        <f t="shared" si="2"/>
        <v>4879775.977844499</v>
      </c>
      <c r="P35" s="41">
        <f t="shared" si="3"/>
        <v>56395.186866000004</v>
      </c>
      <c r="Q35" s="51"/>
      <c r="R35" s="65">
        <f t="shared" si="81"/>
        <v>388141.40750000003</v>
      </c>
      <c r="S35" s="65">
        <f t="shared" si="4"/>
        <v>7568.784954500001</v>
      </c>
      <c r="T35" s="20">
        <f t="shared" si="5"/>
        <v>395710.1924545</v>
      </c>
      <c r="U35" s="65">
        <f t="shared" si="6"/>
        <v>4573.191546</v>
      </c>
      <c r="V35" s="51"/>
      <c r="W35" s="65">
        <f t="shared" si="82"/>
        <v>473837.0815</v>
      </c>
      <c r="X35" s="65">
        <f t="shared" si="7"/>
        <v>9239.856670899999</v>
      </c>
      <c r="Y35" s="20">
        <f t="shared" si="8"/>
        <v>483076.9381709</v>
      </c>
      <c r="Z35" s="65">
        <f t="shared" si="9"/>
        <v>5582.8821492</v>
      </c>
      <c r="AA35" s="51"/>
      <c r="AB35" s="33">
        <f t="shared" si="83"/>
        <v>1734.8245000000002</v>
      </c>
      <c r="AC35" s="33">
        <f t="shared" si="10"/>
        <v>33.8292007</v>
      </c>
      <c r="AD35" s="33">
        <f t="shared" si="11"/>
        <v>1768.6537007000002</v>
      </c>
      <c r="AE35" s="65">
        <f t="shared" si="12"/>
        <v>20.440191600000002</v>
      </c>
      <c r="AF35" s="51"/>
      <c r="AG35" s="65">
        <f t="shared" si="84"/>
        <v>102411.0855</v>
      </c>
      <c r="AH35" s="65">
        <f t="shared" si="13"/>
        <v>1997.0234253</v>
      </c>
      <c r="AI35" s="20">
        <f t="shared" si="14"/>
        <v>104408.1089253</v>
      </c>
      <c r="AJ35" s="65">
        <f t="shared" si="15"/>
        <v>1206.6362964</v>
      </c>
      <c r="AK35" s="51"/>
      <c r="AL35" s="65">
        <f t="shared" si="85"/>
        <v>471221.0875</v>
      </c>
      <c r="AM35" s="65">
        <f t="shared" si="16"/>
        <v>9188.844602500001</v>
      </c>
      <c r="AN35" s="20">
        <f t="shared" si="17"/>
        <v>480409.9321025</v>
      </c>
      <c r="AO35" s="65">
        <f t="shared" si="18"/>
        <v>5552.059770000001</v>
      </c>
      <c r="AP35" s="51"/>
      <c r="AQ35" s="65">
        <f t="shared" si="86"/>
        <v>74286.328</v>
      </c>
      <c r="AR35" s="65">
        <f t="shared" si="19"/>
        <v>1448.5886608</v>
      </c>
      <c r="AS35" s="20">
        <f t="shared" si="20"/>
        <v>75734.9166608</v>
      </c>
      <c r="AT35" s="65">
        <f t="shared" si="21"/>
        <v>875.2624704</v>
      </c>
      <c r="AU35" s="51"/>
      <c r="AV35" s="51">
        <f t="shared" si="87"/>
        <v>4126.4695</v>
      </c>
      <c r="AW35" s="51">
        <f t="shared" si="22"/>
        <v>80.46644769999999</v>
      </c>
      <c r="AX35" s="33">
        <f t="shared" si="23"/>
        <v>4206.9359477</v>
      </c>
      <c r="AY35" s="65">
        <f t="shared" si="24"/>
        <v>48.619227599999995</v>
      </c>
      <c r="AZ35" s="51"/>
      <c r="BA35" s="33">
        <f t="shared" si="88"/>
        <v>47531.6515</v>
      </c>
      <c r="BB35" s="33">
        <f t="shared" si="25"/>
        <v>926.8705729</v>
      </c>
      <c r="BC35" s="33">
        <f t="shared" si="26"/>
        <v>48458.5220729</v>
      </c>
      <c r="BD35" s="65">
        <f t="shared" si="27"/>
        <v>560.0313252</v>
      </c>
      <c r="BE35" s="51"/>
      <c r="BF35" s="51">
        <f t="shared" si="89"/>
        <v>66448.223</v>
      </c>
      <c r="BG35" s="51">
        <f t="shared" si="28"/>
        <v>1295.7450577999998</v>
      </c>
      <c r="BH35" s="33">
        <f t="shared" si="29"/>
        <v>67743.9680578</v>
      </c>
      <c r="BI35" s="65">
        <f t="shared" si="30"/>
        <v>782.9117064</v>
      </c>
      <c r="BJ35" s="51"/>
      <c r="BK35" s="51">
        <f t="shared" si="90"/>
        <v>9295.668</v>
      </c>
      <c r="BL35" s="51">
        <f t="shared" si="31"/>
        <v>181.2661848</v>
      </c>
      <c r="BM35" s="33">
        <f t="shared" si="32"/>
        <v>9476.9341848</v>
      </c>
      <c r="BN35" s="65">
        <f t="shared" si="33"/>
        <v>109.5241824</v>
      </c>
      <c r="BO35" s="51"/>
      <c r="BP35" s="51">
        <f t="shared" si="91"/>
        <v>48290.064</v>
      </c>
      <c r="BQ35" s="51">
        <f t="shared" si="34"/>
        <v>941.6596704</v>
      </c>
      <c r="BR35" s="33">
        <f t="shared" si="35"/>
        <v>49231.723670399995</v>
      </c>
      <c r="BS35" s="65">
        <f t="shared" si="36"/>
        <v>568.9671552</v>
      </c>
      <c r="BT35" s="51"/>
      <c r="BU35" s="51">
        <f t="shared" si="92"/>
        <v>2744.395</v>
      </c>
      <c r="BV35" s="51">
        <f t="shared" si="37"/>
        <v>53.515897</v>
      </c>
      <c r="BW35" s="33">
        <f t="shared" si="38"/>
        <v>2797.910897</v>
      </c>
      <c r="BX35" s="65">
        <f t="shared" si="39"/>
        <v>32.335236</v>
      </c>
      <c r="BY35" s="51"/>
      <c r="BZ35" s="51">
        <f t="shared" si="93"/>
        <v>9699.9195</v>
      </c>
      <c r="CA35" s="51">
        <f t="shared" si="40"/>
        <v>189.1491177</v>
      </c>
      <c r="CB35" s="33">
        <f t="shared" si="41"/>
        <v>9889.0686177</v>
      </c>
      <c r="CC35" s="65">
        <f t="shared" si="42"/>
        <v>114.28718760000001</v>
      </c>
      <c r="CD35" s="51"/>
      <c r="CE35" s="33">
        <f t="shared" si="94"/>
        <v>35258.773499999996</v>
      </c>
      <c r="CF35" s="33">
        <f t="shared" si="43"/>
        <v>687.5485821</v>
      </c>
      <c r="CG35" s="33">
        <f t="shared" si="44"/>
        <v>35946.32208209999</v>
      </c>
      <c r="CH35" s="65">
        <f t="shared" si="45"/>
        <v>415.4288148</v>
      </c>
      <c r="CI35" s="51"/>
      <c r="CJ35" s="51">
        <f t="shared" si="95"/>
        <v>240784.328</v>
      </c>
      <c r="CK35" s="51">
        <f t="shared" si="46"/>
        <v>4695.3114608000005</v>
      </c>
      <c r="CL35" s="33">
        <f t="shared" si="47"/>
        <v>245479.6394608</v>
      </c>
      <c r="CM35" s="65">
        <f t="shared" si="48"/>
        <v>2836.9888704000005</v>
      </c>
      <c r="CN35" s="51"/>
      <c r="CO35" s="51">
        <f t="shared" si="96"/>
        <v>996526.5105</v>
      </c>
      <c r="CP35" s="51">
        <f t="shared" si="49"/>
        <v>19432.337580299998</v>
      </c>
      <c r="CQ35" s="33">
        <f t="shared" si="50"/>
        <v>1015958.8480803</v>
      </c>
      <c r="CR35" s="65">
        <f t="shared" si="51"/>
        <v>11741.3564364</v>
      </c>
      <c r="CS35" s="51"/>
      <c r="CT35" s="51">
        <f t="shared" si="97"/>
        <v>183195.774</v>
      </c>
      <c r="CU35" s="51">
        <f t="shared" si="52"/>
        <v>3572.3305764</v>
      </c>
      <c r="CV35" s="33">
        <f t="shared" si="53"/>
        <v>186768.10457640002</v>
      </c>
      <c r="CW35" s="65">
        <f t="shared" si="54"/>
        <v>2158.4642832</v>
      </c>
      <c r="CX35" s="51"/>
      <c r="CY35" s="51">
        <f t="shared" si="98"/>
        <v>627202.9045000001</v>
      </c>
      <c r="CZ35" s="51">
        <f t="shared" si="55"/>
        <v>12230.5010887</v>
      </c>
      <c r="DA35" s="33">
        <f t="shared" si="56"/>
        <v>639433.4055887001</v>
      </c>
      <c r="DB35" s="65">
        <f t="shared" si="57"/>
        <v>7389.8815356000005</v>
      </c>
      <c r="DC35" s="51"/>
      <c r="DD35" s="51">
        <f t="shared" si="99"/>
        <v>133723.9975</v>
      </c>
      <c r="DE35" s="51">
        <f t="shared" si="58"/>
        <v>2607.6274285</v>
      </c>
      <c r="DF35" s="33">
        <f t="shared" si="59"/>
        <v>136331.6249285</v>
      </c>
      <c r="DG35" s="65">
        <f t="shared" si="60"/>
        <v>1575.573858</v>
      </c>
      <c r="DH35" s="51"/>
      <c r="DI35" s="51">
        <f t="shared" si="100"/>
        <v>10894.331</v>
      </c>
      <c r="DJ35" s="51">
        <f t="shared" si="61"/>
        <v>212.4402266</v>
      </c>
      <c r="DK35" s="33">
        <f t="shared" si="62"/>
        <v>11106.7712266</v>
      </c>
      <c r="DL35" s="65">
        <f t="shared" si="63"/>
        <v>128.3600808</v>
      </c>
      <c r="DM35" s="51"/>
      <c r="DN35" s="51">
        <f t="shared" si="101"/>
        <v>12993.1935</v>
      </c>
      <c r="DO35" s="51">
        <f t="shared" si="64"/>
        <v>253.36819409999998</v>
      </c>
      <c r="DP35" s="33">
        <f t="shared" si="65"/>
        <v>13246.561694099999</v>
      </c>
      <c r="DQ35" s="65">
        <f t="shared" si="66"/>
        <v>153.0894708</v>
      </c>
      <c r="DR35" s="51"/>
      <c r="DS35" s="51">
        <f t="shared" si="102"/>
        <v>26499.990999999998</v>
      </c>
      <c r="DT35" s="51">
        <f t="shared" si="67"/>
        <v>516.7517025999999</v>
      </c>
      <c r="DU35" s="33">
        <f t="shared" si="68"/>
        <v>27016.742702599997</v>
      </c>
      <c r="DV35" s="65">
        <f t="shared" si="69"/>
        <v>312.2303688</v>
      </c>
      <c r="DW35" s="51"/>
      <c r="DX35" s="51">
        <f t="shared" si="103"/>
        <v>730429.5480000001</v>
      </c>
      <c r="DY35" s="51">
        <f t="shared" si="70"/>
        <v>14243.4279528</v>
      </c>
      <c r="DZ35" s="33">
        <f t="shared" si="71"/>
        <v>744672.9759528</v>
      </c>
      <c r="EA35" s="65">
        <f t="shared" si="72"/>
        <v>8606.126966400001</v>
      </c>
      <c r="EB35" s="33"/>
      <c r="EC35" s="33">
        <f t="shared" si="104"/>
        <v>28368.155000000002</v>
      </c>
      <c r="ED35" s="33">
        <f t="shared" si="73"/>
        <v>553.1810330000001</v>
      </c>
      <c r="EE35" s="33">
        <f t="shared" si="74"/>
        <v>28921.336033000003</v>
      </c>
      <c r="EF35" s="65">
        <f t="shared" si="75"/>
        <v>334.241604</v>
      </c>
      <c r="EG35" s="51"/>
      <c r="EH35" s="51">
        <f t="shared" si="105"/>
        <v>60794.346000000005</v>
      </c>
      <c r="EI35" s="51">
        <f t="shared" si="76"/>
        <v>1185.4940556000001</v>
      </c>
      <c r="EJ35" s="33">
        <f t="shared" si="77"/>
        <v>61979.840055600005</v>
      </c>
      <c r="EK35" s="65">
        <f t="shared" si="78"/>
        <v>716.2961328</v>
      </c>
      <c r="EL35" s="51"/>
      <c r="EM35" s="33"/>
      <c r="EN35" s="33"/>
      <c r="EO35" s="33"/>
    </row>
    <row r="36" spans="3:145" ht="12.75">
      <c r="C36" s="41"/>
      <c r="D36" s="41"/>
      <c r="E36" s="41"/>
      <c r="F36" s="41"/>
      <c r="R36" s="20"/>
      <c r="S36" s="20"/>
      <c r="T36" s="20"/>
      <c r="U36" s="20"/>
      <c r="W36" s="20"/>
      <c r="X36" s="20"/>
      <c r="Y36" s="20"/>
      <c r="Z36" s="20"/>
      <c r="AE36" s="20"/>
      <c r="AG36" s="20"/>
      <c r="AH36" s="20"/>
      <c r="AI36" s="20"/>
      <c r="AJ36" s="20"/>
      <c r="AL36" s="20"/>
      <c r="AM36" s="20"/>
      <c r="AN36" s="20"/>
      <c r="AO36" s="20"/>
      <c r="AP36" s="33"/>
      <c r="AQ36" s="20"/>
      <c r="AR36" s="20"/>
      <c r="AS36" s="20"/>
      <c r="AT36" s="20"/>
      <c r="AU36" s="33"/>
      <c r="AV36" s="33"/>
      <c r="AW36" s="33"/>
      <c r="AX36" s="33"/>
      <c r="AZ36" s="33"/>
      <c r="BA36" s="33"/>
      <c r="BB36" s="33"/>
      <c r="BC36" s="33"/>
      <c r="BE36" s="33"/>
      <c r="BF36" s="33"/>
      <c r="BG36" s="33"/>
      <c r="BH36" s="33"/>
      <c r="BJ36" s="33"/>
      <c r="BK36" s="33"/>
      <c r="BL36" s="33"/>
      <c r="BM36" s="33"/>
      <c r="BO36" s="33"/>
      <c r="BP36" s="33"/>
      <c r="BQ36" s="33"/>
      <c r="BR36" s="33"/>
      <c r="BT36" s="33"/>
      <c r="BU36" s="33"/>
      <c r="BV36" s="33"/>
      <c r="BW36" s="33"/>
      <c r="BY36" s="33"/>
      <c r="BZ36" s="33"/>
      <c r="CA36" s="33"/>
      <c r="CB36" s="33"/>
      <c r="CD36" s="33"/>
      <c r="CE36" s="33"/>
      <c r="CF36" s="33"/>
      <c r="CG36" s="33"/>
      <c r="CI36" s="33"/>
      <c r="CJ36" s="33"/>
      <c r="CK36" s="33"/>
      <c r="CL36" s="33"/>
      <c r="CN36" s="33"/>
      <c r="CO36" s="33"/>
      <c r="CP36" s="33"/>
      <c r="CQ36" s="33"/>
      <c r="CS36" s="33"/>
      <c r="CT36" s="33"/>
      <c r="CU36" s="33"/>
      <c r="CV36" s="33"/>
      <c r="CX36" s="33"/>
      <c r="CY36" s="33"/>
      <c r="CZ36" s="33"/>
      <c r="DA36" s="33"/>
      <c r="DC36" s="33"/>
      <c r="DD36" s="33"/>
      <c r="DE36" s="33"/>
      <c r="DF36" s="33"/>
      <c r="DH36" s="33"/>
      <c r="DI36" s="33"/>
      <c r="DJ36" s="33"/>
      <c r="DK36" s="33"/>
      <c r="DM36" s="33"/>
      <c r="DN36" s="33"/>
      <c r="DO36" s="33"/>
      <c r="DP36" s="33"/>
      <c r="DR36" s="33"/>
      <c r="DS36" s="33"/>
      <c r="DT36" s="33"/>
      <c r="DU36" s="33"/>
      <c r="DW36" s="33"/>
      <c r="DX36" s="33"/>
      <c r="DY36" s="33"/>
      <c r="DZ36" s="33"/>
      <c r="EB36" s="33"/>
      <c r="EC36" s="33"/>
      <c r="ED36" s="33"/>
      <c r="EE36" s="33"/>
      <c r="EG36" s="33"/>
      <c r="EH36" s="33"/>
      <c r="EI36" s="33"/>
      <c r="EJ36" s="33"/>
      <c r="EL36" s="33"/>
      <c r="EM36" s="33"/>
      <c r="EN36" s="33"/>
      <c r="EO36" s="33"/>
    </row>
    <row r="37" spans="1:145" ht="13.5" thickBot="1">
      <c r="A37" s="31" t="s">
        <v>4</v>
      </c>
      <c r="C37" s="50">
        <f>SUM(C8:C36)</f>
        <v>67135000</v>
      </c>
      <c r="D37" s="50">
        <f>SUM(D8:D36)</f>
        <v>22457530</v>
      </c>
      <c r="E37" s="50">
        <f>SUM(E8:E36)</f>
        <v>89592530</v>
      </c>
      <c r="F37" s="50">
        <f>SUM(F8:F36)</f>
        <v>2340669</v>
      </c>
      <c r="H37" s="50">
        <f>SUM(H8:H36)</f>
        <v>21587494.222499993</v>
      </c>
      <c r="I37" s="50">
        <f>SUM(I8:I36)</f>
        <v>7221297.372855002</v>
      </c>
      <c r="J37" s="50">
        <f>SUM(J8:J36)</f>
        <v>28808791.595355004</v>
      </c>
      <c r="K37" s="50">
        <f>SUM(K8:K36)</f>
        <v>752650.3092914994</v>
      </c>
      <c r="M37" s="50">
        <f>SUM(M8:M36)</f>
        <v>45547505.7775</v>
      </c>
      <c r="N37" s="50">
        <f>SUM(N8:N36)</f>
        <v>15236232.627144998</v>
      </c>
      <c r="O37" s="50">
        <f>SUM(O8:O36)</f>
        <v>60783738.404645</v>
      </c>
      <c r="P37" s="50">
        <f>SUM(P8:P36)</f>
        <v>1588018.690708501</v>
      </c>
      <c r="R37" s="50">
        <f>SUM(R8:R36)</f>
        <v>3693532.727500001</v>
      </c>
      <c r="S37" s="50">
        <f>SUM(S8:S36)</f>
        <v>1235534.6992449996</v>
      </c>
      <c r="T37" s="50">
        <f>SUM(T8:T36)</f>
        <v>4929067.426745001</v>
      </c>
      <c r="U37" s="50">
        <f>SUM(U8:U36)</f>
        <v>128775.41603850004</v>
      </c>
      <c r="W37" s="50">
        <f>SUM(W8:W36)</f>
        <v>4509008.145500001</v>
      </c>
      <c r="X37" s="50">
        <f>SUM(X8:X36)</f>
        <v>1508321.8246490003</v>
      </c>
      <c r="Y37" s="50">
        <f>SUM(Y8:Y36)</f>
        <v>6017329.970148999</v>
      </c>
      <c r="Z37" s="50">
        <f>SUM(Z8:Z36)</f>
        <v>157207.05424770003</v>
      </c>
      <c r="AB37" s="50">
        <f>SUM(AB8:AB36)</f>
        <v>16508.4965</v>
      </c>
      <c r="AC37" s="50">
        <f>SUM(AC8:AC36)</f>
        <v>5522.306627000002</v>
      </c>
      <c r="AD37" s="50">
        <f>SUM(AD8:AD36)</f>
        <v>22030.803127000006</v>
      </c>
      <c r="AE37" s="50">
        <f>SUM(AE8:AE36)</f>
        <v>575.5705071000001</v>
      </c>
      <c r="AG37" s="50">
        <f>SUM(AG8:AG36)</f>
        <v>974538.3735</v>
      </c>
      <c r="AH37" s="50">
        <f>SUM(AH8:AH36)</f>
        <v>325995.751233</v>
      </c>
      <c r="AI37" s="50">
        <f>SUM(AI8:AI36)</f>
        <v>1300534.1247329998</v>
      </c>
      <c r="AJ37" s="50">
        <f>SUM(AJ8:AJ36)</f>
        <v>33977.3852709</v>
      </c>
      <c r="AL37" s="50">
        <f>SUM(AL8:AL36)</f>
        <v>4484114.487500001</v>
      </c>
      <c r="AM37" s="50">
        <f>SUM(AM8:AM36)</f>
        <v>1499994.5725250002</v>
      </c>
      <c r="AN37" s="50">
        <f>SUM(AN8:AN36)</f>
        <v>5984109.060025001</v>
      </c>
      <c r="AO37" s="50">
        <f>SUM(AO8:AO36)</f>
        <v>156339.13418250004</v>
      </c>
      <c r="AP37" s="33"/>
      <c r="AQ37" s="50">
        <f>SUM(AQ8:AQ36)</f>
        <v>706904.6959999999</v>
      </c>
      <c r="AR37" s="50">
        <f>SUM(AR8:AR36)</f>
        <v>236468.80788800004</v>
      </c>
      <c r="AS37" s="50">
        <f>SUM(AS8:AS36)</f>
        <v>943373.503888</v>
      </c>
      <c r="AT37" s="50">
        <f>SUM(AT8:AT36)</f>
        <v>24646.308302400015</v>
      </c>
      <c r="AU37" s="33"/>
      <c r="AV37" s="50">
        <f>SUM(AV8:AV36)</f>
        <v>39267.2615</v>
      </c>
      <c r="AW37" s="50">
        <f>SUM(AW8:AW36)</f>
        <v>13135.409297000004</v>
      </c>
      <c r="AX37" s="50">
        <f>SUM(AX8:AX36)</f>
        <v>52402.67079699997</v>
      </c>
      <c r="AY37" s="50">
        <f>SUM(AY8:AY36)</f>
        <v>1369.0572980999998</v>
      </c>
      <c r="AZ37" s="33"/>
      <c r="BA37" s="50">
        <f>SUM(BA8:BA36)</f>
        <v>452308.6355</v>
      </c>
      <c r="BB37" s="50">
        <f>SUM(BB8:BB36)</f>
        <v>151303.11686900002</v>
      </c>
      <c r="BC37" s="50">
        <f>SUM(BC8:BC36)</f>
        <v>603611.752369</v>
      </c>
      <c r="BD37" s="50">
        <f>SUM(BD8:BD36)</f>
        <v>15769.789253699993</v>
      </c>
      <c r="BE37" s="33"/>
      <c r="BF37" s="50">
        <f>SUM(BF8:BF36)</f>
        <v>632317.7109999999</v>
      </c>
      <c r="BG37" s="50">
        <f>SUM(BG8:BG36)</f>
        <v>211518.49205799997</v>
      </c>
      <c r="BH37" s="50">
        <f>SUM(BH8:BH36)</f>
        <v>843836.203058</v>
      </c>
      <c r="BI37" s="50">
        <f>SUM(BI8:BI36)</f>
        <v>22045.82504339999</v>
      </c>
      <c r="BJ37" s="33"/>
      <c r="BK37" s="50">
        <f>SUM(BK8:BK36)</f>
        <v>88457.076</v>
      </c>
      <c r="BL37" s="50">
        <f>SUM(BL8:BL36)</f>
        <v>29590.041528</v>
      </c>
      <c r="BM37" s="50">
        <f>SUM(BM8:BM36)</f>
        <v>118047.11752799999</v>
      </c>
      <c r="BN37" s="50">
        <f>SUM(BN8:BN36)</f>
        <v>3084.0654743999994</v>
      </c>
      <c r="BO37" s="33"/>
      <c r="BP37" s="50">
        <f>SUM(BP8:BP36)</f>
        <v>459525.64800000004</v>
      </c>
      <c r="BQ37" s="50">
        <f>SUM(BQ8:BQ36)</f>
        <v>153717.30134399998</v>
      </c>
      <c r="BR37" s="50">
        <f>SUM(BR8:BR36)</f>
        <v>613242.949344</v>
      </c>
      <c r="BS37" s="50">
        <f>SUM(BS8:BS36)</f>
        <v>16021.4111712</v>
      </c>
      <c r="BT37" s="33"/>
      <c r="BU37" s="50">
        <f>SUM(BU8:BU36)</f>
        <v>26115.515000000003</v>
      </c>
      <c r="BV37" s="50">
        <f>SUM(BV8:BV36)</f>
        <v>8735.97917</v>
      </c>
      <c r="BW37" s="50">
        <f>SUM(BW8:BW36)</f>
        <v>34851.49417</v>
      </c>
      <c r="BX37" s="50">
        <f>SUM(BX8:BX36)</f>
        <v>910.5202410000002</v>
      </c>
      <c r="BY37" s="33"/>
      <c r="BZ37" s="50">
        <f>SUM(BZ8:BZ36)</f>
        <v>92303.91150000002</v>
      </c>
      <c r="CA37" s="50">
        <f>SUM(CA8:CA36)</f>
        <v>30876.857997000014</v>
      </c>
      <c r="CB37" s="50">
        <f>SUM(CB8:CB36)</f>
        <v>123180.76949699999</v>
      </c>
      <c r="CC37" s="50">
        <f>SUM(CC8:CC36)</f>
        <v>3218.1858080999987</v>
      </c>
      <c r="CD37" s="33"/>
      <c r="CE37" s="50">
        <f>SUM(CE8:CE36)</f>
        <v>335520.5895</v>
      </c>
      <c r="CF37" s="50">
        <f>SUM(CF8:CF36)</f>
        <v>112235.99768100002</v>
      </c>
      <c r="CG37" s="50">
        <f>SUM(CG8:CG36)</f>
        <v>447756.5871810001</v>
      </c>
      <c r="CH37" s="50">
        <f>SUM(CH8:CH36)</f>
        <v>11697.961461299994</v>
      </c>
      <c r="CI37" s="33"/>
      <c r="CJ37" s="50">
        <f>SUM(CJ8:CJ36)</f>
        <v>2291290.6960000005</v>
      </c>
      <c r="CK37" s="50">
        <f>SUM(CK8:CK36)</f>
        <v>766466.5158880001</v>
      </c>
      <c r="CL37" s="50">
        <f>SUM(CL8:CL36)</f>
        <v>3057757.2118880004</v>
      </c>
      <c r="CM37" s="50">
        <f>SUM(CM8:CM36)</f>
        <v>79886.09670240007</v>
      </c>
      <c r="CN37" s="33"/>
      <c r="CO37" s="50">
        <f>SUM(CO8:CO36)</f>
        <v>9482892.5985</v>
      </c>
      <c r="CP37" s="50">
        <f>SUM(CP8:CP36)</f>
        <v>3172150.8157829996</v>
      </c>
      <c r="CQ37" s="50">
        <f>SUM(CQ8:CQ36)</f>
        <v>12655043.414282998</v>
      </c>
      <c r="CR37" s="50">
        <f>SUM(CR8:CR36)</f>
        <v>330622.07098589995</v>
      </c>
      <c r="CS37" s="33"/>
      <c r="CT37" s="50">
        <f>SUM(CT8:CT36)</f>
        <v>1743281.1180000002</v>
      </c>
      <c r="CU37" s="50">
        <f>SUM(CU8:CU36)</f>
        <v>583150.1900040001</v>
      </c>
      <c r="CV37" s="50">
        <f>SUM(CV8:CV36)</f>
        <v>2326431.308004</v>
      </c>
      <c r="CW37" s="50">
        <f>SUM(CW8:CW36)</f>
        <v>60779.683789200026</v>
      </c>
      <c r="CX37" s="33"/>
      <c r="CY37" s="50">
        <f>SUM(CY8:CY36)</f>
        <v>5968429.056500001</v>
      </c>
      <c r="CZ37" s="50">
        <f>SUM(CZ8:CZ36)</f>
        <v>1996517.0863070004</v>
      </c>
      <c r="DA37" s="50">
        <f>SUM(DA8:DA36)</f>
        <v>7964946.142807001</v>
      </c>
      <c r="DB37" s="50">
        <f>SUM(DB8:DB36)</f>
        <v>208089.92137109995</v>
      </c>
      <c r="DC37" s="33"/>
      <c r="DD37" s="50">
        <f>SUM(DD8:DD36)</f>
        <v>1272510.3575000002</v>
      </c>
      <c r="DE37" s="50">
        <f>SUM(DE8:DE36)</f>
        <v>425671.252385</v>
      </c>
      <c r="DF37" s="50">
        <f>SUM(DF8:DF36)</f>
        <v>1698181.6098849997</v>
      </c>
      <c r="DG37" s="50">
        <f>SUM(DG8:DG36)</f>
        <v>44366.210560500025</v>
      </c>
      <c r="DH37" s="33"/>
      <c r="DI37" s="50">
        <f>SUM(DI8:DI36)</f>
        <v>103669.867</v>
      </c>
      <c r="DJ37" s="50">
        <f>SUM(DJ8:DJ36)</f>
        <v>34678.91782600001</v>
      </c>
      <c r="DK37" s="50">
        <f>SUM(DK8:DK36)</f>
        <v>138348.784826</v>
      </c>
      <c r="DL37" s="50">
        <f>SUM(DL8:DL36)</f>
        <v>3614.461069800002</v>
      </c>
      <c r="DM37" s="33"/>
      <c r="DN37" s="50">
        <f>SUM(DN8:DN36)</f>
        <v>123642.52949999999</v>
      </c>
      <c r="DO37" s="50">
        <f>SUM(DO8:DO36)</f>
        <v>41360.033001</v>
      </c>
      <c r="DP37" s="50">
        <f>SUM(DP8:DP36)</f>
        <v>165002.562501</v>
      </c>
      <c r="DQ37" s="50">
        <f>SUM(DQ8:DQ36)</f>
        <v>4310.810097300001</v>
      </c>
      <c r="DR37" s="33"/>
      <c r="DS37" s="50">
        <f>SUM(DS8:DS36)</f>
        <v>252172.487</v>
      </c>
      <c r="DT37" s="50">
        <f>SUM(DT8:DT36)</f>
        <v>84354.97418599998</v>
      </c>
      <c r="DU37" s="50">
        <f>SUM(DU8:DU36)</f>
        <v>336527.46118600003</v>
      </c>
      <c r="DV37" s="50">
        <f>SUM(DV8:DV36)</f>
        <v>8792.020897800003</v>
      </c>
      <c r="DW37" s="33"/>
      <c r="DX37" s="50">
        <f>SUM(DX8:DX36)</f>
        <v>6950728.2360000005</v>
      </c>
      <c r="DY37" s="50">
        <f>SUM(DY8:DY36)</f>
        <v>2325108.928008</v>
      </c>
      <c r="DZ37" s="50">
        <f>SUM(DZ8:DZ36)</f>
        <v>9275837.164008003</v>
      </c>
      <c r="EA37" s="50">
        <f>SUM(EA8:EA36)</f>
        <v>242337.88797840016</v>
      </c>
      <c r="EB37" s="41"/>
      <c r="EC37" s="50">
        <f>SUM(EC8:EC36)</f>
        <v>269949.835</v>
      </c>
      <c r="ED37" s="50">
        <f>SUM(ED8:ED36)</f>
        <v>90301.72812999999</v>
      </c>
      <c r="EE37" s="50">
        <f>SUM(EE8:EE36)</f>
        <v>360251.56312999997</v>
      </c>
      <c r="EF37" s="50">
        <f>SUM(EF8:EF36)</f>
        <v>9411.830049</v>
      </c>
      <c r="EG37" s="33"/>
      <c r="EH37" s="50">
        <f>SUM(EH8:EH36)</f>
        <v>578515.7220000001</v>
      </c>
      <c r="EI37" s="50">
        <f>SUM(EI8:EI36)</f>
        <v>193521.02751600003</v>
      </c>
      <c r="EJ37" s="50">
        <f>SUM(EJ8:EJ36)</f>
        <v>772036.7495160002</v>
      </c>
      <c r="EK37" s="50">
        <f>SUM(EK8:EK36)</f>
        <v>20170.01290679999</v>
      </c>
      <c r="EL37" s="33"/>
      <c r="EM37" s="50">
        <f>SUM(EM8:EM36)</f>
        <v>0</v>
      </c>
      <c r="EN37" s="50">
        <f>SUM(EN8:EN36)</f>
        <v>0</v>
      </c>
      <c r="EO37" s="50">
        <f>SUM(EO8:EO36)</f>
        <v>0</v>
      </c>
    </row>
    <row r="38" spans="18:46" ht="13.5" thickTop="1">
      <c r="R38" s="20"/>
      <c r="S38" s="20"/>
      <c r="T38" s="20"/>
      <c r="U38" s="20"/>
      <c r="W38" s="20"/>
      <c r="X38" s="20"/>
      <c r="Y38" s="20"/>
      <c r="Z38" s="20"/>
      <c r="AG38" s="20"/>
      <c r="AH38" s="20"/>
      <c r="AI38" s="20"/>
      <c r="AJ38" s="20"/>
      <c r="AL38" s="20"/>
      <c r="AM38" s="20"/>
      <c r="AN38" s="20"/>
      <c r="AO38" s="20"/>
      <c r="AQ38" s="20"/>
      <c r="AR38" s="20"/>
      <c r="AS38" s="20"/>
      <c r="AT38" s="20"/>
    </row>
    <row r="39" spans="3:46" ht="12.75">
      <c r="C39" s="35">
        <f>H37+M37</f>
        <v>67135000</v>
      </c>
      <c r="D39" s="35">
        <f>I37+N37</f>
        <v>22457530</v>
      </c>
      <c r="F39" s="35">
        <f>K37+P37</f>
        <v>2340669.0000000005</v>
      </c>
      <c r="N39" s="33"/>
      <c r="R39" s="20"/>
      <c r="S39" s="20"/>
      <c r="T39" s="20"/>
      <c r="U39" s="20"/>
      <c r="W39" s="20"/>
      <c r="X39" s="20"/>
      <c r="Y39" s="20"/>
      <c r="Z39" s="20"/>
      <c r="AG39" s="20"/>
      <c r="AH39" s="20"/>
      <c r="AI39" s="20"/>
      <c r="AJ39" s="20"/>
      <c r="AL39" s="20"/>
      <c r="AM39" s="20"/>
      <c r="AN39" s="20"/>
      <c r="AO39" s="20"/>
      <c r="AQ39" s="20"/>
      <c r="AR39" s="20"/>
      <c r="AS39" s="20"/>
      <c r="AT39" s="20"/>
    </row>
    <row r="40" spans="18:46" ht="12.75">
      <c r="R40" s="20"/>
      <c r="S40" s="20"/>
      <c r="T40" s="20"/>
      <c r="U40" s="20"/>
      <c r="W40" s="20"/>
      <c r="X40" s="20"/>
      <c r="Y40" s="20"/>
      <c r="Z40" s="20"/>
      <c r="AG40" s="20"/>
      <c r="AH40" s="20"/>
      <c r="AI40" s="20"/>
      <c r="AJ40" s="20"/>
      <c r="AL40" s="20"/>
      <c r="AM40" s="20"/>
      <c r="AN40" s="20"/>
      <c r="AO40" s="20"/>
      <c r="AQ40" s="20"/>
      <c r="AR40" s="20"/>
      <c r="AS40" s="20"/>
      <c r="AT40" s="20"/>
    </row>
    <row r="41" spans="18:46" ht="12.75">
      <c r="R41" s="20"/>
      <c r="S41" s="20"/>
      <c r="T41" s="20"/>
      <c r="U41" s="20"/>
      <c r="W41" s="20"/>
      <c r="X41" s="20"/>
      <c r="Y41" s="20"/>
      <c r="Z41" s="20"/>
      <c r="AG41" s="20"/>
      <c r="AH41" s="20"/>
      <c r="AI41" s="20"/>
      <c r="AJ41" s="20"/>
      <c r="AL41" s="20"/>
      <c r="AM41" s="20"/>
      <c r="AN41" s="20"/>
      <c r="AO41" s="20"/>
      <c r="AQ41" s="20"/>
      <c r="AR41" s="20"/>
      <c r="AS41" s="20"/>
      <c r="AT41" s="20"/>
    </row>
    <row r="42" spans="18:46" ht="12.75">
      <c r="R42" s="20"/>
      <c r="S42" s="20"/>
      <c r="T42" s="20"/>
      <c r="U42" s="20"/>
      <c r="W42" s="20"/>
      <c r="X42" s="20"/>
      <c r="Y42" s="20"/>
      <c r="Z42" s="20"/>
      <c r="AG42" s="20"/>
      <c r="AH42" s="20"/>
      <c r="AI42" s="20"/>
      <c r="AJ42" s="20"/>
      <c r="AL42" s="20"/>
      <c r="AM42" s="20"/>
      <c r="AN42" s="20"/>
      <c r="AO42" s="20"/>
      <c r="AQ42" s="20"/>
      <c r="AR42" s="20"/>
      <c r="AS42" s="20"/>
      <c r="AT42" s="20"/>
    </row>
    <row r="43" spans="18:46" ht="12.75">
      <c r="R43" s="20"/>
      <c r="S43" s="20"/>
      <c r="T43" s="20"/>
      <c r="U43" s="20"/>
      <c r="W43" s="20"/>
      <c r="X43" s="20"/>
      <c r="Y43" s="20"/>
      <c r="Z43" s="20"/>
      <c r="AG43" s="20"/>
      <c r="AH43" s="20"/>
      <c r="AI43" s="20"/>
      <c r="AJ43" s="20"/>
      <c r="AL43" s="20"/>
      <c r="AM43" s="20"/>
      <c r="AN43" s="20"/>
      <c r="AO43" s="20"/>
      <c r="AQ43" s="20"/>
      <c r="AR43" s="20"/>
      <c r="AS43" s="20"/>
      <c r="AT43" s="20"/>
    </row>
    <row r="44" spans="18:46" ht="12.75">
      <c r="R44" s="20"/>
      <c r="S44" s="20"/>
      <c r="T44" s="20"/>
      <c r="U44" s="20"/>
      <c r="W44" s="20"/>
      <c r="X44" s="20"/>
      <c r="Y44" s="20"/>
      <c r="Z44" s="20"/>
      <c r="AG44" s="20"/>
      <c r="AH44" s="20"/>
      <c r="AI44" s="20"/>
      <c r="AJ44" s="20"/>
      <c r="AL44" s="20"/>
      <c r="AM44" s="20"/>
      <c r="AN44" s="20"/>
      <c r="AO44" s="20"/>
      <c r="AQ44" s="20"/>
      <c r="AR44" s="20"/>
      <c r="AS44" s="20"/>
      <c r="AT44" s="20"/>
    </row>
    <row r="45" spans="18:46" ht="12.75">
      <c r="R45" s="20"/>
      <c r="S45" s="20"/>
      <c r="T45" s="20"/>
      <c r="U45" s="20"/>
      <c r="W45" s="20"/>
      <c r="X45" s="20"/>
      <c r="Y45" s="20"/>
      <c r="Z45" s="20"/>
      <c r="AG45" s="20"/>
      <c r="AH45" s="20"/>
      <c r="AI45" s="20"/>
      <c r="AJ45" s="20"/>
      <c r="AL45" s="20"/>
      <c r="AM45" s="20"/>
      <c r="AN45" s="20"/>
      <c r="AO45" s="20"/>
      <c r="AQ45" s="20"/>
      <c r="AR45" s="20"/>
      <c r="AS45" s="20"/>
      <c r="AT45" s="20"/>
    </row>
    <row r="46" spans="18:46" ht="12.75">
      <c r="R46" s="20"/>
      <c r="S46" s="20"/>
      <c r="T46" s="20"/>
      <c r="U46" s="20"/>
      <c r="W46" s="20"/>
      <c r="X46" s="20"/>
      <c r="Y46" s="20"/>
      <c r="Z46" s="20"/>
      <c r="AG46" s="20"/>
      <c r="AH46" s="20"/>
      <c r="AI46" s="20"/>
      <c r="AJ46" s="20"/>
      <c r="AL46" s="20"/>
      <c r="AM46" s="20"/>
      <c r="AN46" s="20"/>
      <c r="AO46" s="20"/>
      <c r="AQ46" s="20"/>
      <c r="AR46" s="20"/>
      <c r="AS46" s="20"/>
      <c r="AT46" s="20"/>
    </row>
    <row r="47" spans="18:46" ht="12.75">
      <c r="R47" s="20"/>
      <c r="S47" s="20"/>
      <c r="T47" s="20"/>
      <c r="U47" s="20"/>
      <c r="W47" s="20"/>
      <c r="X47" s="20"/>
      <c r="Y47" s="20"/>
      <c r="Z47" s="20"/>
      <c r="AG47" s="20"/>
      <c r="AH47" s="20"/>
      <c r="AI47" s="20"/>
      <c r="AJ47" s="20"/>
      <c r="AL47" s="20"/>
      <c r="AM47" s="20"/>
      <c r="AN47" s="20"/>
      <c r="AO47" s="20"/>
      <c r="AQ47" s="20"/>
      <c r="AR47" s="20"/>
      <c r="AS47" s="20"/>
      <c r="AT47" s="20"/>
    </row>
    <row r="48" spans="18:46" ht="12.75">
      <c r="R48" s="20"/>
      <c r="S48" s="20"/>
      <c r="T48" s="20"/>
      <c r="U48" s="20"/>
      <c r="W48" s="20"/>
      <c r="X48" s="20"/>
      <c r="Y48" s="20"/>
      <c r="Z48" s="20"/>
      <c r="AG48" s="20"/>
      <c r="AH48" s="20"/>
      <c r="AI48" s="20"/>
      <c r="AJ48" s="20"/>
      <c r="AL48" s="20"/>
      <c r="AM48" s="20"/>
      <c r="AN48" s="20"/>
      <c r="AO48" s="20"/>
      <c r="AQ48" s="20"/>
      <c r="AR48" s="20"/>
      <c r="AS48" s="20"/>
      <c r="AT48" s="20"/>
    </row>
    <row r="49" spans="1:46" ht="12.75">
      <c r="A49" s="19"/>
      <c r="R49" s="20"/>
      <c r="S49" s="20"/>
      <c r="T49" s="20"/>
      <c r="U49" s="20"/>
      <c r="W49" s="20"/>
      <c r="X49" s="20"/>
      <c r="Y49" s="20"/>
      <c r="Z49" s="20"/>
      <c r="AG49" s="20"/>
      <c r="AH49" s="20"/>
      <c r="AI49" s="20"/>
      <c r="AJ49" s="20"/>
      <c r="AL49" s="20"/>
      <c r="AM49" s="20"/>
      <c r="AN49" s="20"/>
      <c r="AO49" s="20"/>
      <c r="AQ49" s="20"/>
      <c r="AR49" s="20"/>
      <c r="AS49" s="20"/>
      <c r="AT49" s="20"/>
    </row>
    <row r="50" spans="1:46" ht="12.75">
      <c r="A50" s="19"/>
      <c r="L50" s="33"/>
      <c r="R50" s="20"/>
      <c r="S50" s="20"/>
      <c r="T50" s="20"/>
      <c r="U50" s="20"/>
      <c r="W50" s="20"/>
      <c r="X50" s="20"/>
      <c r="Y50" s="20"/>
      <c r="Z50" s="20"/>
      <c r="AG50" s="20"/>
      <c r="AH50" s="20"/>
      <c r="AI50" s="20"/>
      <c r="AJ50" s="20"/>
      <c r="AL50" s="20"/>
      <c r="AM50" s="20"/>
      <c r="AN50" s="20"/>
      <c r="AO50" s="20"/>
      <c r="AQ50" s="20"/>
      <c r="AR50" s="20"/>
      <c r="AS50" s="20"/>
      <c r="AT50" s="20"/>
    </row>
    <row r="51" spans="18:46" ht="12.75">
      <c r="R51" s="20"/>
      <c r="S51" s="20"/>
      <c r="T51" s="20"/>
      <c r="U51" s="20"/>
      <c r="W51" s="20"/>
      <c r="X51" s="20"/>
      <c r="Y51" s="20"/>
      <c r="Z51" s="20"/>
      <c r="AG51" s="20"/>
      <c r="AH51" s="20"/>
      <c r="AI51" s="20"/>
      <c r="AJ51" s="20"/>
      <c r="AL51" s="20"/>
      <c r="AM51" s="20"/>
      <c r="AN51" s="20"/>
      <c r="AO51" s="20"/>
      <c r="AQ51" s="20"/>
      <c r="AR51" s="20"/>
      <c r="AS51" s="20"/>
      <c r="AT51" s="20"/>
    </row>
    <row r="52" spans="18:46" ht="12.75">
      <c r="R52" s="20"/>
      <c r="S52" s="20"/>
      <c r="T52" s="20"/>
      <c r="U52" s="20"/>
      <c r="W52" s="20"/>
      <c r="X52" s="20"/>
      <c r="Y52" s="20"/>
      <c r="Z52" s="20"/>
      <c r="AG52" s="20"/>
      <c r="AH52" s="20"/>
      <c r="AI52" s="20"/>
      <c r="AJ52" s="20"/>
      <c r="AL52" s="20"/>
      <c r="AM52" s="20"/>
      <c r="AN52" s="20"/>
      <c r="AO52" s="20"/>
      <c r="AQ52" s="20"/>
      <c r="AR52" s="20"/>
      <c r="AS52" s="20"/>
      <c r="AT52" s="20"/>
    </row>
    <row r="53" spans="18:46" ht="12.75">
      <c r="R53" s="20"/>
      <c r="S53" s="20"/>
      <c r="T53" s="20"/>
      <c r="U53" s="20"/>
      <c r="W53" s="20"/>
      <c r="X53" s="20"/>
      <c r="Y53" s="20"/>
      <c r="Z53" s="20"/>
      <c r="AG53" s="20"/>
      <c r="AH53" s="20"/>
      <c r="AI53" s="20"/>
      <c r="AJ53" s="20"/>
      <c r="AL53" s="20"/>
      <c r="AM53" s="20"/>
      <c r="AN53" s="20"/>
      <c r="AO53" s="20"/>
      <c r="AQ53" s="20"/>
      <c r="AR53" s="20"/>
      <c r="AS53" s="20"/>
      <c r="AT53" s="20"/>
    </row>
    <row r="54" spans="18:46" ht="12.75">
      <c r="R54" s="20"/>
      <c r="S54" s="20"/>
      <c r="T54" s="20"/>
      <c r="U54" s="20"/>
      <c r="W54" s="20"/>
      <c r="X54" s="20"/>
      <c r="Y54" s="20"/>
      <c r="Z54" s="20"/>
      <c r="AG54" s="20"/>
      <c r="AH54" s="20"/>
      <c r="AI54" s="20"/>
      <c r="AJ54" s="20"/>
      <c r="AL54" s="20"/>
      <c r="AM54" s="20"/>
      <c r="AN54" s="20"/>
      <c r="AO54" s="20"/>
      <c r="AQ54" s="20"/>
      <c r="AR54" s="20"/>
      <c r="AS54" s="20"/>
      <c r="AT54" s="20"/>
    </row>
    <row r="55" spans="18:46" ht="12.75">
      <c r="R55" s="20"/>
      <c r="S55" s="20"/>
      <c r="T55" s="20"/>
      <c r="U55" s="20"/>
      <c r="W55" s="20"/>
      <c r="X55" s="20"/>
      <c r="Y55" s="20"/>
      <c r="Z55" s="20"/>
      <c r="AG55" s="20"/>
      <c r="AH55" s="20"/>
      <c r="AI55" s="20"/>
      <c r="AJ55" s="20"/>
      <c r="AL55" s="20"/>
      <c r="AM55" s="20"/>
      <c r="AN55" s="20"/>
      <c r="AO55" s="20"/>
      <c r="AQ55" s="20"/>
      <c r="AR55" s="20"/>
      <c r="AS55" s="20"/>
      <c r="AT55" s="20"/>
    </row>
    <row r="56" spans="18:46" ht="12.75">
      <c r="R56" s="20"/>
      <c r="S56" s="20"/>
      <c r="T56" s="20"/>
      <c r="U56" s="20"/>
      <c r="W56" s="20"/>
      <c r="X56" s="20"/>
      <c r="Y56" s="20"/>
      <c r="Z56" s="20"/>
      <c r="AG56" s="20"/>
      <c r="AH56" s="20"/>
      <c r="AI56" s="20"/>
      <c r="AJ56" s="20"/>
      <c r="AL56" s="20"/>
      <c r="AM56" s="20"/>
      <c r="AN56" s="20"/>
      <c r="AO56" s="20"/>
      <c r="AQ56" s="20"/>
      <c r="AR56" s="20"/>
      <c r="AS56" s="20"/>
      <c r="AT56" s="20"/>
    </row>
    <row r="57" spans="18:46" ht="12.75">
      <c r="R57" s="20"/>
      <c r="S57" s="20"/>
      <c r="T57" s="20"/>
      <c r="U57" s="20"/>
      <c r="W57" s="20"/>
      <c r="X57" s="20"/>
      <c r="Y57" s="20"/>
      <c r="Z57" s="20"/>
      <c r="AG57" s="20"/>
      <c r="AH57" s="20"/>
      <c r="AI57" s="20"/>
      <c r="AJ57" s="20"/>
      <c r="AL57" s="20"/>
      <c r="AM57" s="20"/>
      <c r="AN57" s="20"/>
      <c r="AO57" s="20"/>
      <c r="AQ57" s="20"/>
      <c r="AR57" s="20"/>
      <c r="AS57" s="20"/>
      <c r="AT57" s="20"/>
    </row>
    <row r="58" spans="18:46" ht="12.75">
      <c r="R58" s="20"/>
      <c r="S58" s="20"/>
      <c r="T58" s="20"/>
      <c r="U58" s="20"/>
      <c r="W58" s="20"/>
      <c r="X58" s="20"/>
      <c r="Y58" s="20"/>
      <c r="Z58" s="20"/>
      <c r="AG58" s="20"/>
      <c r="AH58" s="20"/>
      <c r="AI58" s="20"/>
      <c r="AJ58" s="20"/>
      <c r="AL58" s="20"/>
      <c r="AM58" s="20"/>
      <c r="AN58" s="20"/>
      <c r="AO58" s="20"/>
      <c r="AQ58" s="20"/>
      <c r="AR58" s="20"/>
      <c r="AS58" s="20"/>
      <c r="AT58" s="20"/>
    </row>
    <row r="59" spans="18:46" ht="12.75">
      <c r="R59" s="20"/>
      <c r="S59" s="20"/>
      <c r="T59" s="20"/>
      <c r="U59" s="20"/>
      <c r="W59" s="20"/>
      <c r="X59" s="20"/>
      <c r="Y59" s="20"/>
      <c r="Z59" s="20"/>
      <c r="AG59" s="20"/>
      <c r="AH59" s="20"/>
      <c r="AI59" s="20"/>
      <c r="AJ59" s="20"/>
      <c r="AL59" s="20"/>
      <c r="AM59" s="20"/>
      <c r="AN59" s="20"/>
      <c r="AO59" s="20"/>
      <c r="AQ59" s="20"/>
      <c r="AR59" s="20"/>
      <c r="AS59" s="20"/>
      <c r="AT59" s="20"/>
    </row>
    <row r="60" spans="18:46" ht="12.75">
      <c r="R60" s="20"/>
      <c r="S60" s="20"/>
      <c r="T60" s="20"/>
      <c r="U60" s="20"/>
      <c r="W60" s="20"/>
      <c r="X60" s="20"/>
      <c r="Y60" s="20"/>
      <c r="Z60" s="20"/>
      <c r="AG60" s="20"/>
      <c r="AH60" s="20"/>
      <c r="AI60" s="20"/>
      <c r="AJ60" s="20"/>
      <c r="AL60" s="20"/>
      <c r="AM60" s="20"/>
      <c r="AN60" s="20"/>
      <c r="AO60" s="20"/>
      <c r="AQ60" s="20"/>
      <c r="AR60" s="20"/>
      <c r="AS60" s="20"/>
      <c r="AT60" s="20"/>
    </row>
    <row r="61" spans="18:46" ht="12.75">
      <c r="R61" s="20"/>
      <c r="S61" s="20"/>
      <c r="T61" s="20"/>
      <c r="U61" s="20"/>
      <c r="W61" s="20"/>
      <c r="X61" s="20"/>
      <c r="Y61" s="20"/>
      <c r="Z61" s="20"/>
      <c r="AG61" s="20"/>
      <c r="AH61" s="20"/>
      <c r="AI61" s="20"/>
      <c r="AJ61" s="20"/>
      <c r="AL61" s="20"/>
      <c r="AM61" s="20"/>
      <c r="AN61" s="20"/>
      <c r="AO61" s="20"/>
      <c r="AQ61" s="20"/>
      <c r="AR61" s="20"/>
      <c r="AS61" s="20"/>
      <c r="AT61" s="20"/>
    </row>
    <row r="62" spans="18:46" ht="12.75">
      <c r="R62" s="20"/>
      <c r="S62" s="20"/>
      <c r="T62" s="20"/>
      <c r="U62" s="20"/>
      <c r="W62" s="20"/>
      <c r="X62" s="20"/>
      <c r="Y62" s="20"/>
      <c r="Z62" s="20"/>
      <c r="AG62" s="20"/>
      <c r="AH62" s="20"/>
      <c r="AI62" s="20"/>
      <c r="AJ62" s="20"/>
      <c r="AL62" s="20"/>
      <c r="AM62" s="20"/>
      <c r="AN62" s="20"/>
      <c r="AO62" s="20"/>
      <c r="AQ62" s="20"/>
      <c r="AR62" s="20"/>
      <c r="AS62" s="20"/>
      <c r="AT62" s="20"/>
    </row>
    <row r="63" spans="18:46" ht="12.75">
      <c r="R63" s="20"/>
      <c r="S63" s="20"/>
      <c r="T63" s="20"/>
      <c r="U63" s="20"/>
      <c r="W63" s="20"/>
      <c r="X63" s="20"/>
      <c r="Y63" s="20"/>
      <c r="Z63" s="20"/>
      <c r="AG63" s="20"/>
      <c r="AH63" s="20"/>
      <c r="AI63" s="20"/>
      <c r="AJ63" s="20"/>
      <c r="AL63" s="20"/>
      <c r="AM63" s="20"/>
      <c r="AN63" s="20"/>
      <c r="AO63" s="20"/>
      <c r="AQ63" s="20"/>
      <c r="AR63" s="20"/>
      <c r="AS63" s="20"/>
      <c r="AT63" s="20"/>
    </row>
    <row r="64" spans="18:46" ht="12.75">
      <c r="R64" s="20"/>
      <c r="S64" s="20"/>
      <c r="T64" s="20"/>
      <c r="U64" s="20"/>
      <c r="W64" s="20"/>
      <c r="X64" s="20"/>
      <c r="Y64" s="20"/>
      <c r="Z64" s="20"/>
      <c r="AG64" s="20"/>
      <c r="AH64" s="20"/>
      <c r="AI64" s="20"/>
      <c r="AJ64" s="20"/>
      <c r="AL64" s="20"/>
      <c r="AM64" s="20"/>
      <c r="AN64" s="20"/>
      <c r="AO64" s="20"/>
      <c r="AQ64" s="20"/>
      <c r="AR64" s="20"/>
      <c r="AS64" s="20"/>
      <c r="AT64" s="20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</sheetData>
  <sheetProtection/>
  <printOptions/>
  <pageMargins left="0.5" right="0" top="0.25" bottom="0.25" header="0" footer="0"/>
  <pageSetup horizontalDpi="600" verticalDpi="600" orientation="landscape" scale="89"/>
  <headerFooter alignWithMargins="0">
    <oddFooter>&amp;CPage &amp;P of &amp;N&amp;R&amp;D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A77"/>
  <sheetViews>
    <sheetView zoomScale="150" zoomScaleNormal="150" zoomScalePageLayoutView="0" workbookViewId="0" topLeftCell="A1">
      <pane xSplit="1" ySplit="7" topLeftCell="K1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20" sqref="O20"/>
    </sheetView>
  </sheetViews>
  <sheetFormatPr defaultColWidth="8.8515625" defaultRowHeight="12.75"/>
  <cols>
    <col min="1" max="1" width="9.7109375" style="31" customWidth="1"/>
    <col min="2" max="2" width="3.7109375" style="0" hidden="1" customWidth="1"/>
    <col min="3" max="10" width="13.7109375" style="35" hidden="1" customWidth="1"/>
    <col min="11" max="11" width="3.7109375" style="33" customWidth="1"/>
    <col min="12" max="15" width="13.7109375" style="33" customWidth="1"/>
    <col min="16" max="16" width="3.7109375" style="33" customWidth="1"/>
    <col min="17" max="20" width="12.7109375" style="33" customWidth="1"/>
    <col min="21" max="21" width="3.7109375" style="33" customWidth="1"/>
    <col min="22" max="25" width="13.7109375" style="33" customWidth="1"/>
    <col min="26" max="26" width="3.7109375" style="33" customWidth="1"/>
    <col min="27" max="30" width="13.7109375" style="33" customWidth="1"/>
    <col min="31" max="31" width="3.7109375" style="33" customWidth="1"/>
    <col min="32" max="35" width="12.7109375" style="33" customWidth="1"/>
    <col min="36" max="36" width="3.7109375" style="33" customWidth="1"/>
    <col min="37" max="38" width="12.7109375" style="33" customWidth="1"/>
    <col min="39" max="40" width="13.7109375" style="33" customWidth="1"/>
    <col min="41" max="41" width="3.7109375" style="33" customWidth="1"/>
    <col min="42" max="45" width="13.7109375" style="33" customWidth="1"/>
    <col min="46" max="46" width="3.7109375" style="33" customWidth="1"/>
    <col min="47" max="49" width="13.7109375" style="33" customWidth="1"/>
    <col min="50" max="50" width="12.00390625" style="33" customWidth="1"/>
    <col min="51" max="51" width="3.7109375" style="33" customWidth="1"/>
    <col min="52" max="55" width="12.7109375" style="33" customWidth="1"/>
    <col min="56" max="56" width="3.7109375" style="33" customWidth="1"/>
    <col min="57" max="60" width="13.7109375" style="33" customWidth="1"/>
    <col min="61" max="61" width="3.7109375" style="33" customWidth="1"/>
    <col min="62" max="65" width="13.7109375" style="33" customWidth="1"/>
    <col min="66" max="66" width="3.7109375" style="33" customWidth="1"/>
    <col min="67" max="67" width="10.28125" style="33" bestFit="1" customWidth="1"/>
    <col min="68" max="68" width="9.421875" style="33" bestFit="1" customWidth="1"/>
    <col min="69" max="69" width="10.28125" style="33" bestFit="1" customWidth="1"/>
    <col min="70" max="70" width="12.421875" style="33" customWidth="1"/>
    <col min="71" max="71" width="3.7109375" style="33" customWidth="1"/>
    <col min="72" max="75" width="12.7109375" style="33" customWidth="1"/>
    <col min="76" max="76" width="3.7109375" style="33" customWidth="1"/>
    <col min="77" max="80" width="13.7109375" style="33" customWidth="1"/>
    <col min="81" max="81" width="3.7109375" style="33" customWidth="1"/>
    <col min="82" max="85" width="13.7109375" style="33" customWidth="1"/>
    <col min="86" max="86" width="3.7109375" style="33" customWidth="1"/>
    <col min="87" max="90" width="13.7109375" style="33" customWidth="1"/>
    <col min="91" max="91" width="3.7109375" style="33" customWidth="1"/>
    <col min="92" max="95" width="13.7109375" style="33" customWidth="1"/>
    <col min="96" max="96" width="3.7109375" style="33" customWidth="1"/>
    <col min="97" max="100" width="13.7109375" style="33" customWidth="1"/>
    <col min="101" max="101" width="3.7109375" style="33" customWidth="1"/>
    <col min="102" max="105" width="13.7109375" style="33" customWidth="1"/>
    <col min="106" max="106" width="3.7109375" style="33" customWidth="1"/>
    <col min="107" max="110" width="13.7109375" style="33" customWidth="1"/>
    <col min="111" max="111" width="3.7109375" style="33" customWidth="1"/>
    <col min="112" max="115" width="13.7109375" style="33" customWidth="1"/>
    <col min="116" max="116" width="3.7109375" style="33" customWidth="1"/>
    <col min="117" max="120" width="13.7109375" style="33" customWidth="1"/>
    <col min="121" max="121" width="3.7109375" style="33" customWidth="1"/>
    <col min="122" max="125" width="13.7109375" style="33" customWidth="1"/>
    <col min="126" max="126" width="3.7109375" style="33" customWidth="1"/>
    <col min="127" max="130" width="13.7109375" style="33" customWidth="1"/>
    <col min="131" max="131" width="3.7109375" style="33" customWidth="1"/>
  </cols>
  <sheetData>
    <row r="1" spans="2:127" ht="12.75">
      <c r="B1" s="30"/>
      <c r="D1" s="44"/>
      <c r="E1" s="44" t="s">
        <v>139</v>
      </c>
      <c r="G1" s="44"/>
      <c r="H1" s="44"/>
      <c r="L1" s="44"/>
      <c r="Q1" s="44" t="s">
        <v>139</v>
      </c>
      <c r="V1" s="44"/>
      <c r="AA1" s="44"/>
      <c r="AF1" s="44" t="s">
        <v>139</v>
      </c>
      <c r="AK1" s="44"/>
      <c r="AU1" s="44" t="s">
        <v>139</v>
      </c>
      <c r="AZ1" s="44"/>
      <c r="BJ1" s="44" t="s">
        <v>139</v>
      </c>
      <c r="BT1" s="44"/>
      <c r="CD1" s="44" t="s">
        <v>139</v>
      </c>
      <c r="CI1" s="44"/>
      <c r="CS1" s="44" t="s">
        <v>139</v>
      </c>
      <c r="DC1" s="44"/>
      <c r="DH1" s="44" t="s">
        <v>139</v>
      </c>
      <c r="DW1" s="44" t="s">
        <v>139</v>
      </c>
    </row>
    <row r="2" spans="2:127" ht="12.75">
      <c r="B2" s="30"/>
      <c r="D2" s="44"/>
      <c r="E2" s="42" t="s">
        <v>140</v>
      </c>
      <c r="G2" s="44"/>
      <c r="H2" s="44"/>
      <c r="L2" s="44"/>
      <c r="Q2" s="42" t="s">
        <v>140</v>
      </c>
      <c r="V2" s="44"/>
      <c r="AA2" s="44"/>
      <c r="AF2" s="42" t="s">
        <v>140</v>
      </c>
      <c r="AK2" s="44"/>
      <c r="AU2" s="42" t="s">
        <v>140</v>
      </c>
      <c r="AZ2" s="44"/>
      <c r="BJ2" s="42" t="s">
        <v>140</v>
      </c>
      <c r="BT2" s="44"/>
      <c r="CD2" s="42" t="s">
        <v>140</v>
      </c>
      <c r="CI2" s="44"/>
      <c r="CS2" s="42" t="s">
        <v>140</v>
      </c>
      <c r="DC2" s="44"/>
      <c r="DH2" s="42" t="s">
        <v>140</v>
      </c>
      <c r="DW2" s="42" t="s">
        <v>140</v>
      </c>
    </row>
    <row r="3" spans="2:127" ht="12.75">
      <c r="B3" s="30"/>
      <c r="D3" s="42"/>
      <c r="E3" s="44" t="s">
        <v>138</v>
      </c>
      <c r="G3" s="42"/>
      <c r="H3" s="42"/>
      <c r="L3" s="44"/>
      <c r="Q3" s="44" t="s">
        <v>147</v>
      </c>
      <c r="V3" s="44"/>
      <c r="AA3" s="44"/>
      <c r="AF3" s="44" t="s">
        <v>138</v>
      </c>
      <c r="AK3" s="44"/>
      <c r="AU3" s="44" t="s">
        <v>138</v>
      </c>
      <c r="AZ3" s="44"/>
      <c r="BJ3" s="44" t="s">
        <v>138</v>
      </c>
      <c r="BT3" s="44"/>
      <c r="CD3" s="44" t="s">
        <v>138</v>
      </c>
      <c r="CI3" s="44"/>
      <c r="CS3" s="44" t="s">
        <v>138</v>
      </c>
      <c r="DC3" s="44"/>
      <c r="DH3" s="44" t="s">
        <v>138</v>
      </c>
      <c r="DW3" s="44" t="s">
        <v>138</v>
      </c>
    </row>
    <row r="4" spans="2:8" ht="12.75">
      <c r="B4" s="30"/>
      <c r="C4" s="42"/>
      <c r="D4" s="44"/>
      <c r="E4" s="44"/>
      <c r="F4" s="44"/>
      <c r="G4" s="44"/>
      <c r="H4" s="44"/>
    </row>
    <row r="5" spans="1:130" ht="12.75">
      <c r="A5" s="21" t="s">
        <v>9</v>
      </c>
      <c r="C5" s="47" t="s">
        <v>114</v>
      </c>
      <c r="D5" s="48"/>
      <c r="E5" s="48"/>
      <c r="F5" s="48"/>
      <c r="G5" s="47" t="s">
        <v>141</v>
      </c>
      <c r="H5" s="48"/>
      <c r="I5" s="49"/>
      <c r="J5" s="49"/>
      <c r="L5" s="36" t="s">
        <v>146</v>
      </c>
      <c r="M5" s="37"/>
      <c r="N5" s="38"/>
      <c r="O5" s="49"/>
      <c r="Q5" s="61" t="s">
        <v>106</v>
      </c>
      <c r="R5" s="70"/>
      <c r="S5" s="38"/>
      <c r="T5" s="49"/>
      <c r="V5" s="61" t="s">
        <v>107</v>
      </c>
      <c r="W5" s="70"/>
      <c r="X5" s="38"/>
      <c r="Y5" s="49"/>
      <c r="AA5" s="61" t="s">
        <v>129</v>
      </c>
      <c r="AB5" s="70"/>
      <c r="AC5" s="38"/>
      <c r="AD5" s="49"/>
      <c r="AF5" s="82" t="s">
        <v>144</v>
      </c>
      <c r="AG5" s="70"/>
      <c r="AH5" s="38"/>
      <c r="AI5" s="49"/>
      <c r="AJ5" s="62"/>
      <c r="AK5" s="61" t="s">
        <v>108</v>
      </c>
      <c r="AL5" s="70"/>
      <c r="AM5" s="38"/>
      <c r="AN5" s="49"/>
      <c r="AP5" s="61" t="s">
        <v>130</v>
      </c>
      <c r="AQ5" s="70"/>
      <c r="AR5" s="38"/>
      <c r="AS5" s="49"/>
      <c r="AU5" s="61" t="s">
        <v>109</v>
      </c>
      <c r="AV5" s="70"/>
      <c r="AW5" s="38"/>
      <c r="AX5" s="49"/>
      <c r="AZ5" s="61" t="s">
        <v>76</v>
      </c>
      <c r="BA5" s="70"/>
      <c r="BB5" s="38"/>
      <c r="BC5" s="49"/>
      <c r="BE5" s="36" t="s">
        <v>23</v>
      </c>
      <c r="BF5" s="37"/>
      <c r="BG5" s="38"/>
      <c r="BH5" s="49"/>
      <c r="BJ5" s="36" t="s">
        <v>63</v>
      </c>
      <c r="BK5" s="37"/>
      <c r="BL5" s="38"/>
      <c r="BM5" s="49"/>
      <c r="BN5" s="62"/>
      <c r="BO5" s="82" t="s">
        <v>145</v>
      </c>
      <c r="BP5" s="70"/>
      <c r="BQ5" s="38"/>
      <c r="BR5" s="83"/>
      <c r="BS5" s="75"/>
      <c r="BT5" s="36" t="s">
        <v>77</v>
      </c>
      <c r="BU5" s="37"/>
      <c r="BV5" s="38"/>
      <c r="BW5" s="49"/>
      <c r="BX5" s="75"/>
      <c r="BY5" s="36" t="s">
        <v>64</v>
      </c>
      <c r="BZ5" s="37"/>
      <c r="CA5" s="38"/>
      <c r="CB5" s="49"/>
      <c r="CC5" s="75"/>
      <c r="CD5" s="36" t="s">
        <v>110</v>
      </c>
      <c r="CE5" s="37"/>
      <c r="CF5" s="38"/>
      <c r="CG5" s="49"/>
      <c r="CI5" s="36" t="s">
        <v>58</v>
      </c>
      <c r="CJ5" s="37"/>
      <c r="CK5" s="38"/>
      <c r="CL5" s="49"/>
      <c r="CN5" s="61" t="s">
        <v>111</v>
      </c>
      <c r="CO5" s="70"/>
      <c r="CP5" s="38"/>
      <c r="CQ5" s="49"/>
      <c r="CS5" s="61" t="s">
        <v>131</v>
      </c>
      <c r="CT5" s="70"/>
      <c r="CU5" s="38"/>
      <c r="CV5" s="49"/>
      <c r="CX5" s="36" t="s">
        <v>25</v>
      </c>
      <c r="CY5" s="70"/>
      <c r="CZ5" s="38"/>
      <c r="DA5" s="49"/>
      <c r="DB5" s="62"/>
      <c r="DC5" s="61" t="s">
        <v>132</v>
      </c>
      <c r="DD5" s="37"/>
      <c r="DE5" s="38"/>
      <c r="DF5" s="49"/>
      <c r="DG5" s="75"/>
      <c r="DH5" s="36" t="s">
        <v>65</v>
      </c>
      <c r="DI5" s="70"/>
      <c r="DJ5" s="38"/>
      <c r="DK5" s="49"/>
      <c r="DM5" s="36" t="s">
        <v>66</v>
      </c>
      <c r="DN5" s="70"/>
      <c r="DO5" s="38"/>
      <c r="DP5" s="49"/>
      <c r="DR5" s="36" t="s">
        <v>67</v>
      </c>
      <c r="DS5" s="70"/>
      <c r="DT5" s="38"/>
      <c r="DU5" s="49"/>
      <c r="DW5" s="36" t="s">
        <v>68</v>
      </c>
      <c r="DX5" s="70"/>
      <c r="DY5" s="38"/>
      <c r="DZ5" s="49"/>
    </row>
    <row r="6" spans="1:131" s="12" customFormat="1" ht="12.75">
      <c r="A6" s="45" t="s">
        <v>10</v>
      </c>
      <c r="C6" s="39"/>
      <c r="D6" s="37"/>
      <c r="E6" s="37"/>
      <c r="F6" s="37"/>
      <c r="G6" s="37"/>
      <c r="H6" s="37"/>
      <c r="I6" s="38"/>
      <c r="J6" s="80" t="s">
        <v>142</v>
      </c>
      <c r="K6" s="33"/>
      <c r="L6" s="69"/>
      <c r="M6" s="64">
        <f>R6+W6+AL6+AV6+AG6+BA6+BF6+BK6+BU6+BZ6+CE6+CJ6+CO6+CY6+DI6+DN6+DS6+DX6+AB6+AQ6+CT6+DD6</f>
        <v>0.3214387</v>
      </c>
      <c r="N6" s="74"/>
      <c r="O6" s="80" t="s">
        <v>142</v>
      </c>
      <c r="P6" s="33"/>
      <c r="Q6" s="68"/>
      <c r="R6" s="12">
        <v>0.044191</v>
      </c>
      <c r="S6" s="74"/>
      <c r="T6" s="80" t="s">
        <v>142</v>
      </c>
      <c r="U6" s="33"/>
      <c r="V6" s="68"/>
      <c r="W6" s="12">
        <v>0.04509</v>
      </c>
      <c r="X6" s="74"/>
      <c r="Y6" s="80" t="s">
        <v>142</v>
      </c>
      <c r="Z6" s="33"/>
      <c r="AA6" s="68"/>
      <c r="AB6" s="12">
        <v>0.0015077</v>
      </c>
      <c r="AC6" s="74"/>
      <c r="AD6" s="80" t="s">
        <v>142</v>
      </c>
      <c r="AE6" s="33"/>
      <c r="AF6" s="68"/>
      <c r="AG6" s="12">
        <v>0.00056</v>
      </c>
      <c r="AH6" s="74"/>
      <c r="AI6" s="80" t="s">
        <v>142</v>
      </c>
      <c r="AJ6" s="79"/>
      <c r="AK6" s="68"/>
      <c r="AL6" s="12">
        <v>0.0084871</v>
      </c>
      <c r="AM6" s="74"/>
      <c r="AN6" s="80" t="s">
        <v>142</v>
      </c>
      <c r="AO6" s="33"/>
      <c r="AP6" s="68"/>
      <c r="AQ6" s="12">
        <v>0.0021535</v>
      </c>
      <c r="AR6" s="74"/>
      <c r="AS6" s="80" t="s">
        <v>142</v>
      </c>
      <c r="AT6" s="33"/>
      <c r="AU6" s="68"/>
      <c r="AV6" s="12">
        <v>0.0023048</v>
      </c>
      <c r="AW6" s="74"/>
      <c r="AX6" s="80" t="s">
        <v>142</v>
      </c>
      <c r="AY6" s="33"/>
      <c r="AZ6" s="68"/>
      <c r="BA6" s="12">
        <v>0.0023361</v>
      </c>
      <c r="BB6" s="74"/>
      <c r="BC6" s="80" t="s">
        <v>142</v>
      </c>
      <c r="BD6" s="33"/>
      <c r="BE6" s="68"/>
      <c r="BF6" s="64">
        <v>0.0004643</v>
      </c>
      <c r="BG6" s="74"/>
      <c r="BH6" s="80" t="s">
        <v>142</v>
      </c>
      <c r="BI6" s="33"/>
      <c r="BJ6" s="68"/>
      <c r="BK6" s="64">
        <v>0.0037681</v>
      </c>
      <c r="BL6" s="74"/>
      <c r="BM6" s="80" t="s">
        <v>142</v>
      </c>
      <c r="BN6" s="62"/>
      <c r="BO6" s="68"/>
      <c r="BP6" s="12">
        <v>0.00011480000000000008</v>
      </c>
      <c r="BQ6" s="74"/>
      <c r="BR6" s="80" t="s">
        <v>142</v>
      </c>
      <c r="BS6" s="75"/>
      <c r="BT6" s="68"/>
      <c r="BU6" s="64">
        <v>0.0033006</v>
      </c>
      <c r="BV6" s="74"/>
      <c r="BW6" s="80" t="s">
        <v>142</v>
      </c>
      <c r="BX6" s="75"/>
      <c r="BY6" s="68"/>
      <c r="BZ6" s="64">
        <v>0.0020777</v>
      </c>
      <c r="CA6" s="74"/>
      <c r="CB6" s="80" t="s">
        <v>142</v>
      </c>
      <c r="CC6" s="41"/>
      <c r="CD6" s="68"/>
      <c r="CE6" s="64">
        <v>0.0795762</v>
      </c>
      <c r="CF6" s="74"/>
      <c r="CG6" s="80" t="s">
        <v>142</v>
      </c>
      <c r="CH6" s="33"/>
      <c r="CI6" s="68"/>
      <c r="CJ6" s="64">
        <v>0.0009082</v>
      </c>
      <c r="CK6" s="74"/>
      <c r="CL6" s="80" t="s">
        <v>142</v>
      </c>
      <c r="CM6" s="33"/>
      <c r="CN6" s="68"/>
      <c r="CO6" s="12">
        <v>0.1109436</v>
      </c>
      <c r="CP6" s="74"/>
      <c r="CQ6" s="80" t="s">
        <v>142</v>
      </c>
      <c r="CR6" s="33"/>
      <c r="CS6" s="68"/>
      <c r="CT6" s="12">
        <v>0.00107</v>
      </c>
      <c r="CU6" s="74"/>
      <c r="CV6" s="80" t="s">
        <v>142</v>
      </c>
      <c r="CW6" s="33"/>
      <c r="CX6" s="68"/>
      <c r="CY6" s="12">
        <v>0.0007401</v>
      </c>
      <c r="CZ6" s="74"/>
      <c r="DA6" s="80" t="s">
        <v>142</v>
      </c>
      <c r="DB6" s="62"/>
      <c r="DC6" s="68"/>
      <c r="DD6" s="64">
        <v>0.0004564</v>
      </c>
      <c r="DE6" s="74"/>
      <c r="DF6" s="80" t="s">
        <v>142</v>
      </c>
      <c r="DG6" s="41"/>
      <c r="DH6" s="54"/>
      <c r="DI6" s="12">
        <v>1.14E-05</v>
      </c>
      <c r="DJ6" s="74"/>
      <c r="DK6" s="80" t="s">
        <v>142</v>
      </c>
      <c r="DL6" s="33"/>
      <c r="DM6" s="68"/>
      <c r="DN6" s="12">
        <v>0.0028093</v>
      </c>
      <c r="DO6" s="74"/>
      <c r="DP6" s="80" t="s">
        <v>142</v>
      </c>
      <c r="DQ6" s="33"/>
      <c r="DR6" s="68"/>
      <c r="DS6" s="12">
        <v>0.0067558</v>
      </c>
      <c r="DT6" s="74"/>
      <c r="DU6" s="80" t="s">
        <v>142</v>
      </c>
      <c r="DV6" s="33"/>
      <c r="DW6" s="68"/>
      <c r="DX6" s="12">
        <v>0.0019268</v>
      </c>
      <c r="DY6" s="74"/>
      <c r="DZ6" s="80" t="s">
        <v>142</v>
      </c>
      <c r="EA6" s="33"/>
    </row>
    <row r="7" spans="1:130" ht="12.75">
      <c r="A7" s="25"/>
      <c r="C7" s="40" t="s">
        <v>11</v>
      </c>
      <c r="D7" s="40" t="s">
        <v>12</v>
      </c>
      <c r="E7" s="40" t="s">
        <v>11</v>
      </c>
      <c r="F7" s="40" t="s">
        <v>12</v>
      </c>
      <c r="G7" s="40" t="s">
        <v>11</v>
      </c>
      <c r="H7" s="40" t="s">
        <v>12</v>
      </c>
      <c r="I7" s="40" t="s">
        <v>4</v>
      </c>
      <c r="J7" s="40" t="s">
        <v>143</v>
      </c>
      <c r="L7" s="40" t="s">
        <v>11</v>
      </c>
      <c r="M7" s="40" t="s">
        <v>12</v>
      </c>
      <c r="N7" s="40" t="s">
        <v>4</v>
      </c>
      <c r="O7" s="40" t="s">
        <v>143</v>
      </c>
      <c r="Q7" s="40" t="s">
        <v>11</v>
      </c>
      <c r="R7" s="40" t="s">
        <v>12</v>
      </c>
      <c r="S7" s="40" t="s">
        <v>4</v>
      </c>
      <c r="T7" s="40" t="s">
        <v>143</v>
      </c>
      <c r="V7" s="40" t="s">
        <v>11</v>
      </c>
      <c r="W7" s="40" t="s">
        <v>12</v>
      </c>
      <c r="X7" s="40" t="s">
        <v>4</v>
      </c>
      <c r="Y7" s="40" t="s">
        <v>143</v>
      </c>
      <c r="AA7" s="40" t="s">
        <v>11</v>
      </c>
      <c r="AB7" s="40" t="s">
        <v>12</v>
      </c>
      <c r="AC7" s="40" t="s">
        <v>4</v>
      </c>
      <c r="AD7" s="40" t="s">
        <v>143</v>
      </c>
      <c r="AF7" s="40" t="s">
        <v>11</v>
      </c>
      <c r="AG7" s="40" t="s">
        <v>12</v>
      </c>
      <c r="AH7" s="40" t="s">
        <v>4</v>
      </c>
      <c r="AI7" s="40" t="s">
        <v>143</v>
      </c>
      <c r="AJ7" s="63"/>
      <c r="AK7" s="40" t="s">
        <v>11</v>
      </c>
      <c r="AL7" s="40" t="s">
        <v>12</v>
      </c>
      <c r="AM7" s="40" t="s">
        <v>4</v>
      </c>
      <c r="AN7" s="40" t="s">
        <v>143</v>
      </c>
      <c r="AP7" s="40" t="s">
        <v>11</v>
      </c>
      <c r="AQ7" s="40" t="s">
        <v>12</v>
      </c>
      <c r="AR7" s="40" t="s">
        <v>4</v>
      </c>
      <c r="AS7" s="40" t="s">
        <v>143</v>
      </c>
      <c r="AU7" s="40" t="s">
        <v>11</v>
      </c>
      <c r="AV7" s="40" t="s">
        <v>12</v>
      </c>
      <c r="AW7" s="40" t="s">
        <v>4</v>
      </c>
      <c r="AX7" s="40" t="s">
        <v>143</v>
      </c>
      <c r="AZ7" s="40" t="s">
        <v>11</v>
      </c>
      <c r="BA7" s="40" t="s">
        <v>12</v>
      </c>
      <c r="BB7" s="40" t="s">
        <v>4</v>
      </c>
      <c r="BC7" s="40" t="s">
        <v>143</v>
      </c>
      <c r="BE7" s="40" t="s">
        <v>11</v>
      </c>
      <c r="BF7" s="40" t="s">
        <v>12</v>
      </c>
      <c r="BG7" s="40" t="s">
        <v>4</v>
      </c>
      <c r="BH7" s="40" t="s">
        <v>143</v>
      </c>
      <c r="BJ7" s="40" t="s">
        <v>11</v>
      </c>
      <c r="BK7" s="40" t="s">
        <v>12</v>
      </c>
      <c r="BL7" s="40" t="s">
        <v>4</v>
      </c>
      <c r="BM7" s="40" t="s">
        <v>143</v>
      </c>
      <c r="BN7" s="63"/>
      <c r="BO7" s="40" t="s">
        <v>11</v>
      </c>
      <c r="BP7" s="40" t="s">
        <v>12</v>
      </c>
      <c r="BQ7" s="40" t="s">
        <v>4</v>
      </c>
      <c r="BR7" s="40" t="s">
        <v>143</v>
      </c>
      <c r="BS7" s="63"/>
      <c r="BT7" s="40" t="s">
        <v>11</v>
      </c>
      <c r="BU7" s="40" t="s">
        <v>12</v>
      </c>
      <c r="BV7" s="40" t="s">
        <v>4</v>
      </c>
      <c r="BW7" s="40" t="s">
        <v>143</v>
      </c>
      <c r="BX7" s="63"/>
      <c r="BY7" s="40" t="s">
        <v>11</v>
      </c>
      <c r="BZ7" s="40" t="s">
        <v>12</v>
      </c>
      <c r="CA7" s="40" t="s">
        <v>4</v>
      </c>
      <c r="CB7" s="40" t="s">
        <v>143</v>
      </c>
      <c r="CC7" s="63"/>
      <c r="CD7" s="40" t="s">
        <v>11</v>
      </c>
      <c r="CE7" s="40" t="s">
        <v>12</v>
      </c>
      <c r="CF7" s="40" t="s">
        <v>4</v>
      </c>
      <c r="CG7" s="40" t="s">
        <v>143</v>
      </c>
      <c r="CI7" s="40" t="s">
        <v>11</v>
      </c>
      <c r="CJ7" s="40" t="s">
        <v>12</v>
      </c>
      <c r="CK7" s="40" t="s">
        <v>4</v>
      </c>
      <c r="CL7" s="40" t="s">
        <v>143</v>
      </c>
      <c r="CN7" s="40" t="s">
        <v>11</v>
      </c>
      <c r="CO7" s="40" t="s">
        <v>12</v>
      </c>
      <c r="CP7" s="40" t="s">
        <v>4</v>
      </c>
      <c r="CQ7" s="40" t="s">
        <v>143</v>
      </c>
      <c r="CS7" s="40" t="s">
        <v>11</v>
      </c>
      <c r="CT7" s="40" t="s">
        <v>12</v>
      </c>
      <c r="CU7" s="40" t="s">
        <v>4</v>
      </c>
      <c r="CV7" s="40" t="s">
        <v>143</v>
      </c>
      <c r="CX7" s="40" t="s">
        <v>11</v>
      </c>
      <c r="CY7" s="40" t="s">
        <v>12</v>
      </c>
      <c r="CZ7" s="40" t="s">
        <v>4</v>
      </c>
      <c r="DA7" s="40" t="s">
        <v>143</v>
      </c>
      <c r="DB7" s="63"/>
      <c r="DC7" s="40" t="s">
        <v>11</v>
      </c>
      <c r="DD7" s="40" t="s">
        <v>12</v>
      </c>
      <c r="DE7" s="40" t="s">
        <v>4</v>
      </c>
      <c r="DF7" s="40" t="s">
        <v>143</v>
      </c>
      <c r="DG7" s="63"/>
      <c r="DH7" s="40" t="s">
        <v>11</v>
      </c>
      <c r="DI7" s="40" t="s">
        <v>12</v>
      </c>
      <c r="DJ7" s="40" t="s">
        <v>4</v>
      </c>
      <c r="DK7" s="40" t="s">
        <v>143</v>
      </c>
      <c r="DM7" s="40" t="s">
        <v>11</v>
      </c>
      <c r="DN7" s="40" t="s">
        <v>12</v>
      </c>
      <c r="DO7" s="40" t="s">
        <v>4</v>
      </c>
      <c r="DP7" s="40" t="s">
        <v>143</v>
      </c>
      <c r="DR7" s="40" t="s">
        <v>11</v>
      </c>
      <c r="DS7" s="40" t="s">
        <v>12</v>
      </c>
      <c r="DT7" s="40" t="s">
        <v>4</v>
      </c>
      <c r="DU7" s="40" t="s">
        <v>143</v>
      </c>
      <c r="DW7" s="40" t="s">
        <v>11</v>
      </c>
      <c r="DX7" s="40" t="s">
        <v>12</v>
      </c>
      <c r="DY7" s="40" t="s">
        <v>4</v>
      </c>
      <c r="DZ7" s="40" t="s">
        <v>143</v>
      </c>
    </row>
    <row r="8" spans="1:130" ht="12.75">
      <c r="A8" s="31">
        <v>42278</v>
      </c>
      <c r="D8" s="35">
        <v>759200</v>
      </c>
      <c r="F8" s="35">
        <v>838030</v>
      </c>
      <c r="G8" s="35">
        <f>C8+E8</f>
        <v>0</v>
      </c>
      <c r="H8" s="35">
        <f>D8+F8</f>
        <v>1597230</v>
      </c>
      <c r="I8" s="35">
        <f aca="true" t="shared" si="0" ref="I8:I35">G8+H8</f>
        <v>1597230</v>
      </c>
      <c r="J8" s="35">
        <v>96323</v>
      </c>
      <c r="L8" s="71"/>
      <c r="M8" s="71">
        <f aca="true" t="shared" si="1" ref="M8:M35">R8+W8+AL8+AV8+AG8+BA8+BF8+BK8+BU8+BZ8+CE8+CJ8+CO8+CY8+DI8+DN8+DS8+DX8+AB8+AQ8+CT8+DD8+BP8</f>
        <v>513594.89680499997</v>
      </c>
      <c r="N8" s="71">
        <f aca="true" t="shared" si="2" ref="N8:N35">L8+M8</f>
        <v>513594.89680499997</v>
      </c>
      <c r="O8" s="71">
        <f aca="true" t="shared" si="3" ref="O8:O35">T8+Y8+AN8+AX8+AI8+BC8+BH8+BM8+BW8+CB8+CG8+CL8+CQ8+DA8+DK8+DP8+DU8+DZ8+AD8+AS8+CV8+DF8+BR8</f>
        <v>30972.9977805</v>
      </c>
      <c r="R8" s="33">
        <f aca="true" t="shared" si="4" ref="R8:R35">H8*$R$6</f>
        <v>70583.19093</v>
      </c>
      <c r="S8" s="33">
        <f aca="true" t="shared" si="5" ref="S8:S35">Q8+R8</f>
        <v>70583.19093</v>
      </c>
      <c r="T8" s="51">
        <f aca="true" t="shared" si="6" ref="T8:T35">R$6*$J8</f>
        <v>4256.609693</v>
      </c>
      <c r="W8" s="51">
        <f aca="true" t="shared" si="7" ref="W8:W35">H8*$W$6</f>
        <v>72019.1007</v>
      </c>
      <c r="X8" s="51">
        <f aca="true" t="shared" si="8" ref="X8:X35">V8+W8</f>
        <v>72019.1007</v>
      </c>
      <c r="Y8" s="51">
        <f aca="true" t="shared" si="9" ref="Y8:Y35">W$6*$J8</f>
        <v>4343.20407</v>
      </c>
      <c r="AB8" s="51">
        <f aca="true" t="shared" si="10" ref="AB8:AB35">H8*$AB$6</f>
        <v>2408.1436710000003</v>
      </c>
      <c r="AC8" s="51">
        <f aca="true" t="shared" si="11" ref="AC8:AC35">AA8+AB8</f>
        <v>2408.1436710000003</v>
      </c>
      <c r="AD8" s="51">
        <f aca="true" t="shared" si="12" ref="AD8:AD35">AB$6*$J8</f>
        <v>145.2261871</v>
      </c>
      <c r="AF8" s="33">
        <f>AG$6*$G8</f>
        <v>0</v>
      </c>
      <c r="AG8" s="33">
        <f>AG$6*$H8</f>
        <v>894.4487999999999</v>
      </c>
      <c r="AH8" s="33">
        <f>AF8+AG8</f>
        <v>894.4487999999999</v>
      </c>
      <c r="AI8" s="51">
        <f>AG$6*$J8</f>
        <v>53.94087999999999</v>
      </c>
      <c r="AL8" s="33">
        <f aca="true" t="shared" si="13" ref="AL8:AL35">H8*$AL$6</f>
        <v>13555.850733</v>
      </c>
      <c r="AM8" s="33">
        <f aca="true" t="shared" si="14" ref="AM8:AM35">AK8+AL8</f>
        <v>13555.850733</v>
      </c>
      <c r="AN8" s="51">
        <f aca="true" t="shared" si="15" ref="AN8:AN35">AL$6*$J8</f>
        <v>817.5029332999999</v>
      </c>
      <c r="AP8" s="51"/>
      <c r="AQ8" s="33">
        <f aca="true" t="shared" si="16" ref="AQ8:AQ35">H8*$AQ$6</f>
        <v>3439.634805</v>
      </c>
      <c r="AR8" s="51">
        <f aca="true" t="shared" si="17" ref="AR8:AR35">AP8+AQ8</f>
        <v>3439.634805</v>
      </c>
      <c r="AS8" s="51">
        <f aca="true" t="shared" si="18" ref="AS8:AS35">AQ$6*$J8</f>
        <v>207.4315805</v>
      </c>
      <c r="AU8" s="51"/>
      <c r="AV8" s="33">
        <f aca="true" t="shared" si="19" ref="AV8:AV35">H8*$AV$6</f>
        <v>3681.295704</v>
      </c>
      <c r="AW8" s="51">
        <f aca="true" t="shared" si="20" ref="AW8:AW35">AU8+AV8</f>
        <v>3681.295704</v>
      </c>
      <c r="AX8" s="51">
        <f aca="true" t="shared" si="21" ref="AX8:AX35">AV$6*$J8</f>
        <v>222.0052504</v>
      </c>
      <c r="BA8" s="33">
        <f aca="true" t="shared" si="22" ref="BA8:BA35">H8*$BA$6</f>
        <v>3731.289003</v>
      </c>
      <c r="BB8" s="33">
        <f aca="true" t="shared" si="23" ref="BB8:BB35">AZ8+BA8</f>
        <v>3731.289003</v>
      </c>
      <c r="BC8" s="51">
        <f aca="true" t="shared" si="24" ref="BC8:BC35">BA$6*$J8</f>
        <v>225.0201603</v>
      </c>
      <c r="BF8" s="33">
        <f aca="true" t="shared" si="25" ref="BF8:BF35">H8*$BF$6</f>
        <v>741.593889</v>
      </c>
      <c r="BG8" s="51">
        <f aca="true" t="shared" si="26" ref="BG8:BG35">BE8+BF8</f>
        <v>741.593889</v>
      </c>
      <c r="BH8" s="51">
        <f aca="true" t="shared" si="27" ref="BH8:BH35">BF$6*$J8</f>
        <v>44.7227689</v>
      </c>
      <c r="BK8" s="33">
        <f aca="true" t="shared" si="28" ref="BK8:BK35">H8*$BK$6</f>
        <v>6018.522363</v>
      </c>
      <c r="BL8" s="51">
        <f aca="true" t="shared" si="29" ref="BL8:BL35">BJ8+BK8</f>
        <v>6018.522363</v>
      </c>
      <c r="BM8" s="51">
        <f aca="true" t="shared" si="30" ref="BM8:BM35">BK$6*$J8</f>
        <v>362.95469629999997</v>
      </c>
      <c r="BP8" s="33">
        <f>BP$6*$H8</f>
        <v>183.36200400000013</v>
      </c>
      <c r="BQ8" s="51">
        <f>SUM(BO8:BP8)</f>
        <v>183.36200400000013</v>
      </c>
      <c r="BR8" s="33">
        <f>BP$6*$J8</f>
        <v>11.057880400000007</v>
      </c>
      <c r="BT8" s="51"/>
      <c r="BU8" s="51">
        <f aca="true" t="shared" si="31" ref="BU8:BU35">H8*$BU$6</f>
        <v>5271.817338</v>
      </c>
      <c r="BV8" s="33">
        <f aca="true" t="shared" si="32" ref="BV8:BV35">BT8+BU8</f>
        <v>5271.817338</v>
      </c>
      <c r="BW8" s="51">
        <f aca="true" t="shared" si="33" ref="BW8:BW35">BU$6*$J8</f>
        <v>317.92369379999997</v>
      </c>
      <c r="BY8" s="51"/>
      <c r="BZ8" s="51">
        <f aca="true" t="shared" si="34" ref="BZ8:BZ35">H8*$BZ$6</f>
        <v>3318.564771</v>
      </c>
      <c r="CA8" s="33">
        <f aca="true" t="shared" si="35" ref="CA8:CA35">BY8+BZ8</f>
        <v>3318.564771</v>
      </c>
      <c r="CB8" s="51">
        <f aca="true" t="shared" si="36" ref="CB8:CB35">BZ$6*$J8</f>
        <v>200.1302971</v>
      </c>
      <c r="CE8" s="33">
        <f aca="true" t="shared" si="37" ref="CE8:CE35">H8*$CE$6</f>
        <v>127101.493926</v>
      </c>
      <c r="CF8" s="51">
        <f aca="true" t="shared" si="38" ref="CF8:CF35">CD8+CE8</f>
        <v>127101.493926</v>
      </c>
      <c r="CG8" s="51">
        <f aca="true" t="shared" si="39" ref="CG8:CG35">CE$6*$J8</f>
        <v>7665.0183126</v>
      </c>
      <c r="CJ8" s="33">
        <f aca="true" t="shared" si="40" ref="CJ8:CJ35">H8*$CJ$6</f>
        <v>1450.604286</v>
      </c>
      <c r="CK8" s="33">
        <f aca="true" t="shared" si="41" ref="CK8:CK35">CI8+CJ8</f>
        <v>1450.604286</v>
      </c>
      <c r="CL8" s="51">
        <f aca="true" t="shared" si="42" ref="CL8:CL35">CJ$6*$J8</f>
        <v>87.48054859999999</v>
      </c>
      <c r="CO8" s="33">
        <f aca="true" t="shared" si="43" ref="CO8:CO35">H8*$CO$6</f>
        <v>177202.44622800002</v>
      </c>
      <c r="CP8" s="51">
        <f aca="true" t="shared" si="44" ref="CP8:CP35">CN8+CO8</f>
        <v>177202.44622800002</v>
      </c>
      <c r="CQ8" s="51">
        <f aca="true" t="shared" si="45" ref="CQ8:CQ35">CO$6*$J8</f>
        <v>10686.4203828</v>
      </c>
      <c r="CT8" s="33">
        <f aca="true" t="shared" si="46" ref="CT8:CT35">H8*$CT$6</f>
        <v>1709.0361</v>
      </c>
      <c r="CU8" s="51">
        <f aca="true" t="shared" si="47" ref="CU8:CU35">CS8+CT8</f>
        <v>1709.0361</v>
      </c>
      <c r="CV8" s="51">
        <f aca="true" t="shared" si="48" ref="CV8:CV35">CT$6*$J8</f>
        <v>103.06560999999999</v>
      </c>
      <c r="CY8" s="33">
        <f aca="true" t="shared" si="49" ref="CY8:CY35">H8*$CY$6</f>
        <v>1182.109923</v>
      </c>
      <c r="CZ8" s="51">
        <f aca="true" t="shared" si="50" ref="CZ8:CZ35">CX8+CY8</f>
        <v>1182.109923</v>
      </c>
      <c r="DA8" s="51">
        <f aca="true" t="shared" si="51" ref="DA8:DA35">CY$6*$J8</f>
        <v>71.28865230000001</v>
      </c>
      <c r="DD8" s="51">
        <f aca="true" t="shared" si="52" ref="DD8:DD35">H8*$DD$6</f>
        <v>728.975772</v>
      </c>
      <c r="DE8" s="51">
        <f aca="true" t="shared" si="53" ref="DE8:DE35">DC8+DD8</f>
        <v>728.975772</v>
      </c>
      <c r="DF8" s="51">
        <f aca="true" t="shared" si="54" ref="DF8:DF35">DD$6*$J8</f>
        <v>43.9618172</v>
      </c>
      <c r="DI8" s="33">
        <f aca="true" t="shared" si="55" ref="DI8:DI35">H8*$DI$6</f>
        <v>18.208422</v>
      </c>
      <c r="DJ8" s="51">
        <f aca="true" t="shared" si="56" ref="DJ8:DJ35">DH8+DI8</f>
        <v>18.208422</v>
      </c>
      <c r="DK8" s="51">
        <f aca="true" t="shared" si="57" ref="DK8:DK35">DI$6*$J8</f>
        <v>1.0980822</v>
      </c>
      <c r="DN8" s="33">
        <f aca="true" t="shared" si="58" ref="DN8:DN35">H8*$DN$6</f>
        <v>4487.098239</v>
      </c>
      <c r="DO8" s="33">
        <f aca="true" t="shared" si="59" ref="DO8:DO35">DM8+DN8</f>
        <v>4487.098239</v>
      </c>
      <c r="DP8" s="51">
        <f aca="true" t="shared" si="60" ref="DP8:DP35">DN$6*$J8</f>
        <v>270.6002039</v>
      </c>
      <c r="DS8" s="33">
        <f aca="true" t="shared" si="61" ref="DS8:DS35">H8*$DS$6</f>
        <v>10790.566434</v>
      </c>
      <c r="DT8" s="51">
        <f aca="true" t="shared" si="62" ref="DT8:DT35">DR8+DS8</f>
        <v>10790.566434</v>
      </c>
      <c r="DU8" s="51">
        <f aca="true" t="shared" si="63" ref="DU8:DU35">DS$6*$J8</f>
        <v>650.7389234</v>
      </c>
      <c r="DX8" s="33">
        <f aca="true" t="shared" si="64" ref="DX8:DX35">H8*$DX$6</f>
        <v>3077.542764</v>
      </c>
      <c r="DY8" s="51">
        <f aca="true" t="shared" si="65" ref="DY8:DY35">DW8+DX8</f>
        <v>3077.542764</v>
      </c>
      <c r="DZ8" s="51">
        <f aca="true" t="shared" si="66" ref="DZ8:DZ35">DX$6*$J8</f>
        <v>185.5951564</v>
      </c>
    </row>
    <row r="9" spans="1:130" ht="12.75">
      <c r="A9" s="31">
        <v>42461</v>
      </c>
      <c r="C9" s="35">
        <v>4135000</v>
      </c>
      <c r="D9" s="35">
        <v>759200</v>
      </c>
      <c r="F9" s="35">
        <v>838030</v>
      </c>
      <c r="G9" s="35">
        <f aca="true" t="shared" si="67" ref="G9:G35">C9+E9</f>
        <v>4135000</v>
      </c>
      <c r="H9" s="35">
        <f aca="true" t="shared" si="68" ref="H9:H35">D9+F9</f>
        <v>1597230</v>
      </c>
      <c r="I9" s="35">
        <f t="shared" si="0"/>
        <v>5732230</v>
      </c>
      <c r="J9" s="35">
        <f>83124-2</f>
        <v>83122</v>
      </c>
      <c r="L9" s="71">
        <f aca="true" t="shared" si="69" ref="L9:L35">Q9+V9+AK9+AU9+AF9+AZ9+BE9+BJ9+BT9+BY9+CD9+CI9+CN9+CX9+DH9+DM9+DR9+DW9+AA9+AP9+CS9+DC9+BO9</f>
        <v>1329623.7224999997</v>
      </c>
      <c r="M9" s="71">
        <f t="shared" si="1"/>
        <v>513594.89680499997</v>
      </c>
      <c r="N9" s="71">
        <f t="shared" si="2"/>
        <v>1843218.6193049997</v>
      </c>
      <c r="O9" s="71">
        <f t="shared" si="3"/>
        <v>26728.170026999996</v>
      </c>
      <c r="Q9" s="33">
        <f aca="true" t="shared" si="70" ref="Q9:Q35">G9*$R$6</f>
        <v>182729.785</v>
      </c>
      <c r="R9" s="33">
        <f t="shared" si="4"/>
        <v>70583.19093</v>
      </c>
      <c r="S9" s="33">
        <f t="shared" si="5"/>
        <v>253312.97593000002</v>
      </c>
      <c r="T9" s="51">
        <f t="shared" si="6"/>
        <v>3673.244302</v>
      </c>
      <c r="V9" s="33">
        <f aca="true" t="shared" si="71" ref="V9:V35">G9*$W$6</f>
        <v>186447.15</v>
      </c>
      <c r="W9" s="51">
        <f t="shared" si="7"/>
        <v>72019.1007</v>
      </c>
      <c r="X9" s="51">
        <f t="shared" si="8"/>
        <v>258466.25069999998</v>
      </c>
      <c r="Y9" s="51">
        <f t="shared" si="9"/>
        <v>3747.97098</v>
      </c>
      <c r="AA9" s="33">
        <f aca="true" t="shared" si="72" ref="AA9:AA35">G9*$AB$6</f>
        <v>6234.3395</v>
      </c>
      <c r="AB9" s="51">
        <f t="shared" si="10"/>
        <v>2408.1436710000003</v>
      </c>
      <c r="AC9" s="51">
        <f t="shared" si="11"/>
        <v>8642.483171</v>
      </c>
      <c r="AD9" s="51">
        <f t="shared" si="12"/>
        <v>125.3230394</v>
      </c>
      <c r="AF9" s="33">
        <f aca="true" t="shared" si="73" ref="AF9:AF35">AG$6*$G9</f>
        <v>2315.6</v>
      </c>
      <c r="AG9" s="33">
        <f aca="true" t="shared" si="74" ref="AG9:AG35">AG$6*$H9</f>
        <v>894.4487999999999</v>
      </c>
      <c r="AH9" s="33">
        <f aca="true" t="shared" si="75" ref="AH9:AH35">AF9+AG9</f>
        <v>3210.0487999999996</v>
      </c>
      <c r="AI9" s="51">
        <f aca="true" t="shared" si="76" ref="AI9:AI35">AG$6*$J9</f>
        <v>46.54832</v>
      </c>
      <c r="AK9" s="33">
        <f aca="true" t="shared" si="77" ref="AK9:AK35">G9*$AL$6</f>
        <v>35094.1585</v>
      </c>
      <c r="AL9" s="33">
        <f t="shared" si="13"/>
        <v>13555.850733</v>
      </c>
      <c r="AM9" s="33">
        <f t="shared" si="14"/>
        <v>48650.009233</v>
      </c>
      <c r="AN9" s="51">
        <f t="shared" si="15"/>
        <v>705.4647262</v>
      </c>
      <c r="AP9" s="51">
        <f aca="true" t="shared" si="78" ref="AP9:AP35">G9*$AQ$6</f>
        <v>8904.7225</v>
      </c>
      <c r="AQ9" s="33">
        <f t="shared" si="16"/>
        <v>3439.634805</v>
      </c>
      <c r="AR9" s="51">
        <f t="shared" si="17"/>
        <v>12344.357305</v>
      </c>
      <c r="AS9" s="51">
        <f t="shared" si="18"/>
        <v>179.003227</v>
      </c>
      <c r="AU9" s="51">
        <f aca="true" t="shared" si="79" ref="AU9:AU35">G9*$AV$6</f>
        <v>9530.348</v>
      </c>
      <c r="AV9" s="33">
        <f t="shared" si="19"/>
        <v>3681.295704</v>
      </c>
      <c r="AW9" s="51">
        <f t="shared" si="20"/>
        <v>13211.643704</v>
      </c>
      <c r="AX9" s="51">
        <f t="shared" si="21"/>
        <v>191.5795856</v>
      </c>
      <c r="AZ9" s="33">
        <f aca="true" t="shared" si="80" ref="AZ9:AZ35">G9*$BA$6</f>
        <v>9659.7735</v>
      </c>
      <c r="BA9" s="33">
        <f t="shared" si="22"/>
        <v>3731.289003</v>
      </c>
      <c r="BB9" s="33">
        <f t="shared" si="23"/>
        <v>13391.062503</v>
      </c>
      <c r="BC9" s="51">
        <f t="shared" si="24"/>
        <v>194.18130419999997</v>
      </c>
      <c r="BE9" s="33">
        <f aca="true" t="shared" si="81" ref="BE9:BE35">G9*$BF$6</f>
        <v>1919.8805</v>
      </c>
      <c r="BF9" s="33">
        <f t="shared" si="25"/>
        <v>741.593889</v>
      </c>
      <c r="BG9" s="51">
        <f t="shared" si="26"/>
        <v>2661.474389</v>
      </c>
      <c r="BH9" s="51">
        <f t="shared" si="27"/>
        <v>38.5935446</v>
      </c>
      <c r="BJ9" s="33">
        <f aca="true" t="shared" si="82" ref="BJ9:BJ35">G9*$BK$6</f>
        <v>15581.093499999999</v>
      </c>
      <c r="BK9" s="33">
        <f t="shared" si="28"/>
        <v>6018.522363</v>
      </c>
      <c r="BL9" s="51">
        <f t="shared" si="29"/>
        <v>21599.615863</v>
      </c>
      <c r="BM9" s="51">
        <f t="shared" si="30"/>
        <v>313.2120082</v>
      </c>
      <c r="BO9" s="33">
        <f aca="true" t="shared" si="83" ref="BO9:BO35">BP$6*$G9</f>
        <v>474.6980000000003</v>
      </c>
      <c r="BP9" s="33">
        <f aca="true" t="shared" si="84" ref="BP9:BP35">BP$6*$H9</f>
        <v>183.36200400000013</v>
      </c>
      <c r="BQ9" s="51">
        <f aca="true" t="shared" si="85" ref="BQ9:BQ35">SUM(BO9:BP9)</f>
        <v>658.0600040000004</v>
      </c>
      <c r="BR9" s="33">
        <f aca="true" t="shared" si="86" ref="BR9:BR35">BP$6*$J9</f>
        <v>9.542405600000007</v>
      </c>
      <c r="BT9" s="51">
        <f aca="true" t="shared" si="87" ref="BT9:BT35">G9*$BU$6</f>
        <v>13647.981</v>
      </c>
      <c r="BU9" s="51">
        <f t="shared" si="31"/>
        <v>5271.817338</v>
      </c>
      <c r="BV9" s="33">
        <f t="shared" si="32"/>
        <v>18919.798338</v>
      </c>
      <c r="BW9" s="51">
        <f t="shared" si="33"/>
        <v>274.35247319999996</v>
      </c>
      <c r="BY9" s="51">
        <f aca="true" t="shared" si="88" ref="BY9:BY35">G9*$BZ$6</f>
        <v>8591.2895</v>
      </c>
      <c r="BZ9" s="51">
        <f t="shared" si="34"/>
        <v>3318.564771</v>
      </c>
      <c r="CA9" s="33">
        <f t="shared" si="35"/>
        <v>11909.854271</v>
      </c>
      <c r="CB9" s="51">
        <f t="shared" si="36"/>
        <v>172.7025794</v>
      </c>
      <c r="CD9" s="33">
        <f aca="true" t="shared" si="89" ref="CD9:CD35">G9*$CE$6</f>
        <v>329047.587</v>
      </c>
      <c r="CE9" s="33">
        <f t="shared" si="37"/>
        <v>127101.493926</v>
      </c>
      <c r="CF9" s="51">
        <f t="shared" si="38"/>
        <v>456149.080926</v>
      </c>
      <c r="CG9" s="51">
        <f t="shared" si="39"/>
        <v>6614.5328964</v>
      </c>
      <c r="CI9" s="33">
        <f aca="true" t="shared" si="90" ref="CI9:CI35">G9*$CJ$6</f>
        <v>3755.4069999999997</v>
      </c>
      <c r="CJ9" s="33">
        <f t="shared" si="40"/>
        <v>1450.604286</v>
      </c>
      <c r="CK9" s="33">
        <f t="shared" si="41"/>
        <v>5206.011286</v>
      </c>
      <c r="CL9" s="51">
        <f t="shared" si="42"/>
        <v>75.4914004</v>
      </c>
      <c r="CN9" s="33">
        <f aca="true" t="shared" si="91" ref="CN9:CN35">G9*$CO$6</f>
        <v>458751.786</v>
      </c>
      <c r="CO9" s="33">
        <f t="shared" si="43"/>
        <v>177202.44622800002</v>
      </c>
      <c r="CP9" s="51">
        <f t="shared" si="44"/>
        <v>635954.2322280001</v>
      </c>
      <c r="CQ9" s="51">
        <f t="shared" si="45"/>
        <v>9221.8539192</v>
      </c>
      <c r="CS9" s="33">
        <f aca="true" t="shared" si="92" ref="CS9:CS35">G9*$CT$6</f>
        <v>4424.45</v>
      </c>
      <c r="CT9" s="33">
        <f t="shared" si="46"/>
        <v>1709.0361</v>
      </c>
      <c r="CU9" s="51">
        <f t="shared" si="47"/>
        <v>6133.4861</v>
      </c>
      <c r="CV9" s="51">
        <f t="shared" si="48"/>
        <v>88.94054</v>
      </c>
      <c r="CX9" s="33">
        <f aca="true" t="shared" si="93" ref="CX9:CX35">G9*$CY$6</f>
        <v>3060.3135</v>
      </c>
      <c r="CY9" s="33">
        <f t="shared" si="49"/>
        <v>1182.109923</v>
      </c>
      <c r="CZ9" s="51">
        <f t="shared" si="50"/>
        <v>4242.423423</v>
      </c>
      <c r="DA9" s="51">
        <f t="shared" si="51"/>
        <v>61.5185922</v>
      </c>
      <c r="DC9" s="33">
        <f aca="true" t="shared" si="94" ref="DC9:DC35">G9*$DD$6</f>
        <v>1887.214</v>
      </c>
      <c r="DD9" s="51">
        <f t="shared" si="52"/>
        <v>728.975772</v>
      </c>
      <c r="DE9" s="51">
        <f t="shared" si="53"/>
        <v>2616.1897719999997</v>
      </c>
      <c r="DF9" s="51">
        <f t="shared" si="54"/>
        <v>37.9368808</v>
      </c>
      <c r="DH9" s="33">
        <f aca="true" t="shared" si="95" ref="DH9:DH35">G9*$DI$6</f>
        <v>47.138999999999996</v>
      </c>
      <c r="DI9" s="33">
        <f t="shared" si="55"/>
        <v>18.208422</v>
      </c>
      <c r="DJ9" s="51">
        <f t="shared" si="56"/>
        <v>65.347422</v>
      </c>
      <c r="DK9" s="51">
        <f t="shared" si="57"/>
        <v>0.9475908</v>
      </c>
      <c r="DM9" s="33">
        <f aca="true" t="shared" si="96" ref="DM9:DM35">G9*$DN$6</f>
        <v>11616.4555</v>
      </c>
      <c r="DN9" s="33">
        <f t="shared" si="58"/>
        <v>4487.098239</v>
      </c>
      <c r="DO9" s="33">
        <f t="shared" si="59"/>
        <v>16103.553738999999</v>
      </c>
      <c r="DP9" s="51">
        <f t="shared" si="60"/>
        <v>233.5146346</v>
      </c>
      <c r="DR9" s="33">
        <f aca="true" t="shared" si="97" ref="DR9:DR35">G9*$DS$6</f>
        <v>27935.233</v>
      </c>
      <c r="DS9" s="33">
        <f t="shared" si="61"/>
        <v>10790.566434</v>
      </c>
      <c r="DT9" s="51">
        <f t="shared" si="62"/>
        <v>38725.799434</v>
      </c>
      <c r="DU9" s="51">
        <f t="shared" si="63"/>
        <v>561.5556076</v>
      </c>
      <c r="DW9" s="33">
        <f aca="true" t="shared" si="98" ref="DW9:DW35">G9*$DX$6</f>
        <v>7967.318</v>
      </c>
      <c r="DX9" s="33">
        <f t="shared" si="64"/>
        <v>3077.542764</v>
      </c>
      <c r="DY9" s="51">
        <f t="shared" si="65"/>
        <v>11044.860764000001</v>
      </c>
      <c r="DZ9" s="51">
        <f t="shared" si="66"/>
        <v>160.1594696</v>
      </c>
    </row>
    <row r="10" spans="1:130" ht="12.75">
      <c r="A10" s="31">
        <v>42644</v>
      </c>
      <c r="D10" s="35">
        <v>442625</v>
      </c>
      <c r="F10" s="35">
        <v>838030</v>
      </c>
      <c r="G10" s="35">
        <f t="shared" si="67"/>
        <v>0</v>
      </c>
      <c r="H10" s="35">
        <f t="shared" si="68"/>
        <v>1280655</v>
      </c>
      <c r="I10" s="35">
        <f t="shared" si="0"/>
        <v>1280655</v>
      </c>
      <c r="J10" s="35">
        <v>83124</v>
      </c>
      <c r="L10" s="71"/>
      <c r="M10" s="71">
        <f t="shared" si="1"/>
        <v>411799.0975425</v>
      </c>
      <c r="N10" s="71">
        <f t="shared" si="2"/>
        <v>411799.0975425</v>
      </c>
      <c r="O10" s="71">
        <f t="shared" si="3"/>
        <v>26728.813133999996</v>
      </c>
      <c r="R10" s="33">
        <f t="shared" si="4"/>
        <v>56593.425105</v>
      </c>
      <c r="S10" s="33">
        <f t="shared" si="5"/>
        <v>56593.425105</v>
      </c>
      <c r="T10" s="51">
        <f t="shared" si="6"/>
        <v>3673.332684</v>
      </c>
      <c r="W10" s="51">
        <f t="shared" si="7"/>
        <v>57744.733949999994</v>
      </c>
      <c r="X10" s="51">
        <f t="shared" si="8"/>
        <v>57744.733949999994</v>
      </c>
      <c r="Y10" s="51">
        <f t="shared" si="9"/>
        <v>3748.0611599999997</v>
      </c>
      <c r="AB10" s="51">
        <f t="shared" si="10"/>
        <v>1930.8435435000001</v>
      </c>
      <c r="AC10" s="51">
        <f t="shared" si="11"/>
        <v>1930.8435435000001</v>
      </c>
      <c r="AD10" s="51">
        <f t="shared" si="12"/>
        <v>125.32605480000001</v>
      </c>
      <c r="AG10" s="33">
        <f t="shared" si="74"/>
        <v>717.1668</v>
      </c>
      <c r="AH10" s="33">
        <f t="shared" si="75"/>
        <v>717.1668</v>
      </c>
      <c r="AI10" s="51">
        <f t="shared" si="76"/>
        <v>46.54944</v>
      </c>
      <c r="AL10" s="33">
        <f t="shared" si="13"/>
        <v>10869.0470505</v>
      </c>
      <c r="AM10" s="33">
        <f t="shared" si="14"/>
        <v>10869.0470505</v>
      </c>
      <c r="AN10" s="51">
        <f t="shared" si="15"/>
        <v>705.4817003999999</v>
      </c>
      <c r="AP10" s="51"/>
      <c r="AQ10" s="33">
        <f t="shared" si="16"/>
        <v>2757.8905425000003</v>
      </c>
      <c r="AR10" s="51">
        <f t="shared" si="17"/>
        <v>2757.8905425000003</v>
      </c>
      <c r="AS10" s="51">
        <f t="shared" si="18"/>
        <v>179.007534</v>
      </c>
      <c r="AU10" s="51"/>
      <c r="AV10" s="33">
        <f t="shared" si="19"/>
        <v>2951.653644</v>
      </c>
      <c r="AW10" s="51">
        <f t="shared" si="20"/>
        <v>2951.653644</v>
      </c>
      <c r="AX10" s="51">
        <f t="shared" si="21"/>
        <v>191.5841952</v>
      </c>
      <c r="BA10" s="33">
        <f t="shared" si="22"/>
        <v>2991.7381455</v>
      </c>
      <c r="BB10" s="33">
        <f t="shared" si="23"/>
        <v>2991.7381455</v>
      </c>
      <c r="BC10" s="51">
        <f t="shared" si="24"/>
        <v>194.1859764</v>
      </c>
      <c r="BF10" s="33">
        <f t="shared" si="25"/>
        <v>594.6081165</v>
      </c>
      <c r="BG10" s="51">
        <f t="shared" si="26"/>
        <v>594.6081165</v>
      </c>
      <c r="BH10" s="51">
        <f t="shared" si="27"/>
        <v>38.5944732</v>
      </c>
      <c r="BK10" s="33">
        <f t="shared" si="28"/>
        <v>4825.6361055</v>
      </c>
      <c r="BL10" s="51">
        <f t="shared" si="29"/>
        <v>4825.6361055</v>
      </c>
      <c r="BM10" s="51">
        <f t="shared" si="30"/>
        <v>313.2195444</v>
      </c>
      <c r="BP10" s="33">
        <f t="shared" si="84"/>
        <v>147.0191940000001</v>
      </c>
      <c r="BQ10" s="51">
        <f t="shared" si="85"/>
        <v>147.0191940000001</v>
      </c>
      <c r="BR10" s="33">
        <f t="shared" si="86"/>
        <v>9.542635200000007</v>
      </c>
      <c r="BT10" s="51"/>
      <c r="BU10" s="51">
        <f t="shared" si="31"/>
        <v>4226.9298929999995</v>
      </c>
      <c r="BV10" s="33">
        <f t="shared" si="32"/>
        <v>4226.9298929999995</v>
      </c>
      <c r="BW10" s="51">
        <f t="shared" si="33"/>
        <v>274.3590744</v>
      </c>
      <c r="BY10" s="51"/>
      <c r="BZ10" s="51">
        <f t="shared" si="34"/>
        <v>2660.8168935</v>
      </c>
      <c r="CA10" s="33">
        <f t="shared" si="35"/>
        <v>2660.8168935</v>
      </c>
      <c r="CB10" s="51">
        <f t="shared" si="36"/>
        <v>172.7067348</v>
      </c>
      <c r="CE10" s="33">
        <f t="shared" si="37"/>
        <v>101909.658411</v>
      </c>
      <c r="CF10" s="51">
        <f t="shared" si="38"/>
        <v>101909.658411</v>
      </c>
      <c r="CG10" s="51">
        <f t="shared" si="39"/>
        <v>6614.6920488</v>
      </c>
      <c r="CJ10" s="33">
        <f t="shared" si="40"/>
        <v>1163.0908709999999</v>
      </c>
      <c r="CK10" s="33">
        <f t="shared" si="41"/>
        <v>1163.0908709999999</v>
      </c>
      <c r="CL10" s="51">
        <f t="shared" si="42"/>
        <v>75.4932168</v>
      </c>
      <c r="CO10" s="33">
        <f t="shared" si="43"/>
        <v>142080.476058</v>
      </c>
      <c r="CP10" s="51">
        <f t="shared" si="44"/>
        <v>142080.476058</v>
      </c>
      <c r="CQ10" s="51">
        <f t="shared" si="45"/>
        <v>9222.0758064</v>
      </c>
      <c r="CT10" s="33">
        <f t="shared" si="46"/>
        <v>1370.30085</v>
      </c>
      <c r="CU10" s="51">
        <f t="shared" si="47"/>
        <v>1370.30085</v>
      </c>
      <c r="CV10" s="51">
        <f t="shared" si="48"/>
        <v>88.94268</v>
      </c>
      <c r="CY10" s="33">
        <f t="shared" si="49"/>
        <v>947.8127655000001</v>
      </c>
      <c r="CZ10" s="51">
        <f t="shared" si="50"/>
        <v>947.8127655000001</v>
      </c>
      <c r="DA10" s="51">
        <f t="shared" si="51"/>
        <v>61.520072400000004</v>
      </c>
      <c r="DD10" s="51">
        <f t="shared" si="52"/>
        <v>584.490942</v>
      </c>
      <c r="DE10" s="51">
        <f t="shared" si="53"/>
        <v>584.490942</v>
      </c>
      <c r="DF10" s="51">
        <f t="shared" si="54"/>
        <v>37.9377936</v>
      </c>
      <c r="DI10" s="33">
        <f t="shared" si="55"/>
        <v>14.599466999999999</v>
      </c>
      <c r="DJ10" s="51">
        <f t="shared" si="56"/>
        <v>14.599466999999999</v>
      </c>
      <c r="DK10" s="51">
        <f t="shared" si="57"/>
        <v>0.9476136</v>
      </c>
      <c r="DN10" s="33">
        <f t="shared" si="58"/>
        <v>3597.7440914999997</v>
      </c>
      <c r="DO10" s="33">
        <f t="shared" si="59"/>
        <v>3597.7440914999997</v>
      </c>
      <c r="DP10" s="51">
        <f t="shared" si="60"/>
        <v>233.52025319999998</v>
      </c>
      <c r="DS10" s="33">
        <f t="shared" si="61"/>
        <v>8651.849049</v>
      </c>
      <c r="DT10" s="51">
        <f t="shared" si="62"/>
        <v>8651.849049</v>
      </c>
      <c r="DU10" s="51">
        <f t="shared" si="63"/>
        <v>561.5691192</v>
      </c>
      <c r="DX10" s="33">
        <f t="shared" si="64"/>
        <v>2467.566054</v>
      </c>
      <c r="DY10" s="51">
        <f t="shared" si="65"/>
        <v>2467.566054</v>
      </c>
      <c r="DZ10" s="51">
        <f t="shared" si="66"/>
        <v>160.1633232</v>
      </c>
    </row>
    <row r="11" spans="1:130" ht="12.75">
      <c r="A11" s="31">
        <v>42826</v>
      </c>
      <c r="C11" s="35">
        <v>4340000</v>
      </c>
      <c r="D11" s="35">
        <v>442625</v>
      </c>
      <c r="F11" s="35">
        <v>838030</v>
      </c>
      <c r="G11" s="35">
        <f t="shared" si="67"/>
        <v>4340000</v>
      </c>
      <c r="H11" s="35">
        <f t="shared" si="68"/>
        <v>1280655</v>
      </c>
      <c r="I11" s="35">
        <f t="shared" si="0"/>
        <v>5620655</v>
      </c>
      <c r="J11" s="35">
        <v>83124</v>
      </c>
      <c r="L11" s="71">
        <f t="shared" si="69"/>
        <v>1395542.19</v>
      </c>
      <c r="M11" s="71">
        <f t="shared" si="1"/>
        <v>411799.0975425</v>
      </c>
      <c r="N11" s="71">
        <f t="shared" si="2"/>
        <v>1807341.2875425</v>
      </c>
      <c r="O11" s="71">
        <f t="shared" si="3"/>
        <v>26728.813133999996</v>
      </c>
      <c r="Q11" s="33">
        <f t="shared" si="70"/>
        <v>191788.94</v>
      </c>
      <c r="R11" s="33">
        <f t="shared" si="4"/>
        <v>56593.425105</v>
      </c>
      <c r="S11" s="33">
        <f t="shared" si="5"/>
        <v>248382.365105</v>
      </c>
      <c r="T11" s="51">
        <f t="shared" si="6"/>
        <v>3673.332684</v>
      </c>
      <c r="V11" s="33">
        <f t="shared" si="71"/>
        <v>195690.6</v>
      </c>
      <c r="W11" s="51">
        <f t="shared" si="7"/>
        <v>57744.733949999994</v>
      </c>
      <c r="X11" s="51">
        <f t="shared" si="8"/>
        <v>253435.33395</v>
      </c>
      <c r="Y11" s="51">
        <f t="shared" si="9"/>
        <v>3748.0611599999997</v>
      </c>
      <c r="AA11" s="33">
        <f t="shared" si="72"/>
        <v>6543.418000000001</v>
      </c>
      <c r="AB11" s="51">
        <f t="shared" si="10"/>
        <v>1930.8435435000001</v>
      </c>
      <c r="AC11" s="51">
        <f t="shared" si="11"/>
        <v>8474.2615435</v>
      </c>
      <c r="AD11" s="51">
        <f t="shared" si="12"/>
        <v>125.32605480000001</v>
      </c>
      <c r="AF11" s="33">
        <f t="shared" si="73"/>
        <v>2430.3999999999996</v>
      </c>
      <c r="AG11" s="33">
        <f t="shared" si="74"/>
        <v>717.1668</v>
      </c>
      <c r="AH11" s="33">
        <f t="shared" si="75"/>
        <v>3147.5667999999996</v>
      </c>
      <c r="AI11" s="51">
        <f t="shared" si="76"/>
        <v>46.54944</v>
      </c>
      <c r="AK11" s="33">
        <f t="shared" si="77"/>
        <v>36834.013999999996</v>
      </c>
      <c r="AL11" s="33">
        <f t="shared" si="13"/>
        <v>10869.0470505</v>
      </c>
      <c r="AM11" s="33">
        <f t="shared" si="14"/>
        <v>47703.06105049999</v>
      </c>
      <c r="AN11" s="51">
        <f t="shared" si="15"/>
        <v>705.4817003999999</v>
      </c>
      <c r="AP11" s="51">
        <f t="shared" si="78"/>
        <v>9346.19</v>
      </c>
      <c r="AQ11" s="33">
        <f t="shared" si="16"/>
        <v>2757.8905425000003</v>
      </c>
      <c r="AR11" s="51">
        <f t="shared" si="17"/>
        <v>12104.0805425</v>
      </c>
      <c r="AS11" s="51">
        <f t="shared" si="18"/>
        <v>179.007534</v>
      </c>
      <c r="AU11" s="51">
        <f t="shared" si="79"/>
        <v>10002.832</v>
      </c>
      <c r="AV11" s="33">
        <f t="shared" si="19"/>
        <v>2951.653644</v>
      </c>
      <c r="AW11" s="51">
        <f t="shared" si="20"/>
        <v>12954.485644</v>
      </c>
      <c r="AX11" s="51">
        <f t="shared" si="21"/>
        <v>191.5841952</v>
      </c>
      <c r="AZ11" s="33">
        <f t="shared" si="80"/>
        <v>10138.673999999999</v>
      </c>
      <c r="BA11" s="33">
        <f t="shared" si="22"/>
        <v>2991.7381455</v>
      </c>
      <c r="BB11" s="33">
        <f t="shared" si="23"/>
        <v>13130.412145499999</v>
      </c>
      <c r="BC11" s="51">
        <f t="shared" si="24"/>
        <v>194.1859764</v>
      </c>
      <c r="BE11" s="33">
        <f t="shared" si="81"/>
        <v>2015.0620000000001</v>
      </c>
      <c r="BF11" s="33">
        <f t="shared" si="25"/>
        <v>594.6081165</v>
      </c>
      <c r="BG11" s="51">
        <f t="shared" si="26"/>
        <v>2609.6701165000004</v>
      </c>
      <c r="BH11" s="51">
        <f t="shared" si="27"/>
        <v>38.5944732</v>
      </c>
      <c r="BJ11" s="33">
        <f t="shared" si="82"/>
        <v>16353.554</v>
      </c>
      <c r="BK11" s="33">
        <f t="shared" si="28"/>
        <v>4825.6361055</v>
      </c>
      <c r="BL11" s="51">
        <f t="shared" si="29"/>
        <v>21179.190105499998</v>
      </c>
      <c r="BM11" s="51">
        <f t="shared" si="30"/>
        <v>313.2195444</v>
      </c>
      <c r="BO11" s="33">
        <f t="shared" si="83"/>
        <v>498.23200000000037</v>
      </c>
      <c r="BP11" s="33">
        <f t="shared" si="84"/>
        <v>147.0191940000001</v>
      </c>
      <c r="BQ11" s="51">
        <f t="shared" si="85"/>
        <v>645.2511940000005</v>
      </c>
      <c r="BR11" s="33">
        <f t="shared" si="86"/>
        <v>9.542635200000007</v>
      </c>
      <c r="BT11" s="51">
        <f t="shared" si="87"/>
        <v>14324.604</v>
      </c>
      <c r="BU11" s="51">
        <f t="shared" si="31"/>
        <v>4226.9298929999995</v>
      </c>
      <c r="BV11" s="33">
        <f t="shared" si="32"/>
        <v>18551.533893</v>
      </c>
      <c r="BW11" s="51">
        <f t="shared" si="33"/>
        <v>274.3590744</v>
      </c>
      <c r="BY11" s="51">
        <f t="shared" si="88"/>
        <v>9017.218</v>
      </c>
      <c r="BZ11" s="51">
        <f t="shared" si="34"/>
        <v>2660.8168935</v>
      </c>
      <c r="CA11" s="33">
        <f t="shared" si="35"/>
        <v>11678.0348935</v>
      </c>
      <c r="CB11" s="51">
        <f t="shared" si="36"/>
        <v>172.7067348</v>
      </c>
      <c r="CD11" s="33">
        <f t="shared" si="89"/>
        <v>345360.708</v>
      </c>
      <c r="CE11" s="33">
        <f t="shared" si="37"/>
        <v>101909.658411</v>
      </c>
      <c r="CF11" s="51">
        <f t="shared" si="38"/>
        <v>447270.36641099997</v>
      </c>
      <c r="CG11" s="51">
        <f t="shared" si="39"/>
        <v>6614.6920488</v>
      </c>
      <c r="CI11" s="33">
        <f t="shared" si="90"/>
        <v>3941.5879999999997</v>
      </c>
      <c r="CJ11" s="33">
        <f t="shared" si="40"/>
        <v>1163.0908709999999</v>
      </c>
      <c r="CK11" s="33">
        <f t="shared" si="41"/>
        <v>5104.678871</v>
      </c>
      <c r="CL11" s="51">
        <f t="shared" si="42"/>
        <v>75.4932168</v>
      </c>
      <c r="CN11" s="33">
        <f t="shared" si="91"/>
        <v>481495.224</v>
      </c>
      <c r="CO11" s="33">
        <f t="shared" si="43"/>
        <v>142080.476058</v>
      </c>
      <c r="CP11" s="51">
        <f t="shared" si="44"/>
        <v>623575.7000579999</v>
      </c>
      <c r="CQ11" s="51">
        <f t="shared" si="45"/>
        <v>9222.0758064</v>
      </c>
      <c r="CS11" s="33">
        <f t="shared" si="92"/>
        <v>4643.8</v>
      </c>
      <c r="CT11" s="33">
        <f t="shared" si="46"/>
        <v>1370.30085</v>
      </c>
      <c r="CU11" s="51">
        <f t="shared" si="47"/>
        <v>6014.100850000001</v>
      </c>
      <c r="CV11" s="51">
        <f t="shared" si="48"/>
        <v>88.94268</v>
      </c>
      <c r="CX11" s="33">
        <f t="shared" si="93"/>
        <v>3212.034</v>
      </c>
      <c r="CY11" s="33">
        <f t="shared" si="49"/>
        <v>947.8127655000001</v>
      </c>
      <c r="CZ11" s="51">
        <f t="shared" si="50"/>
        <v>4159.8467655</v>
      </c>
      <c r="DA11" s="51">
        <f t="shared" si="51"/>
        <v>61.520072400000004</v>
      </c>
      <c r="DC11" s="33">
        <f t="shared" si="94"/>
        <v>1980.7759999999998</v>
      </c>
      <c r="DD11" s="51">
        <f t="shared" si="52"/>
        <v>584.490942</v>
      </c>
      <c r="DE11" s="51">
        <f t="shared" si="53"/>
        <v>2565.2669419999997</v>
      </c>
      <c r="DF11" s="51">
        <f t="shared" si="54"/>
        <v>37.9377936</v>
      </c>
      <c r="DH11" s="33">
        <f t="shared" si="95"/>
        <v>49.476</v>
      </c>
      <c r="DI11" s="33">
        <f t="shared" si="55"/>
        <v>14.599466999999999</v>
      </c>
      <c r="DJ11" s="51">
        <f t="shared" si="56"/>
        <v>64.075467</v>
      </c>
      <c r="DK11" s="51">
        <f t="shared" si="57"/>
        <v>0.9476136</v>
      </c>
      <c r="DM11" s="33">
        <f t="shared" si="96"/>
        <v>12192.362</v>
      </c>
      <c r="DN11" s="33">
        <f t="shared" si="58"/>
        <v>3597.7440914999997</v>
      </c>
      <c r="DO11" s="33">
        <f t="shared" si="59"/>
        <v>15790.106091499998</v>
      </c>
      <c r="DP11" s="51">
        <f t="shared" si="60"/>
        <v>233.52025319999998</v>
      </c>
      <c r="DR11" s="33">
        <f t="shared" si="97"/>
        <v>29320.172000000002</v>
      </c>
      <c r="DS11" s="33">
        <f t="shared" si="61"/>
        <v>8651.849049</v>
      </c>
      <c r="DT11" s="51">
        <f t="shared" si="62"/>
        <v>37972.021049</v>
      </c>
      <c r="DU11" s="51">
        <f t="shared" si="63"/>
        <v>561.5691192</v>
      </c>
      <c r="DW11" s="33">
        <f t="shared" si="98"/>
        <v>8362.312</v>
      </c>
      <c r="DX11" s="33">
        <f t="shared" si="64"/>
        <v>2467.566054</v>
      </c>
      <c r="DY11" s="51">
        <f t="shared" si="65"/>
        <v>10829.878054</v>
      </c>
      <c r="DZ11" s="51">
        <f t="shared" si="66"/>
        <v>160.1633232</v>
      </c>
    </row>
    <row r="12" spans="1:130" ht="12.75">
      <c r="A12" s="31">
        <v>43009</v>
      </c>
      <c r="B12" s="27"/>
      <c r="D12" s="35">
        <v>334125</v>
      </c>
      <c r="F12" s="35">
        <v>838030</v>
      </c>
      <c r="G12" s="35">
        <f t="shared" si="67"/>
        <v>0</v>
      </c>
      <c r="H12" s="35">
        <f t="shared" si="68"/>
        <v>1172155</v>
      </c>
      <c r="I12" s="35">
        <f t="shared" si="0"/>
        <v>1172155</v>
      </c>
      <c r="J12" s="35">
        <v>83124</v>
      </c>
      <c r="L12" s="71"/>
      <c r="M12" s="71">
        <f t="shared" si="1"/>
        <v>376910.54279250005</v>
      </c>
      <c r="N12" s="71">
        <f t="shared" si="2"/>
        <v>376910.54279250005</v>
      </c>
      <c r="O12" s="71">
        <f t="shared" si="3"/>
        <v>26728.813133999996</v>
      </c>
      <c r="R12" s="33">
        <f t="shared" si="4"/>
        <v>51798.701605</v>
      </c>
      <c r="S12" s="33">
        <f t="shared" si="5"/>
        <v>51798.701605</v>
      </c>
      <c r="T12" s="51">
        <f t="shared" si="6"/>
        <v>3673.332684</v>
      </c>
      <c r="W12" s="51">
        <f t="shared" si="7"/>
        <v>52852.468949999995</v>
      </c>
      <c r="X12" s="51">
        <f t="shared" si="8"/>
        <v>52852.468949999995</v>
      </c>
      <c r="Y12" s="51">
        <f t="shared" si="9"/>
        <v>3748.0611599999997</v>
      </c>
      <c r="AB12" s="51">
        <f t="shared" si="10"/>
        <v>1767.2580935</v>
      </c>
      <c r="AC12" s="51">
        <f t="shared" si="11"/>
        <v>1767.2580935</v>
      </c>
      <c r="AD12" s="51">
        <f t="shared" si="12"/>
        <v>125.32605480000001</v>
      </c>
      <c r="AG12" s="33">
        <f t="shared" si="74"/>
        <v>656.4068</v>
      </c>
      <c r="AH12" s="33">
        <f t="shared" si="75"/>
        <v>656.4068</v>
      </c>
      <c r="AI12" s="51">
        <f t="shared" si="76"/>
        <v>46.54944</v>
      </c>
      <c r="AL12" s="33">
        <f t="shared" si="13"/>
        <v>9948.196700499999</v>
      </c>
      <c r="AM12" s="33">
        <f t="shared" si="14"/>
        <v>9948.196700499999</v>
      </c>
      <c r="AN12" s="51">
        <f t="shared" si="15"/>
        <v>705.4817003999999</v>
      </c>
      <c r="AP12" s="51"/>
      <c r="AQ12" s="33">
        <f t="shared" si="16"/>
        <v>2524.2357925</v>
      </c>
      <c r="AR12" s="51">
        <f t="shared" si="17"/>
        <v>2524.2357925</v>
      </c>
      <c r="AS12" s="51">
        <f t="shared" si="18"/>
        <v>179.007534</v>
      </c>
      <c r="AU12" s="51"/>
      <c r="AV12" s="33">
        <f t="shared" si="19"/>
        <v>2701.582844</v>
      </c>
      <c r="AW12" s="51">
        <f t="shared" si="20"/>
        <v>2701.582844</v>
      </c>
      <c r="AX12" s="51">
        <f t="shared" si="21"/>
        <v>191.5841952</v>
      </c>
      <c r="BA12" s="33">
        <f t="shared" si="22"/>
        <v>2738.2712954999997</v>
      </c>
      <c r="BB12" s="33">
        <f t="shared" si="23"/>
        <v>2738.2712954999997</v>
      </c>
      <c r="BC12" s="51">
        <f t="shared" si="24"/>
        <v>194.1859764</v>
      </c>
      <c r="BF12" s="33">
        <f t="shared" si="25"/>
        <v>544.2315665</v>
      </c>
      <c r="BG12" s="51">
        <f t="shared" si="26"/>
        <v>544.2315665</v>
      </c>
      <c r="BH12" s="51">
        <f t="shared" si="27"/>
        <v>38.5944732</v>
      </c>
      <c r="BK12" s="33">
        <f t="shared" si="28"/>
        <v>4416.7972555</v>
      </c>
      <c r="BL12" s="51">
        <f t="shared" si="29"/>
        <v>4416.7972555</v>
      </c>
      <c r="BM12" s="51">
        <f t="shared" si="30"/>
        <v>313.2195444</v>
      </c>
      <c r="BP12" s="33">
        <f t="shared" si="84"/>
        <v>134.5633940000001</v>
      </c>
      <c r="BQ12" s="51">
        <f t="shared" si="85"/>
        <v>134.5633940000001</v>
      </c>
      <c r="BR12" s="33">
        <f t="shared" si="86"/>
        <v>9.542635200000007</v>
      </c>
      <c r="BT12" s="51"/>
      <c r="BU12" s="51">
        <f t="shared" si="31"/>
        <v>3868.814793</v>
      </c>
      <c r="BV12" s="33">
        <f t="shared" si="32"/>
        <v>3868.814793</v>
      </c>
      <c r="BW12" s="51">
        <f t="shared" si="33"/>
        <v>274.3590744</v>
      </c>
      <c r="BY12" s="51"/>
      <c r="BZ12" s="51">
        <f t="shared" si="34"/>
        <v>2435.3864435</v>
      </c>
      <c r="CA12" s="33">
        <f t="shared" si="35"/>
        <v>2435.3864435</v>
      </c>
      <c r="CB12" s="51">
        <f t="shared" si="36"/>
        <v>172.7067348</v>
      </c>
      <c r="CE12" s="33">
        <f t="shared" si="37"/>
        <v>93275.640711</v>
      </c>
      <c r="CF12" s="51">
        <f t="shared" si="38"/>
        <v>93275.640711</v>
      </c>
      <c r="CG12" s="51">
        <f t="shared" si="39"/>
        <v>6614.6920488</v>
      </c>
      <c r="CJ12" s="33">
        <f t="shared" si="40"/>
        <v>1064.5511709999998</v>
      </c>
      <c r="CK12" s="33">
        <f t="shared" si="41"/>
        <v>1064.5511709999998</v>
      </c>
      <c r="CL12" s="51">
        <f t="shared" si="42"/>
        <v>75.4932168</v>
      </c>
      <c r="CO12" s="33">
        <f t="shared" si="43"/>
        <v>130043.09545800001</v>
      </c>
      <c r="CP12" s="51">
        <f t="shared" si="44"/>
        <v>130043.09545800001</v>
      </c>
      <c r="CQ12" s="51">
        <f t="shared" si="45"/>
        <v>9222.0758064</v>
      </c>
      <c r="CT12" s="33">
        <f t="shared" si="46"/>
        <v>1254.20585</v>
      </c>
      <c r="CU12" s="51">
        <f t="shared" si="47"/>
        <v>1254.20585</v>
      </c>
      <c r="CV12" s="51">
        <f t="shared" si="48"/>
        <v>88.94268</v>
      </c>
      <c r="CY12" s="33">
        <f t="shared" si="49"/>
        <v>867.5119155000001</v>
      </c>
      <c r="CZ12" s="51">
        <f t="shared" si="50"/>
        <v>867.5119155000001</v>
      </c>
      <c r="DA12" s="51">
        <f t="shared" si="51"/>
        <v>61.520072400000004</v>
      </c>
      <c r="DD12" s="51">
        <f t="shared" si="52"/>
        <v>534.971542</v>
      </c>
      <c r="DE12" s="51">
        <f t="shared" si="53"/>
        <v>534.971542</v>
      </c>
      <c r="DF12" s="51">
        <f t="shared" si="54"/>
        <v>37.9377936</v>
      </c>
      <c r="DI12" s="33">
        <f t="shared" si="55"/>
        <v>13.362566999999999</v>
      </c>
      <c r="DJ12" s="51">
        <f t="shared" si="56"/>
        <v>13.362566999999999</v>
      </c>
      <c r="DK12" s="51">
        <f t="shared" si="57"/>
        <v>0.9476136</v>
      </c>
      <c r="DN12" s="33">
        <f t="shared" si="58"/>
        <v>3292.9350415</v>
      </c>
      <c r="DO12" s="33">
        <f t="shared" si="59"/>
        <v>3292.9350415</v>
      </c>
      <c r="DP12" s="51">
        <f t="shared" si="60"/>
        <v>233.52025319999998</v>
      </c>
      <c r="DS12" s="33">
        <f t="shared" si="61"/>
        <v>7918.844749</v>
      </c>
      <c r="DT12" s="51">
        <f t="shared" si="62"/>
        <v>7918.844749</v>
      </c>
      <c r="DU12" s="51">
        <f t="shared" si="63"/>
        <v>561.5691192</v>
      </c>
      <c r="DX12" s="33">
        <f t="shared" si="64"/>
        <v>2258.508254</v>
      </c>
      <c r="DY12" s="51">
        <f t="shared" si="65"/>
        <v>2258.508254</v>
      </c>
      <c r="DZ12" s="51">
        <f t="shared" si="66"/>
        <v>160.1633232</v>
      </c>
    </row>
    <row r="13" spans="1:130" ht="12.75">
      <c r="A13" s="31">
        <v>43191</v>
      </c>
      <c r="C13" s="35">
        <v>4560000</v>
      </c>
      <c r="D13" s="35">
        <v>334125</v>
      </c>
      <c r="F13" s="35">
        <v>838030</v>
      </c>
      <c r="G13" s="35">
        <f t="shared" si="67"/>
        <v>4560000</v>
      </c>
      <c r="H13" s="35">
        <f t="shared" si="68"/>
        <v>1172155</v>
      </c>
      <c r="I13" s="35">
        <f t="shared" si="0"/>
        <v>5732155</v>
      </c>
      <c r="J13" s="35">
        <v>83124</v>
      </c>
      <c r="L13" s="71">
        <f t="shared" si="69"/>
        <v>1466283.9599999995</v>
      </c>
      <c r="M13" s="71">
        <f t="shared" si="1"/>
        <v>376910.54279250005</v>
      </c>
      <c r="N13" s="71">
        <f t="shared" si="2"/>
        <v>1843194.5027924995</v>
      </c>
      <c r="O13" s="71">
        <f t="shared" si="3"/>
        <v>26728.813133999996</v>
      </c>
      <c r="Q13" s="33">
        <f t="shared" si="70"/>
        <v>201510.96</v>
      </c>
      <c r="R13" s="33">
        <f t="shared" si="4"/>
        <v>51798.701605</v>
      </c>
      <c r="S13" s="33">
        <f t="shared" si="5"/>
        <v>253309.661605</v>
      </c>
      <c r="T13" s="51">
        <f t="shared" si="6"/>
        <v>3673.332684</v>
      </c>
      <c r="V13" s="33">
        <f t="shared" si="71"/>
        <v>205610.4</v>
      </c>
      <c r="W13" s="51">
        <f t="shared" si="7"/>
        <v>52852.468949999995</v>
      </c>
      <c r="X13" s="51">
        <f t="shared" si="8"/>
        <v>258462.86894999997</v>
      </c>
      <c r="Y13" s="51">
        <f t="shared" si="9"/>
        <v>3748.0611599999997</v>
      </c>
      <c r="AA13" s="33">
        <f t="shared" si="72"/>
        <v>6875.112</v>
      </c>
      <c r="AB13" s="51">
        <f t="shared" si="10"/>
        <v>1767.2580935</v>
      </c>
      <c r="AC13" s="51">
        <f t="shared" si="11"/>
        <v>8642.3700935</v>
      </c>
      <c r="AD13" s="51">
        <f t="shared" si="12"/>
        <v>125.32605480000001</v>
      </c>
      <c r="AF13" s="33">
        <f t="shared" si="73"/>
        <v>2553.6</v>
      </c>
      <c r="AG13" s="33">
        <f t="shared" si="74"/>
        <v>656.4068</v>
      </c>
      <c r="AH13" s="33">
        <f t="shared" si="75"/>
        <v>3210.0068</v>
      </c>
      <c r="AI13" s="51">
        <f t="shared" si="76"/>
        <v>46.54944</v>
      </c>
      <c r="AK13" s="33">
        <f t="shared" si="77"/>
        <v>38701.176</v>
      </c>
      <c r="AL13" s="33">
        <f t="shared" si="13"/>
        <v>9948.196700499999</v>
      </c>
      <c r="AM13" s="33">
        <f t="shared" si="14"/>
        <v>48649.3727005</v>
      </c>
      <c r="AN13" s="51">
        <f t="shared" si="15"/>
        <v>705.4817003999999</v>
      </c>
      <c r="AP13" s="51">
        <f t="shared" si="78"/>
        <v>9819.960000000001</v>
      </c>
      <c r="AQ13" s="33">
        <f t="shared" si="16"/>
        <v>2524.2357925</v>
      </c>
      <c r="AR13" s="51">
        <f t="shared" si="17"/>
        <v>12344.1957925</v>
      </c>
      <c r="AS13" s="51">
        <f t="shared" si="18"/>
        <v>179.007534</v>
      </c>
      <c r="AU13" s="51">
        <f t="shared" si="79"/>
        <v>10509.888</v>
      </c>
      <c r="AV13" s="33">
        <f t="shared" si="19"/>
        <v>2701.582844</v>
      </c>
      <c r="AW13" s="51">
        <f t="shared" si="20"/>
        <v>13211.470844000001</v>
      </c>
      <c r="AX13" s="51">
        <f t="shared" si="21"/>
        <v>191.5841952</v>
      </c>
      <c r="AZ13" s="33">
        <f t="shared" si="80"/>
        <v>10652.616</v>
      </c>
      <c r="BA13" s="33">
        <f t="shared" si="22"/>
        <v>2738.2712954999997</v>
      </c>
      <c r="BB13" s="33">
        <f t="shared" si="23"/>
        <v>13390.8872955</v>
      </c>
      <c r="BC13" s="51">
        <f t="shared" si="24"/>
        <v>194.1859764</v>
      </c>
      <c r="BE13" s="33">
        <f t="shared" si="81"/>
        <v>2117.208</v>
      </c>
      <c r="BF13" s="33">
        <f t="shared" si="25"/>
        <v>544.2315665</v>
      </c>
      <c r="BG13" s="51">
        <f t="shared" si="26"/>
        <v>2661.4395665</v>
      </c>
      <c r="BH13" s="51">
        <f t="shared" si="27"/>
        <v>38.5944732</v>
      </c>
      <c r="BJ13" s="33">
        <f t="shared" si="82"/>
        <v>17182.536</v>
      </c>
      <c r="BK13" s="33">
        <f t="shared" si="28"/>
        <v>4416.7972555</v>
      </c>
      <c r="BL13" s="51">
        <f t="shared" si="29"/>
        <v>21599.3332555</v>
      </c>
      <c r="BM13" s="51">
        <f t="shared" si="30"/>
        <v>313.2195444</v>
      </c>
      <c r="BO13" s="33">
        <f t="shared" si="83"/>
        <v>523.4880000000004</v>
      </c>
      <c r="BP13" s="33">
        <f t="shared" si="84"/>
        <v>134.5633940000001</v>
      </c>
      <c r="BQ13" s="51">
        <f t="shared" si="85"/>
        <v>658.0513940000005</v>
      </c>
      <c r="BR13" s="33">
        <f t="shared" si="86"/>
        <v>9.542635200000007</v>
      </c>
      <c r="BT13" s="51">
        <f t="shared" si="87"/>
        <v>15050.735999999999</v>
      </c>
      <c r="BU13" s="51">
        <f t="shared" si="31"/>
        <v>3868.814793</v>
      </c>
      <c r="BV13" s="33">
        <f t="shared" si="32"/>
        <v>18919.550793</v>
      </c>
      <c r="BW13" s="51">
        <f t="shared" si="33"/>
        <v>274.3590744</v>
      </c>
      <c r="BY13" s="51">
        <f t="shared" si="88"/>
        <v>9474.312</v>
      </c>
      <c r="BZ13" s="51">
        <f t="shared" si="34"/>
        <v>2435.3864435</v>
      </c>
      <c r="CA13" s="33">
        <f t="shared" si="35"/>
        <v>11909.6984435</v>
      </c>
      <c r="CB13" s="51">
        <f t="shared" si="36"/>
        <v>172.7067348</v>
      </c>
      <c r="CD13" s="33">
        <f t="shared" si="89"/>
        <v>362867.472</v>
      </c>
      <c r="CE13" s="33">
        <f t="shared" si="37"/>
        <v>93275.640711</v>
      </c>
      <c r="CF13" s="51">
        <f t="shared" si="38"/>
        <v>456143.112711</v>
      </c>
      <c r="CG13" s="51">
        <f t="shared" si="39"/>
        <v>6614.6920488</v>
      </c>
      <c r="CI13" s="33">
        <f t="shared" si="90"/>
        <v>4141.392</v>
      </c>
      <c r="CJ13" s="33">
        <f t="shared" si="40"/>
        <v>1064.5511709999998</v>
      </c>
      <c r="CK13" s="33">
        <f t="shared" si="41"/>
        <v>5205.943171</v>
      </c>
      <c r="CL13" s="51">
        <f t="shared" si="42"/>
        <v>75.4932168</v>
      </c>
      <c r="CN13" s="33">
        <f t="shared" si="91"/>
        <v>505902.816</v>
      </c>
      <c r="CO13" s="33">
        <f t="shared" si="43"/>
        <v>130043.09545800001</v>
      </c>
      <c r="CP13" s="51">
        <f t="shared" si="44"/>
        <v>635945.911458</v>
      </c>
      <c r="CQ13" s="51">
        <f t="shared" si="45"/>
        <v>9222.0758064</v>
      </c>
      <c r="CS13" s="33">
        <f t="shared" si="92"/>
        <v>4879.2</v>
      </c>
      <c r="CT13" s="33">
        <f t="shared" si="46"/>
        <v>1254.20585</v>
      </c>
      <c r="CU13" s="51">
        <f t="shared" si="47"/>
        <v>6133.40585</v>
      </c>
      <c r="CV13" s="51">
        <f t="shared" si="48"/>
        <v>88.94268</v>
      </c>
      <c r="CX13" s="33">
        <f t="shared" si="93"/>
        <v>3374.856</v>
      </c>
      <c r="CY13" s="33">
        <f t="shared" si="49"/>
        <v>867.5119155000001</v>
      </c>
      <c r="CZ13" s="51">
        <f t="shared" si="50"/>
        <v>4242.3679155</v>
      </c>
      <c r="DA13" s="51">
        <f t="shared" si="51"/>
        <v>61.520072400000004</v>
      </c>
      <c r="DC13" s="33">
        <f t="shared" si="94"/>
        <v>2081.1839999999997</v>
      </c>
      <c r="DD13" s="51">
        <f t="shared" si="52"/>
        <v>534.971542</v>
      </c>
      <c r="DE13" s="51">
        <f t="shared" si="53"/>
        <v>2616.1555419999995</v>
      </c>
      <c r="DF13" s="51">
        <f t="shared" si="54"/>
        <v>37.9377936</v>
      </c>
      <c r="DH13" s="33">
        <f t="shared" si="95"/>
        <v>51.983999999999995</v>
      </c>
      <c r="DI13" s="33">
        <f t="shared" si="55"/>
        <v>13.362566999999999</v>
      </c>
      <c r="DJ13" s="51">
        <f t="shared" si="56"/>
        <v>65.346567</v>
      </c>
      <c r="DK13" s="51">
        <f t="shared" si="57"/>
        <v>0.9476136</v>
      </c>
      <c r="DM13" s="33">
        <f t="shared" si="96"/>
        <v>12810.408</v>
      </c>
      <c r="DN13" s="33">
        <f t="shared" si="58"/>
        <v>3292.9350415</v>
      </c>
      <c r="DO13" s="33">
        <f t="shared" si="59"/>
        <v>16103.3430415</v>
      </c>
      <c r="DP13" s="51">
        <f t="shared" si="60"/>
        <v>233.52025319999998</v>
      </c>
      <c r="DR13" s="33">
        <f t="shared" si="97"/>
        <v>30806.448</v>
      </c>
      <c r="DS13" s="33">
        <f t="shared" si="61"/>
        <v>7918.844749</v>
      </c>
      <c r="DT13" s="51">
        <f t="shared" si="62"/>
        <v>38725.292749</v>
      </c>
      <c r="DU13" s="51">
        <f t="shared" si="63"/>
        <v>561.5691192</v>
      </c>
      <c r="DW13" s="33">
        <f t="shared" si="98"/>
        <v>8786.208</v>
      </c>
      <c r="DX13" s="33">
        <f t="shared" si="64"/>
        <v>2258.508254</v>
      </c>
      <c r="DY13" s="51">
        <f t="shared" si="65"/>
        <v>11044.716254</v>
      </c>
      <c r="DZ13" s="51">
        <f t="shared" si="66"/>
        <v>160.1633232</v>
      </c>
    </row>
    <row r="14" spans="1:130" ht="12.75">
      <c r="A14" s="31">
        <v>43374</v>
      </c>
      <c r="D14" s="35">
        <v>220125</v>
      </c>
      <c r="F14" s="35">
        <v>838030</v>
      </c>
      <c r="G14" s="35">
        <f t="shared" si="67"/>
        <v>0</v>
      </c>
      <c r="H14" s="35">
        <f t="shared" si="68"/>
        <v>1058155</v>
      </c>
      <c r="I14" s="35">
        <f t="shared" si="0"/>
        <v>1058155</v>
      </c>
      <c r="J14" s="35">
        <v>83124</v>
      </c>
      <c r="L14" s="71"/>
      <c r="M14" s="71">
        <f t="shared" si="1"/>
        <v>340253.4437925</v>
      </c>
      <c r="N14" s="71">
        <f t="shared" si="2"/>
        <v>340253.4437925</v>
      </c>
      <c r="O14" s="71">
        <f t="shared" si="3"/>
        <v>26728.813133999996</v>
      </c>
      <c r="R14" s="33">
        <f t="shared" si="4"/>
        <v>46760.927605000004</v>
      </c>
      <c r="S14" s="33">
        <f t="shared" si="5"/>
        <v>46760.927605000004</v>
      </c>
      <c r="T14" s="51">
        <f t="shared" si="6"/>
        <v>3673.332684</v>
      </c>
      <c r="W14" s="51">
        <f t="shared" si="7"/>
        <v>47712.20895</v>
      </c>
      <c r="X14" s="51">
        <f t="shared" si="8"/>
        <v>47712.20895</v>
      </c>
      <c r="Y14" s="51">
        <f t="shared" si="9"/>
        <v>3748.0611599999997</v>
      </c>
      <c r="AB14" s="51">
        <f t="shared" si="10"/>
        <v>1595.3802935</v>
      </c>
      <c r="AC14" s="51">
        <f t="shared" si="11"/>
        <v>1595.3802935</v>
      </c>
      <c r="AD14" s="51">
        <f t="shared" si="12"/>
        <v>125.32605480000001</v>
      </c>
      <c r="AG14" s="33">
        <f t="shared" si="74"/>
        <v>592.5668</v>
      </c>
      <c r="AH14" s="33">
        <f t="shared" si="75"/>
        <v>592.5668</v>
      </c>
      <c r="AI14" s="51">
        <f t="shared" si="76"/>
        <v>46.54944</v>
      </c>
      <c r="AL14" s="33">
        <f t="shared" si="13"/>
        <v>8980.6673005</v>
      </c>
      <c r="AM14" s="33">
        <f t="shared" si="14"/>
        <v>8980.6673005</v>
      </c>
      <c r="AN14" s="51">
        <f t="shared" si="15"/>
        <v>705.4817003999999</v>
      </c>
      <c r="AP14" s="51"/>
      <c r="AQ14" s="33">
        <f t="shared" si="16"/>
        <v>2278.7367925</v>
      </c>
      <c r="AR14" s="51">
        <f t="shared" si="17"/>
        <v>2278.7367925</v>
      </c>
      <c r="AS14" s="51">
        <f t="shared" si="18"/>
        <v>179.007534</v>
      </c>
      <c r="AU14" s="51"/>
      <c r="AV14" s="33">
        <f t="shared" si="19"/>
        <v>2438.8356440000002</v>
      </c>
      <c r="AW14" s="51">
        <f t="shared" si="20"/>
        <v>2438.8356440000002</v>
      </c>
      <c r="AX14" s="51">
        <f t="shared" si="21"/>
        <v>191.5841952</v>
      </c>
      <c r="BA14" s="33">
        <f t="shared" si="22"/>
        <v>2471.9558954999998</v>
      </c>
      <c r="BB14" s="33">
        <f t="shared" si="23"/>
        <v>2471.9558954999998</v>
      </c>
      <c r="BC14" s="51">
        <f t="shared" si="24"/>
        <v>194.1859764</v>
      </c>
      <c r="BF14" s="33">
        <f t="shared" si="25"/>
        <v>491.30136650000003</v>
      </c>
      <c r="BG14" s="51">
        <f t="shared" si="26"/>
        <v>491.30136650000003</v>
      </c>
      <c r="BH14" s="51">
        <f t="shared" si="27"/>
        <v>38.5944732</v>
      </c>
      <c r="BK14" s="33">
        <f t="shared" si="28"/>
        <v>3987.2338555</v>
      </c>
      <c r="BL14" s="51">
        <f t="shared" si="29"/>
        <v>3987.2338555</v>
      </c>
      <c r="BM14" s="51">
        <f t="shared" si="30"/>
        <v>313.2195444</v>
      </c>
      <c r="BP14" s="33">
        <f t="shared" si="84"/>
        <v>121.47619400000008</v>
      </c>
      <c r="BQ14" s="51">
        <f t="shared" si="85"/>
        <v>121.47619400000008</v>
      </c>
      <c r="BR14" s="33">
        <f t="shared" si="86"/>
        <v>9.542635200000007</v>
      </c>
      <c r="BT14" s="51"/>
      <c r="BU14" s="51">
        <f t="shared" si="31"/>
        <v>3492.546393</v>
      </c>
      <c r="BV14" s="33">
        <f t="shared" si="32"/>
        <v>3492.546393</v>
      </c>
      <c r="BW14" s="51">
        <f t="shared" si="33"/>
        <v>274.3590744</v>
      </c>
      <c r="BY14" s="51"/>
      <c r="BZ14" s="51">
        <f t="shared" si="34"/>
        <v>2198.5286435</v>
      </c>
      <c r="CA14" s="33">
        <f t="shared" si="35"/>
        <v>2198.5286435</v>
      </c>
      <c r="CB14" s="51">
        <f t="shared" si="36"/>
        <v>172.7067348</v>
      </c>
      <c r="CE14" s="33">
        <f t="shared" si="37"/>
        <v>84203.953911</v>
      </c>
      <c r="CF14" s="51">
        <f t="shared" si="38"/>
        <v>84203.953911</v>
      </c>
      <c r="CG14" s="51">
        <f t="shared" si="39"/>
        <v>6614.6920488</v>
      </c>
      <c r="CJ14" s="33">
        <f t="shared" si="40"/>
        <v>961.0163709999999</v>
      </c>
      <c r="CK14" s="33">
        <f t="shared" si="41"/>
        <v>961.0163709999999</v>
      </c>
      <c r="CL14" s="51">
        <f t="shared" si="42"/>
        <v>75.4932168</v>
      </c>
      <c r="CO14" s="33">
        <f t="shared" si="43"/>
        <v>117395.525058</v>
      </c>
      <c r="CP14" s="51">
        <f t="shared" si="44"/>
        <v>117395.525058</v>
      </c>
      <c r="CQ14" s="51">
        <f t="shared" si="45"/>
        <v>9222.0758064</v>
      </c>
      <c r="CT14" s="33">
        <f t="shared" si="46"/>
        <v>1132.22585</v>
      </c>
      <c r="CU14" s="51">
        <f t="shared" si="47"/>
        <v>1132.22585</v>
      </c>
      <c r="CV14" s="51">
        <f t="shared" si="48"/>
        <v>88.94268</v>
      </c>
      <c r="CY14" s="33">
        <f t="shared" si="49"/>
        <v>783.1405155</v>
      </c>
      <c r="CZ14" s="51">
        <f t="shared" si="50"/>
        <v>783.1405155</v>
      </c>
      <c r="DA14" s="51">
        <f t="shared" si="51"/>
        <v>61.520072400000004</v>
      </c>
      <c r="DD14" s="51">
        <f t="shared" si="52"/>
        <v>482.941942</v>
      </c>
      <c r="DE14" s="51">
        <f t="shared" si="53"/>
        <v>482.941942</v>
      </c>
      <c r="DF14" s="51">
        <f t="shared" si="54"/>
        <v>37.9377936</v>
      </c>
      <c r="DI14" s="33">
        <f t="shared" si="55"/>
        <v>12.062966999999999</v>
      </c>
      <c r="DJ14" s="51">
        <f t="shared" si="56"/>
        <v>12.062966999999999</v>
      </c>
      <c r="DK14" s="51">
        <f t="shared" si="57"/>
        <v>0.9476136</v>
      </c>
      <c r="DN14" s="33">
        <f t="shared" si="58"/>
        <v>2972.6748414999997</v>
      </c>
      <c r="DO14" s="33">
        <f t="shared" si="59"/>
        <v>2972.6748414999997</v>
      </c>
      <c r="DP14" s="51">
        <f t="shared" si="60"/>
        <v>233.52025319999998</v>
      </c>
      <c r="DS14" s="33">
        <f t="shared" si="61"/>
        <v>7148.683549</v>
      </c>
      <c r="DT14" s="51">
        <f t="shared" si="62"/>
        <v>7148.683549</v>
      </c>
      <c r="DU14" s="51">
        <f t="shared" si="63"/>
        <v>561.5691192</v>
      </c>
      <c r="DX14" s="33">
        <f t="shared" si="64"/>
        <v>2038.853054</v>
      </c>
      <c r="DY14" s="51">
        <f t="shared" si="65"/>
        <v>2038.853054</v>
      </c>
      <c r="DZ14" s="51">
        <f t="shared" si="66"/>
        <v>160.1633232</v>
      </c>
    </row>
    <row r="15" spans="1:130" ht="12.75">
      <c r="A15" s="31">
        <v>43556</v>
      </c>
      <c r="C15" s="35">
        <v>4785000</v>
      </c>
      <c r="D15" s="35">
        <v>220125</v>
      </c>
      <c r="F15" s="35">
        <v>838030</v>
      </c>
      <c r="G15" s="35">
        <f t="shared" si="67"/>
        <v>4785000</v>
      </c>
      <c r="H15" s="35">
        <f t="shared" si="68"/>
        <v>1058155</v>
      </c>
      <c r="I15" s="35">
        <f t="shared" si="0"/>
        <v>5843155</v>
      </c>
      <c r="J15" s="35">
        <v>83124</v>
      </c>
      <c r="L15" s="71">
        <f t="shared" si="69"/>
        <v>1538633.4975000003</v>
      </c>
      <c r="M15" s="71">
        <f t="shared" si="1"/>
        <v>340253.4437925</v>
      </c>
      <c r="N15" s="71">
        <f t="shared" si="2"/>
        <v>1878886.9412925004</v>
      </c>
      <c r="O15" s="71">
        <f t="shared" si="3"/>
        <v>26728.813133999996</v>
      </c>
      <c r="Q15" s="33">
        <f t="shared" si="70"/>
        <v>211453.935</v>
      </c>
      <c r="R15" s="33">
        <f t="shared" si="4"/>
        <v>46760.927605000004</v>
      </c>
      <c r="S15" s="33">
        <f t="shared" si="5"/>
        <v>258214.862605</v>
      </c>
      <c r="T15" s="51">
        <f t="shared" si="6"/>
        <v>3673.332684</v>
      </c>
      <c r="V15" s="33">
        <f t="shared" si="71"/>
        <v>215755.65</v>
      </c>
      <c r="W15" s="51">
        <f t="shared" si="7"/>
        <v>47712.20895</v>
      </c>
      <c r="X15" s="51">
        <f t="shared" si="8"/>
        <v>263467.85895</v>
      </c>
      <c r="Y15" s="51">
        <f t="shared" si="9"/>
        <v>3748.0611599999997</v>
      </c>
      <c r="AA15" s="33">
        <f t="shared" si="72"/>
        <v>7214.3445</v>
      </c>
      <c r="AB15" s="51">
        <f t="shared" si="10"/>
        <v>1595.3802935</v>
      </c>
      <c r="AC15" s="51">
        <f t="shared" si="11"/>
        <v>8809.7247935</v>
      </c>
      <c r="AD15" s="51">
        <f t="shared" si="12"/>
        <v>125.32605480000001</v>
      </c>
      <c r="AF15" s="33">
        <f t="shared" si="73"/>
        <v>2679.6</v>
      </c>
      <c r="AG15" s="33">
        <f t="shared" si="74"/>
        <v>592.5668</v>
      </c>
      <c r="AH15" s="33">
        <f t="shared" si="75"/>
        <v>3272.1668</v>
      </c>
      <c r="AI15" s="51">
        <f t="shared" si="76"/>
        <v>46.54944</v>
      </c>
      <c r="AK15" s="33">
        <f t="shared" si="77"/>
        <v>40610.773499999996</v>
      </c>
      <c r="AL15" s="33">
        <f t="shared" si="13"/>
        <v>8980.6673005</v>
      </c>
      <c r="AM15" s="33">
        <f t="shared" si="14"/>
        <v>49591.44080049999</v>
      </c>
      <c r="AN15" s="51">
        <f t="shared" si="15"/>
        <v>705.4817003999999</v>
      </c>
      <c r="AP15" s="51">
        <f t="shared" si="78"/>
        <v>10304.4975</v>
      </c>
      <c r="AQ15" s="33">
        <f t="shared" si="16"/>
        <v>2278.7367925</v>
      </c>
      <c r="AR15" s="51">
        <f t="shared" si="17"/>
        <v>12583.2342925</v>
      </c>
      <c r="AS15" s="51">
        <f t="shared" si="18"/>
        <v>179.007534</v>
      </c>
      <c r="AU15" s="51">
        <f t="shared" si="79"/>
        <v>11028.468</v>
      </c>
      <c r="AV15" s="33">
        <f t="shared" si="19"/>
        <v>2438.8356440000002</v>
      </c>
      <c r="AW15" s="51">
        <f t="shared" si="20"/>
        <v>13467.303644000001</v>
      </c>
      <c r="AX15" s="51">
        <f t="shared" si="21"/>
        <v>191.5841952</v>
      </c>
      <c r="AZ15" s="33">
        <f t="shared" si="80"/>
        <v>11178.2385</v>
      </c>
      <c r="BA15" s="33">
        <f t="shared" si="22"/>
        <v>2471.9558954999998</v>
      </c>
      <c r="BB15" s="33">
        <f t="shared" si="23"/>
        <v>13650.194395499999</v>
      </c>
      <c r="BC15" s="51">
        <f t="shared" si="24"/>
        <v>194.1859764</v>
      </c>
      <c r="BE15" s="33">
        <f t="shared" si="81"/>
        <v>2221.6755</v>
      </c>
      <c r="BF15" s="33">
        <f t="shared" si="25"/>
        <v>491.30136650000003</v>
      </c>
      <c r="BG15" s="51">
        <f t="shared" si="26"/>
        <v>2712.9768664999997</v>
      </c>
      <c r="BH15" s="51">
        <f t="shared" si="27"/>
        <v>38.5944732</v>
      </c>
      <c r="BJ15" s="33">
        <f t="shared" si="82"/>
        <v>18030.3585</v>
      </c>
      <c r="BK15" s="33">
        <f t="shared" si="28"/>
        <v>3987.2338555</v>
      </c>
      <c r="BL15" s="51">
        <f t="shared" si="29"/>
        <v>22017.592355499997</v>
      </c>
      <c r="BM15" s="51">
        <f t="shared" si="30"/>
        <v>313.2195444</v>
      </c>
      <c r="BO15" s="33">
        <f t="shared" si="83"/>
        <v>549.3180000000004</v>
      </c>
      <c r="BP15" s="33">
        <f t="shared" si="84"/>
        <v>121.47619400000008</v>
      </c>
      <c r="BQ15" s="51">
        <f t="shared" si="85"/>
        <v>670.7941940000005</v>
      </c>
      <c r="BR15" s="33">
        <f t="shared" si="86"/>
        <v>9.542635200000007</v>
      </c>
      <c r="BT15" s="51">
        <f t="shared" si="87"/>
        <v>15793.371</v>
      </c>
      <c r="BU15" s="51">
        <f t="shared" si="31"/>
        <v>3492.546393</v>
      </c>
      <c r="BV15" s="33">
        <f t="shared" si="32"/>
        <v>19285.917393</v>
      </c>
      <c r="BW15" s="51">
        <f t="shared" si="33"/>
        <v>274.3590744</v>
      </c>
      <c r="BY15" s="51">
        <f t="shared" si="88"/>
        <v>9941.7945</v>
      </c>
      <c r="BZ15" s="51">
        <f t="shared" si="34"/>
        <v>2198.5286435</v>
      </c>
      <c r="CA15" s="33">
        <f t="shared" si="35"/>
        <v>12140.3231435</v>
      </c>
      <c r="CB15" s="51">
        <f t="shared" si="36"/>
        <v>172.7067348</v>
      </c>
      <c r="CD15" s="33">
        <f t="shared" si="89"/>
        <v>380772.117</v>
      </c>
      <c r="CE15" s="33">
        <f t="shared" si="37"/>
        <v>84203.953911</v>
      </c>
      <c r="CF15" s="51">
        <f t="shared" si="38"/>
        <v>464976.070911</v>
      </c>
      <c r="CG15" s="51">
        <f t="shared" si="39"/>
        <v>6614.6920488</v>
      </c>
      <c r="CI15" s="33">
        <f t="shared" si="90"/>
        <v>4345.737</v>
      </c>
      <c r="CJ15" s="33">
        <f t="shared" si="40"/>
        <v>961.0163709999999</v>
      </c>
      <c r="CK15" s="33">
        <f t="shared" si="41"/>
        <v>5306.753371</v>
      </c>
      <c r="CL15" s="51">
        <f t="shared" si="42"/>
        <v>75.4932168</v>
      </c>
      <c r="CN15" s="33">
        <f t="shared" si="91"/>
        <v>530865.126</v>
      </c>
      <c r="CO15" s="33">
        <f t="shared" si="43"/>
        <v>117395.525058</v>
      </c>
      <c r="CP15" s="51">
        <f t="shared" si="44"/>
        <v>648260.651058</v>
      </c>
      <c r="CQ15" s="51">
        <f t="shared" si="45"/>
        <v>9222.0758064</v>
      </c>
      <c r="CS15" s="33">
        <f t="shared" si="92"/>
        <v>5119.95</v>
      </c>
      <c r="CT15" s="33">
        <f t="shared" si="46"/>
        <v>1132.22585</v>
      </c>
      <c r="CU15" s="51">
        <f t="shared" si="47"/>
        <v>6252.17585</v>
      </c>
      <c r="CV15" s="51">
        <f t="shared" si="48"/>
        <v>88.94268</v>
      </c>
      <c r="CX15" s="33">
        <f t="shared" si="93"/>
        <v>3541.3785000000003</v>
      </c>
      <c r="CY15" s="33">
        <f t="shared" si="49"/>
        <v>783.1405155</v>
      </c>
      <c r="CZ15" s="51">
        <f t="shared" si="50"/>
        <v>4324.5190155</v>
      </c>
      <c r="DA15" s="51">
        <f t="shared" si="51"/>
        <v>61.520072400000004</v>
      </c>
      <c r="DC15" s="33">
        <f t="shared" si="94"/>
        <v>2183.874</v>
      </c>
      <c r="DD15" s="51">
        <f t="shared" si="52"/>
        <v>482.941942</v>
      </c>
      <c r="DE15" s="51">
        <f t="shared" si="53"/>
        <v>2666.8159419999997</v>
      </c>
      <c r="DF15" s="51">
        <f t="shared" si="54"/>
        <v>37.9377936</v>
      </c>
      <c r="DH15" s="33">
        <f t="shared" si="95"/>
        <v>54.549</v>
      </c>
      <c r="DI15" s="33">
        <f t="shared" si="55"/>
        <v>12.062966999999999</v>
      </c>
      <c r="DJ15" s="51">
        <f t="shared" si="56"/>
        <v>66.61196699999999</v>
      </c>
      <c r="DK15" s="51">
        <f t="shared" si="57"/>
        <v>0.9476136</v>
      </c>
      <c r="DM15" s="33">
        <f t="shared" si="96"/>
        <v>13442.500499999998</v>
      </c>
      <c r="DN15" s="33">
        <f t="shared" si="58"/>
        <v>2972.6748414999997</v>
      </c>
      <c r="DO15" s="33">
        <f t="shared" si="59"/>
        <v>16415.1753415</v>
      </c>
      <c r="DP15" s="51">
        <f t="shared" si="60"/>
        <v>233.52025319999998</v>
      </c>
      <c r="DR15" s="33">
        <f t="shared" si="97"/>
        <v>32326.503</v>
      </c>
      <c r="DS15" s="33">
        <f t="shared" si="61"/>
        <v>7148.683549</v>
      </c>
      <c r="DT15" s="51">
        <f t="shared" si="62"/>
        <v>39475.186549</v>
      </c>
      <c r="DU15" s="51">
        <f t="shared" si="63"/>
        <v>561.5691192</v>
      </c>
      <c r="DW15" s="33">
        <f t="shared" si="98"/>
        <v>9219.738</v>
      </c>
      <c r="DX15" s="33">
        <f t="shared" si="64"/>
        <v>2038.853054</v>
      </c>
      <c r="DY15" s="51">
        <f t="shared" si="65"/>
        <v>11258.591053999999</v>
      </c>
      <c r="DZ15" s="51">
        <f t="shared" si="66"/>
        <v>160.1633232</v>
      </c>
    </row>
    <row r="16" spans="1:130" ht="12.75">
      <c r="A16" s="31">
        <v>43739</v>
      </c>
      <c r="D16" s="35">
        <v>100500</v>
      </c>
      <c r="F16" s="35">
        <v>838030</v>
      </c>
      <c r="G16" s="35">
        <f t="shared" si="67"/>
        <v>0</v>
      </c>
      <c r="H16" s="35">
        <f t="shared" si="68"/>
        <v>938530</v>
      </c>
      <c r="I16" s="35">
        <f t="shared" si="0"/>
        <v>938530</v>
      </c>
      <c r="J16" s="35">
        <v>83124</v>
      </c>
      <c r="L16" s="71"/>
      <c r="M16" s="71">
        <f t="shared" si="1"/>
        <v>301787.60635500005</v>
      </c>
      <c r="N16" s="71">
        <f t="shared" si="2"/>
        <v>301787.60635500005</v>
      </c>
      <c r="O16" s="71">
        <f t="shared" si="3"/>
        <v>26728.813133999996</v>
      </c>
      <c r="R16" s="33">
        <f t="shared" si="4"/>
        <v>41474.57923</v>
      </c>
      <c r="S16" s="33">
        <f t="shared" si="5"/>
        <v>41474.57923</v>
      </c>
      <c r="T16" s="51">
        <f t="shared" si="6"/>
        <v>3673.332684</v>
      </c>
      <c r="W16" s="51">
        <f t="shared" si="7"/>
        <v>42318.3177</v>
      </c>
      <c r="X16" s="51">
        <f t="shared" si="8"/>
        <v>42318.3177</v>
      </c>
      <c r="Y16" s="51">
        <f t="shared" si="9"/>
        <v>3748.0611599999997</v>
      </c>
      <c r="AB16" s="51">
        <f t="shared" si="10"/>
        <v>1415.021681</v>
      </c>
      <c r="AC16" s="51">
        <f t="shared" si="11"/>
        <v>1415.021681</v>
      </c>
      <c r="AD16" s="51">
        <f t="shared" si="12"/>
        <v>125.32605480000001</v>
      </c>
      <c r="AG16" s="33">
        <f t="shared" si="74"/>
        <v>525.5767999999999</v>
      </c>
      <c r="AH16" s="33">
        <f t="shared" si="75"/>
        <v>525.5767999999999</v>
      </c>
      <c r="AI16" s="51">
        <f t="shared" si="76"/>
        <v>46.54944</v>
      </c>
      <c r="AL16" s="33">
        <f t="shared" si="13"/>
        <v>7965.397962999999</v>
      </c>
      <c r="AM16" s="33">
        <f t="shared" si="14"/>
        <v>7965.397962999999</v>
      </c>
      <c r="AN16" s="51">
        <f t="shared" si="15"/>
        <v>705.4817003999999</v>
      </c>
      <c r="AP16" s="51"/>
      <c r="AQ16" s="33">
        <f t="shared" si="16"/>
        <v>2021.124355</v>
      </c>
      <c r="AR16" s="51">
        <f t="shared" si="17"/>
        <v>2021.124355</v>
      </c>
      <c r="AS16" s="51">
        <f t="shared" si="18"/>
        <v>179.007534</v>
      </c>
      <c r="AU16" s="51"/>
      <c r="AV16" s="33">
        <f t="shared" si="19"/>
        <v>2163.123944</v>
      </c>
      <c r="AW16" s="51">
        <f t="shared" si="20"/>
        <v>2163.123944</v>
      </c>
      <c r="AX16" s="51">
        <f t="shared" si="21"/>
        <v>191.5841952</v>
      </c>
      <c r="BA16" s="33">
        <f t="shared" si="22"/>
        <v>2192.4999329999996</v>
      </c>
      <c r="BB16" s="33">
        <f t="shared" si="23"/>
        <v>2192.4999329999996</v>
      </c>
      <c r="BC16" s="51">
        <f t="shared" si="24"/>
        <v>194.1859764</v>
      </c>
      <c r="BF16" s="33">
        <f t="shared" si="25"/>
        <v>435.759479</v>
      </c>
      <c r="BG16" s="51">
        <f t="shared" si="26"/>
        <v>435.759479</v>
      </c>
      <c r="BH16" s="51">
        <f t="shared" si="27"/>
        <v>38.5944732</v>
      </c>
      <c r="BK16" s="33">
        <f t="shared" si="28"/>
        <v>3536.474893</v>
      </c>
      <c r="BL16" s="51">
        <f t="shared" si="29"/>
        <v>3536.474893</v>
      </c>
      <c r="BM16" s="51">
        <f t="shared" si="30"/>
        <v>313.2195444</v>
      </c>
      <c r="BP16" s="33">
        <f t="shared" si="84"/>
        <v>107.74324400000008</v>
      </c>
      <c r="BQ16" s="51">
        <f t="shared" si="85"/>
        <v>107.74324400000008</v>
      </c>
      <c r="BR16" s="33">
        <f t="shared" si="86"/>
        <v>9.542635200000007</v>
      </c>
      <c r="BT16" s="51"/>
      <c r="BU16" s="51">
        <f t="shared" si="31"/>
        <v>3097.712118</v>
      </c>
      <c r="BV16" s="33">
        <f t="shared" si="32"/>
        <v>3097.712118</v>
      </c>
      <c r="BW16" s="51">
        <f t="shared" si="33"/>
        <v>274.3590744</v>
      </c>
      <c r="BY16" s="51"/>
      <c r="BZ16" s="51">
        <f t="shared" si="34"/>
        <v>1949.9837810000001</v>
      </c>
      <c r="CA16" s="33">
        <f t="shared" si="35"/>
        <v>1949.9837810000001</v>
      </c>
      <c r="CB16" s="51">
        <f t="shared" si="36"/>
        <v>172.7067348</v>
      </c>
      <c r="CE16" s="33">
        <f t="shared" si="37"/>
        <v>74684.650986</v>
      </c>
      <c r="CF16" s="51">
        <f t="shared" si="38"/>
        <v>74684.650986</v>
      </c>
      <c r="CG16" s="51">
        <f t="shared" si="39"/>
        <v>6614.6920488</v>
      </c>
      <c r="CJ16" s="33">
        <f t="shared" si="40"/>
        <v>852.372946</v>
      </c>
      <c r="CK16" s="33">
        <f t="shared" si="41"/>
        <v>852.372946</v>
      </c>
      <c r="CL16" s="51">
        <f t="shared" si="42"/>
        <v>75.4932168</v>
      </c>
      <c r="CO16" s="33">
        <f t="shared" si="43"/>
        <v>104123.89690800001</v>
      </c>
      <c r="CP16" s="51">
        <f t="shared" si="44"/>
        <v>104123.89690800001</v>
      </c>
      <c r="CQ16" s="51">
        <f t="shared" si="45"/>
        <v>9222.0758064</v>
      </c>
      <c r="CT16" s="33">
        <f t="shared" si="46"/>
        <v>1004.2271</v>
      </c>
      <c r="CU16" s="51">
        <f t="shared" si="47"/>
        <v>1004.2271</v>
      </c>
      <c r="CV16" s="51">
        <f t="shared" si="48"/>
        <v>88.94268</v>
      </c>
      <c r="CY16" s="33">
        <f t="shared" si="49"/>
        <v>694.6060530000001</v>
      </c>
      <c r="CZ16" s="51">
        <f t="shared" si="50"/>
        <v>694.6060530000001</v>
      </c>
      <c r="DA16" s="51">
        <f t="shared" si="51"/>
        <v>61.520072400000004</v>
      </c>
      <c r="DD16" s="51">
        <f t="shared" si="52"/>
        <v>428.34509199999997</v>
      </c>
      <c r="DE16" s="51">
        <f t="shared" si="53"/>
        <v>428.34509199999997</v>
      </c>
      <c r="DF16" s="51">
        <f t="shared" si="54"/>
        <v>37.9377936</v>
      </c>
      <c r="DI16" s="33">
        <f t="shared" si="55"/>
        <v>10.699242</v>
      </c>
      <c r="DJ16" s="51">
        <f t="shared" si="56"/>
        <v>10.699242</v>
      </c>
      <c r="DK16" s="51">
        <f t="shared" si="57"/>
        <v>0.9476136</v>
      </c>
      <c r="DN16" s="33">
        <f t="shared" si="58"/>
        <v>2636.612329</v>
      </c>
      <c r="DO16" s="33">
        <f t="shared" si="59"/>
        <v>2636.612329</v>
      </c>
      <c r="DP16" s="51">
        <f t="shared" si="60"/>
        <v>233.52025319999998</v>
      </c>
      <c r="DS16" s="33">
        <f t="shared" si="61"/>
        <v>6340.520974</v>
      </c>
      <c r="DT16" s="51">
        <f t="shared" si="62"/>
        <v>6340.520974</v>
      </c>
      <c r="DU16" s="51">
        <f t="shared" si="63"/>
        <v>561.5691192</v>
      </c>
      <c r="DX16" s="33">
        <f t="shared" si="64"/>
        <v>1808.359604</v>
      </c>
      <c r="DY16" s="51">
        <f t="shared" si="65"/>
        <v>1808.359604</v>
      </c>
      <c r="DZ16" s="51">
        <f t="shared" si="66"/>
        <v>160.1633232</v>
      </c>
    </row>
    <row r="17" spans="1:130" ht="12.75">
      <c r="A17" s="78">
        <v>43922</v>
      </c>
      <c r="C17" s="35">
        <v>5025000</v>
      </c>
      <c r="D17" s="35">
        <v>100500</v>
      </c>
      <c r="E17" s="35"/>
      <c r="F17" s="35">
        <v>838030</v>
      </c>
      <c r="G17" s="35">
        <f t="shared" si="67"/>
        <v>5025000</v>
      </c>
      <c r="H17" s="35">
        <f t="shared" si="68"/>
        <v>938530</v>
      </c>
      <c r="I17" s="35">
        <f t="shared" si="0"/>
        <v>5963530</v>
      </c>
      <c r="J17" s="35">
        <v>83124</v>
      </c>
      <c r="K17" s="33"/>
      <c r="L17" s="71">
        <f t="shared" si="69"/>
        <v>1615806.3374999994</v>
      </c>
      <c r="M17" s="71">
        <f t="shared" si="1"/>
        <v>301787.60635500005</v>
      </c>
      <c r="N17" s="71">
        <f t="shared" si="2"/>
        <v>1917593.9438549995</v>
      </c>
      <c r="O17" s="71">
        <f t="shared" si="3"/>
        <v>26728.813133999996</v>
      </c>
      <c r="P17" s="33"/>
      <c r="Q17" s="33">
        <f t="shared" si="70"/>
        <v>222059.775</v>
      </c>
      <c r="R17" s="33">
        <f t="shared" si="4"/>
        <v>41474.57923</v>
      </c>
      <c r="S17" s="33">
        <f t="shared" si="5"/>
        <v>263534.35423</v>
      </c>
      <c r="T17" s="51">
        <f t="shared" si="6"/>
        <v>3673.332684</v>
      </c>
      <c r="U17" s="33"/>
      <c r="V17" s="33">
        <f t="shared" si="71"/>
        <v>226577.25</v>
      </c>
      <c r="W17" s="51">
        <f t="shared" si="7"/>
        <v>42318.3177</v>
      </c>
      <c r="X17" s="51">
        <f t="shared" si="8"/>
        <v>268895.5677</v>
      </c>
      <c r="Y17" s="51">
        <f t="shared" si="9"/>
        <v>3748.0611599999997</v>
      </c>
      <c r="Z17" s="33"/>
      <c r="AA17" s="33">
        <f t="shared" si="72"/>
        <v>7576.1925</v>
      </c>
      <c r="AB17" s="51">
        <f t="shared" si="10"/>
        <v>1415.021681</v>
      </c>
      <c r="AC17" s="51">
        <f t="shared" si="11"/>
        <v>8991.214181</v>
      </c>
      <c r="AD17" s="51">
        <f t="shared" si="12"/>
        <v>125.32605480000001</v>
      </c>
      <c r="AE17" s="33"/>
      <c r="AF17" s="33">
        <f t="shared" si="73"/>
        <v>2813.9999999999995</v>
      </c>
      <c r="AG17" s="33">
        <f t="shared" si="74"/>
        <v>525.5767999999999</v>
      </c>
      <c r="AH17" s="33">
        <f t="shared" si="75"/>
        <v>3339.5767999999994</v>
      </c>
      <c r="AI17" s="51">
        <f t="shared" si="76"/>
        <v>46.54944</v>
      </c>
      <c r="AJ17" s="33"/>
      <c r="AK17" s="33">
        <f t="shared" si="77"/>
        <v>42647.6775</v>
      </c>
      <c r="AL17" s="33">
        <f t="shared" si="13"/>
        <v>7965.397962999999</v>
      </c>
      <c r="AM17" s="33">
        <f t="shared" si="14"/>
        <v>50613.075463</v>
      </c>
      <c r="AN17" s="51">
        <f t="shared" si="15"/>
        <v>705.4817003999999</v>
      </c>
      <c r="AO17" s="33"/>
      <c r="AP17" s="51">
        <f t="shared" si="78"/>
        <v>10821.3375</v>
      </c>
      <c r="AQ17" s="33">
        <f t="shared" si="16"/>
        <v>2021.124355</v>
      </c>
      <c r="AR17" s="51">
        <f t="shared" si="17"/>
        <v>12842.461855</v>
      </c>
      <c r="AS17" s="51">
        <f t="shared" si="18"/>
        <v>179.007534</v>
      </c>
      <c r="AT17" s="33"/>
      <c r="AU17" s="51">
        <f t="shared" si="79"/>
        <v>11581.62</v>
      </c>
      <c r="AV17" s="33">
        <f t="shared" si="19"/>
        <v>2163.123944</v>
      </c>
      <c r="AW17" s="51">
        <f t="shared" si="20"/>
        <v>13744.743944000002</v>
      </c>
      <c r="AX17" s="51">
        <f t="shared" si="21"/>
        <v>191.5841952</v>
      </c>
      <c r="AY17" s="33"/>
      <c r="AZ17" s="33">
        <f t="shared" si="80"/>
        <v>11738.902499999998</v>
      </c>
      <c r="BA17" s="33">
        <f t="shared" si="22"/>
        <v>2192.4999329999996</v>
      </c>
      <c r="BB17" s="33">
        <f t="shared" si="23"/>
        <v>13931.402432999997</v>
      </c>
      <c r="BC17" s="51">
        <f t="shared" si="24"/>
        <v>194.1859764</v>
      </c>
      <c r="BD17" s="33"/>
      <c r="BE17" s="33">
        <f t="shared" si="81"/>
        <v>2333.1075</v>
      </c>
      <c r="BF17" s="33">
        <f t="shared" si="25"/>
        <v>435.759479</v>
      </c>
      <c r="BG17" s="51">
        <f t="shared" si="26"/>
        <v>2768.866979</v>
      </c>
      <c r="BH17" s="51">
        <f t="shared" si="27"/>
        <v>38.5944732</v>
      </c>
      <c r="BI17" s="33"/>
      <c r="BJ17" s="33">
        <f t="shared" si="82"/>
        <v>18934.7025</v>
      </c>
      <c r="BK17" s="33">
        <f t="shared" si="28"/>
        <v>3536.474893</v>
      </c>
      <c r="BL17" s="51">
        <f t="shared" si="29"/>
        <v>22471.177392999998</v>
      </c>
      <c r="BM17" s="51">
        <f t="shared" si="30"/>
        <v>313.2195444</v>
      </c>
      <c r="BN17" s="33"/>
      <c r="BO17" s="33">
        <f t="shared" si="83"/>
        <v>576.8700000000003</v>
      </c>
      <c r="BP17" s="33">
        <f t="shared" si="84"/>
        <v>107.74324400000008</v>
      </c>
      <c r="BQ17" s="51">
        <f t="shared" si="85"/>
        <v>684.6132440000005</v>
      </c>
      <c r="BR17" s="33">
        <f t="shared" si="86"/>
        <v>9.542635200000007</v>
      </c>
      <c r="BS17" s="33"/>
      <c r="BT17" s="51">
        <f t="shared" si="87"/>
        <v>16585.515</v>
      </c>
      <c r="BU17" s="51">
        <f t="shared" si="31"/>
        <v>3097.712118</v>
      </c>
      <c r="BV17" s="33">
        <f t="shared" si="32"/>
        <v>19683.227118</v>
      </c>
      <c r="BW17" s="51">
        <f t="shared" si="33"/>
        <v>274.3590744</v>
      </c>
      <c r="BX17" s="33"/>
      <c r="BY17" s="51">
        <f t="shared" si="88"/>
        <v>10440.442500000001</v>
      </c>
      <c r="BZ17" s="51">
        <f t="shared" si="34"/>
        <v>1949.9837810000001</v>
      </c>
      <c r="CA17" s="33">
        <f t="shared" si="35"/>
        <v>12390.426281000002</v>
      </c>
      <c r="CB17" s="51">
        <f t="shared" si="36"/>
        <v>172.7067348</v>
      </c>
      <c r="CC17" s="33"/>
      <c r="CD17" s="33">
        <f t="shared" si="89"/>
        <v>399870.40499999997</v>
      </c>
      <c r="CE17" s="33">
        <f t="shared" si="37"/>
        <v>74684.650986</v>
      </c>
      <c r="CF17" s="51">
        <f t="shared" si="38"/>
        <v>474555.055986</v>
      </c>
      <c r="CG17" s="51">
        <f t="shared" si="39"/>
        <v>6614.6920488</v>
      </c>
      <c r="CH17" s="33"/>
      <c r="CI17" s="33">
        <f t="shared" si="90"/>
        <v>4563.705</v>
      </c>
      <c r="CJ17" s="33">
        <f t="shared" si="40"/>
        <v>852.372946</v>
      </c>
      <c r="CK17" s="33">
        <f t="shared" si="41"/>
        <v>5416.077945999999</v>
      </c>
      <c r="CL17" s="51">
        <f t="shared" si="42"/>
        <v>75.4932168</v>
      </c>
      <c r="CM17" s="33"/>
      <c r="CN17" s="33">
        <f t="shared" si="91"/>
        <v>557491.59</v>
      </c>
      <c r="CO17" s="33">
        <f t="shared" si="43"/>
        <v>104123.89690800001</v>
      </c>
      <c r="CP17" s="51">
        <f t="shared" si="44"/>
        <v>661615.486908</v>
      </c>
      <c r="CQ17" s="51">
        <f t="shared" si="45"/>
        <v>9222.0758064</v>
      </c>
      <c r="CR17" s="33"/>
      <c r="CS17" s="33">
        <f t="shared" si="92"/>
        <v>5376.75</v>
      </c>
      <c r="CT17" s="33">
        <f t="shared" si="46"/>
        <v>1004.2271</v>
      </c>
      <c r="CU17" s="51">
        <f t="shared" si="47"/>
        <v>6380.9771</v>
      </c>
      <c r="CV17" s="51">
        <f t="shared" si="48"/>
        <v>88.94268</v>
      </c>
      <c r="CW17" s="33"/>
      <c r="CX17" s="33">
        <f t="shared" si="93"/>
        <v>3719.0025</v>
      </c>
      <c r="CY17" s="33">
        <f t="shared" si="49"/>
        <v>694.6060530000001</v>
      </c>
      <c r="CZ17" s="51">
        <f t="shared" si="50"/>
        <v>4413.608553</v>
      </c>
      <c r="DA17" s="51">
        <f t="shared" si="51"/>
        <v>61.520072400000004</v>
      </c>
      <c r="DB17" s="33"/>
      <c r="DC17" s="33">
        <f t="shared" si="94"/>
        <v>2293.41</v>
      </c>
      <c r="DD17" s="51">
        <f t="shared" si="52"/>
        <v>428.34509199999997</v>
      </c>
      <c r="DE17" s="51">
        <f t="shared" si="53"/>
        <v>2721.755092</v>
      </c>
      <c r="DF17" s="51">
        <f t="shared" si="54"/>
        <v>37.9377936</v>
      </c>
      <c r="DG17" s="33"/>
      <c r="DH17" s="33">
        <f t="shared" si="95"/>
        <v>57.285</v>
      </c>
      <c r="DI17" s="33">
        <f t="shared" si="55"/>
        <v>10.699242</v>
      </c>
      <c r="DJ17" s="51">
        <f t="shared" si="56"/>
        <v>67.984242</v>
      </c>
      <c r="DK17" s="51">
        <f t="shared" si="57"/>
        <v>0.9476136</v>
      </c>
      <c r="DL17" s="33"/>
      <c r="DM17" s="33">
        <f t="shared" si="96"/>
        <v>14116.732499999998</v>
      </c>
      <c r="DN17" s="33">
        <f t="shared" si="58"/>
        <v>2636.612329</v>
      </c>
      <c r="DO17" s="33">
        <f t="shared" si="59"/>
        <v>16753.344828999998</v>
      </c>
      <c r="DP17" s="51">
        <f t="shared" si="60"/>
        <v>233.52025319999998</v>
      </c>
      <c r="DQ17" s="33"/>
      <c r="DR17" s="33">
        <f t="shared" si="97"/>
        <v>33947.895000000004</v>
      </c>
      <c r="DS17" s="33">
        <f t="shared" si="61"/>
        <v>6340.520974</v>
      </c>
      <c r="DT17" s="51">
        <f t="shared" si="62"/>
        <v>40288.415974</v>
      </c>
      <c r="DU17" s="51">
        <f t="shared" si="63"/>
        <v>561.5691192</v>
      </c>
      <c r="DV17" s="33"/>
      <c r="DW17" s="33">
        <f t="shared" si="98"/>
        <v>9682.17</v>
      </c>
      <c r="DX17" s="33">
        <f t="shared" si="64"/>
        <v>1808.359604</v>
      </c>
      <c r="DY17" s="51">
        <f t="shared" si="65"/>
        <v>11490.529604</v>
      </c>
      <c r="DZ17" s="51">
        <f t="shared" si="66"/>
        <v>160.1633232</v>
      </c>
    </row>
    <row r="18" spans="1:130" ht="12.75">
      <c r="A18" s="78">
        <v>44105</v>
      </c>
      <c r="F18" s="35">
        <v>838030</v>
      </c>
      <c r="G18" s="35">
        <f t="shared" si="67"/>
        <v>0</v>
      </c>
      <c r="H18" s="35">
        <f t="shared" si="68"/>
        <v>838030</v>
      </c>
      <c r="I18" s="35">
        <f t="shared" si="0"/>
        <v>838030</v>
      </c>
      <c r="J18" s="35">
        <v>83124</v>
      </c>
      <c r="L18" s="71"/>
      <c r="M18" s="71">
        <f t="shared" si="1"/>
        <v>269471.479605</v>
      </c>
      <c r="N18" s="71">
        <f t="shared" si="2"/>
        <v>269471.479605</v>
      </c>
      <c r="O18" s="71">
        <f t="shared" si="3"/>
        <v>26728.813133999996</v>
      </c>
      <c r="R18" s="33">
        <f t="shared" si="4"/>
        <v>37033.38373</v>
      </c>
      <c r="S18" s="33">
        <f t="shared" si="5"/>
        <v>37033.38373</v>
      </c>
      <c r="T18" s="51">
        <f t="shared" si="6"/>
        <v>3673.332684</v>
      </c>
      <c r="W18" s="51">
        <f t="shared" si="7"/>
        <v>37786.7727</v>
      </c>
      <c r="X18" s="51">
        <f t="shared" si="8"/>
        <v>37786.7727</v>
      </c>
      <c r="Y18" s="51">
        <f t="shared" si="9"/>
        <v>3748.0611599999997</v>
      </c>
      <c r="AB18" s="51">
        <f t="shared" si="10"/>
        <v>1263.4978310000001</v>
      </c>
      <c r="AC18" s="51">
        <f t="shared" si="11"/>
        <v>1263.4978310000001</v>
      </c>
      <c r="AD18" s="51">
        <f t="shared" si="12"/>
        <v>125.32605480000001</v>
      </c>
      <c r="AG18" s="33">
        <f t="shared" si="74"/>
        <v>469.29679999999996</v>
      </c>
      <c r="AH18" s="33">
        <f t="shared" si="75"/>
        <v>469.29679999999996</v>
      </c>
      <c r="AI18" s="51">
        <f t="shared" si="76"/>
        <v>46.54944</v>
      </c>
      <c r="AL18" s="33">
        <f t="shared" si="13"/>
        <v>7112.444412999999</v>
      </c>
      <c r="AM18" s="33">
        <f t="shared" si="14"/>
        <v>7112.444412999999</v>
      </c>
      <c r="AN18" s="51">
        <f t="shared" si="15"/>
        <v>705.4817003999999</v>
      </c>
      <c r="AP18" s="51"/>
      <c r="AQ18" s="33">
        <f t="shared" si="16"/>
        <v>1804.697605</v>
      </c>
      <c r="AR18" s="51">
        <f t="shared" si="17"/>
        <v>1804.697605</v>
      </c>
      <c r="AS18" s="51">
        <f t="shared" si="18"/>
        <v>179.007534</v>
      </c>
      <c r="AU18" s="51"/>
      <c r="AV18" s="33">
        <f t="shared" si="19"/>
        <v>1931.491544</v>
      </c>
      <c r="AW18" s="51">
        <f t="shared" si="20"/>
        <v>1931.491544</v>
      </c>
      <c r="AX18" s="51">
        <f t="shared" si="21"/>
        <v>191.5841952</v>
      </c>
      <c r="BA18" s="33">
        <f t="shared" si="22"/>
        <v>1957.721883</v>
      </c>
      <c r="BB18" s="33">
        <f t="shared" si="23"/>
        <v>1957.721883</v>
      </c>
      <c r="BC18" s="51">
        <f t="shared" si="24"/>
        <v>194.1859764</v>
      </c>
      <c r="BF18" s="33">
        <f t="shared" si="25"/>
        <v>389.097329</v>
      </c>
      <c r="BG18" s="51">
        <f t="shared" si="26"/>
        <v>389.097329</v>
      </c>
      <c r="BH18" s="51">
        <f t="shared" si="27"/>
        <v>38.5944732</v>
      </c>
      <c r="BK18" s="33">
        <f t="shared" si="28"/>
        <v>3157.780843</v>
      </c>
      <c r="BL18" s="51">
        <f t="shared" si="29"/>
        <v>3157.780843</v>
      </c>
      <c r="BM18" s="51">
        <f t="shared" si="30"/>
        <v>313.2195444</v>
      </c>
      <c r="BP18" s="33">
        <f t="shared" si="84"/>
        <v>96.20584400000007</v>
      </c>
      <c r="BQ18" s="51">
        <f t="shared" si="85"/>
        <v>96.20584400000007</v>
      </c>
      <c r="BR18" s="33">
        <f t="shared" si="86"/>
        <v>9.542635200000007</v>
      </c>
      <c r="BT18" s="51"/>
      <c r="BU18" s="51">
        <f t="shared" si="31"/>
        <v>2766.0018179999997</v>
      </c>
      <c r="BV18" s="33">
        <f t="shared" si="32"/>
        <v>2766.0018179999997</v>
      </c>
      <c r="BW18" s="51">
        <f t="shared" si="33"/>
        <v>274.3590744</v>
      </c>
      <c r="BY18" s="51"/>
      <c r="BZ18" s="51">
        <f t="shared" si="34"/>
        <v>1741.174931</v>
      </c>
      <c r="CA18" s="33">
        <f t="shared" si="35"/>
        <v>1741.174931</v>
      </c>
      <c r="CB18" s="51">
        <f t="shared" si="36"/>
        <v>172.7067348</v>
      </c>
      <c r="CE18" s="33">
        <f t="shared" si="37"/>
        <v>66687.24288599999</v>
      </c>
      <c r="CF18" s="51">
        <f t="shared" si="38"/>
        <v>66687.24288599999</v>
      </c>
      <c r="CG18" s="51">
        <f t="shared" si="39"/>
        <v>6614.6920488</v>
      </c>
      <c r="CJ18" s="33">
        <f t="shared" si="40"/>
        <v>761.098846</v>
      </c>
      <c r="CK18" s="33">
        <f t="shared" si="41"/>
        <v>761.098846</v>
      </c>
      <c r="CL18" s="51">
        <f t="shared" si="42"/>
        <v>75.4932168</v>
      </c>
      <c r="CO18" s="33">
        <f t="shared" si="43"/>
        <v>92974.06510800001</v>
      </c>
      <c r="CP18" s="51">
        <f t="shared" si="44"/>
        <v>92974.06510800001</v>
      </c>
      <c r="CQ18" s="51">
        <f t="shared" si="45"/>
        <v>9222.0758064</v>
      </c>
      <c r="CT18" s="33">
        <f t="shared" si="46"/>
        <v>896.6921</v>
      </c>
      <c r="CU18" s="51">
        <f t="shared" si="47"/>
        <v>896.6921</v>
      </c>
      <c r="CV18" s="51">
        <f t="shared" si="48"/>
        <v>88.94268</v>
      </c>
      <c r="CY18" s="33">
        <f t="shared" si="49"/>
        <v>620.226003</v>
      </c>
      <c r="CZ18" s="51">
        <f t="shared" si="50"/>
        <v>620.226003</v>
      </c>
      <c r="DA18" s="51">
        <f t="shared" si="51"/>
        <v>61.520072400000004</v>
      </c>
      <c r="DD18" s="51">
        <f t="shared" si="52"/>
        <v>382.47689199999996</v>
      </c>
      <c r="DE18" s="51">
        <f t="shared" si="53"/>
        <v>382.47689199999996</v>
      </c>
      <c r="DF18" s="51">
        <f t="shared" si="54"/>
        <v>37.9377936</v>
      </c>
      <c r="DI18" s="33">
        <f t="shared" si="55"/>
        <v>9.553542</v>
      </c>
      <c r="DJ18" s="51">
        <f t="shared" si="56"/>
        <v>9.553542</v>
      </c>
      <c r="DK18" s="51">
        <f t="shared" si="57"/>
        <v>0.9476136</v>
      </c>
      <c r="DN18" s="33">
        <f t="shared" si="58"/>
        <v>2354.277679</v>
      </c>
      <c r="DO18" s="33">
        <f t="shared" si="59"/>
        <v>2354.277679</v>
      </c>
      <c r="DP18" s="51">
        <f t="shared" si="60"/>
        <v>233.52025319999998</v>
      </c>
      <c r="DS18" s="33">
        <f t="shared" si="61"/>
        <v>5661.563074000001</v>
      </c>
      <c r="DT18" s="51">
        <f t="shared" si="62"/>
        <v>5661.563074000001</v>
      </c>
      <c r="DU18" s="51">
        <f t="shared" si="63"/>
        <v>561.5691192</v>
      </c>
      <c r="DX18" s="33">
        <f t="shared" si="64"/>
        <v>1614.716204</v>
      </c>
      <c r="DY18" s="51">
        <f t="shared" si="65"/>
        <v>1614.716204</v>
      </c>
      <c r="DZ18" s="51">
        <f t="shared" si="66"/>
        <v>160.1633232</v>
      </c>
    </row>
    <row r="19" spans="1:130" ht="12.75">
      <c r="A19" s="78">
        <v>44287</v>
      </c>
      <c r="F19" s="35">
        <v>838030</v>
      </c>
      <c r="G19" s="35">
        <f t="shared" si="67"/>
        <v>0</v>
      </c>
      <c r="H19" s="35">
        <f t="shared" si="68"/>
        <v>838030</v>
      </c>
      <c r="I19" s="35">
        <f t="shared" si="0"/>
        <v>838030</v>
      </c>
      <c r="J19" s="35">
        <v>83124</v>
      </c>
      <c r="K19" s="33"/>
      <c r="L19" s="71">
        <f t="shared" si="69"/>
        <v>0</v>
      </c>
      <c r="M19" s="71">
        <f t="shared" si="1"/>
        <v>269471.479605</v>
      </c>
      <c r="N19" s="71">
        <f t="shared" si="2"/>
        <v>269471.479605</v>
      </c>
      <c r="O19" s="71">
        <f t="shared" si="3"/>
        <v>26728.813133999996</v>
      </c>
      <c r="P19" s="33"/>
      <c r="Q19" s="33">
        <f t="shared" si="70"/>
        <v>0</v>
      </c>
      <c r="R19" s="33">
        <f t="shared" si="4"/>
        <v>37033.38373</v>
      </c>
      <c r="S19" s="33">
        <f t="shared" si="5"/>
        <v>37033.38373</v>
      </c>
      <c r="T19" s="51">
        <f t="shared" si="6"/>
        <v>3673.332684</v>
      </c>
      <c r="U19" s="33"/>
      <c r="V19" s="33">
        <f t="shared" si="71"/>
        <v>0</v>
      </c>
      <c r="W19" s="51">
        <f t="shared" si="7"/>
        <v>37786.7727</v>
      </c>
      <c r="X19" s="51">
        <f t="shared" si="8"/>
        <v>37786.7727</v>
      </c>
      <c r="Y19" s="51">
        <f t="shared" si="9"/>
        <v>3748.0611599999997</v>
      </c>
      <c r="Z19" s="33"/>
      <c r="AA19" s="33">
        <f t="shared" si="72"/>
        <v>0</v>
      </c>
      <c r="AB19" s="51">
        <f t="shared" si="10"/>
        <v>1263.4978310000001</v>
      </c>
      <c r="AC19" s="51">
        <f t="shared" si="11"/>
        <v>1263.4978310000001</v>
      </c>
      <c r="AD19" s="51">
        <f t="shared" si="12"/>
        <v>125.32605480000001</v>
      </c>
      <c r="AE19" s="33"/>
      <c r="AF19" s="33">
        <f t="shared" si="73"/>
        <v>0</v>
      </c>
      <c r="AG19" s="33">
        <f t="shared" si="74"/>
        <v>469.29679999999996</v>
      </c>
      <c r="AH19" s="33">
        <f t="shared" si="75"/>
        <v>469.29679999999996</v>
      </c>
      <c r="AI19" s="51">
        <f t="shared" si="76"/>
        <v>46.54944</v>
      </c>
      <c r="AJ19" s="33"/>
      <c r="AK19" s="33">
        <f t="shared" si="77"/>
        <v>0</v>
      </c>
      <c r="AL19" s="33">
        <f t="shared" si="13"/>
        <v>7112.444412999999</v>
      </c>
      <c r="AM19" s="33">
        <f t="shared" si="14"/>
        <v>7112.444412999999</v>
      </c>
      <c r="AN19" s="51">
        <f t="shared" si="15"/>
        <v>705.4817003999999</v>
      </c>
      <c r="AO19" s="33"/>
      <c r="AP19" s="51">
        <f t="shared" si="78"/>
        <v>0</v>
      </c>
      <c r="AQ19" s="33">
        <f t="shared" si="16"/>
        <v>1804.697605</v>
      </c>
      <c r="AR19" s="51">
        <f t="shared" si="17"/>
        <v>1804.697605</v>
      </c>
      <c r="AS19" s="51">
        <f t="shared" si="18"/>
        <v>179.007534</v>
      </c>
      <c r="AT19" s="33"/>
      <c r="AU19" s="51">
        <f t="shared" si="79"/>
        <v>0</v>
      </c>
      <c r="AV19" s="33">
        <f t="shared" si="19"/>
        <v>1931.491544</v>
      </c>
      <c r="AW19" s="51">
        <f t="shared" si="20"/>
        <v>1931.491544</v>
      </c>
      <c r="AX19" s="51">
        <f t="shared" si="21"/>
        <v>191.5841952</v>
      </c>
      <c r="AY19" s="33"/>
      <c r="AZ19" s="33">
        <f t="shared" si="80"/>
        <v>0</v>
      </c>
      <c r="BA19" s="33">
        <f t="shared" si="22"/>
        <v>1957.721883</v>
      </c>
      <c r="BB19" s="33">
        <f t="shared" si="23"/>
        <v>1957.721883</v>
      </c>
      <c r="BC19" s="51">
        <f t="shared" si="24"/>
        <v>194.1859764</v>
      </c>
      <c r="BD19" s="33"/>
      <c r="BE19" s="33">
        <f t="shared" si="81"/>
        <v>0</v>
      </c>
      <c r="BF19" s="33">
        <f t="shared" si="25"/>
        <v>389.097329</v>
      </c>
      <c r="BG19" s="51">
        <f t="shared" si="26"/>
        <v>389.097329</v>
      </c>
      <c r="BH19" s="51">
        <f t="shared" si="27"/>
        <v>38.5944732</v>
      </c>
      <c r="BI19" s="33"/>
      <c r="BJ19" s="33">
        <f t="shared" si="82"/>
        <v>0</v>
      </c>
      <c r="BK19" s="33">
        <f t="shared" si="28"/>
        <v>3157.780843</v>
      </c>
      <c r="BL19" s="51">
        <f t="shared" si="29"/>
        <v>3157.780843</v>
      </c>
      <c r="BM19" s="51">
        <f t="shared" si="30"/>
        <v>313.2195444</v>
      </c>
      <c r="BN19" s="33"/>
      <c r="BO19" s="33">
        <f t="shared" si="83"/>
        <v>0</v>
      </c>
      <c r="BP19" s="33">
        <f t="shared" si="84"/>
        <v>96.20584400000007</v>
      </c>
      <c r="BQ19" s="51">
        <f t="shared" si="85"/>
        <v>96.20584400000007</v>
      </c>
      <c r="BR19" s="33">
        <f t="shared" si="86"/>
        <v>9.542635200000007</v>
      </c>
      <c r="BS19" s="33"/>
      <c r="BT19" s="51">
        <f t="shared" si="87"/>
        <v>0</v>
      </c>
      <c r="BU19" s="51">
        <f t="shared" si="31"/>
        <v>2766.0018179999997</v>
      </c>
      <c r="BV19" s="33">
        <f t="shared" si="32"/>
        <v>2766.0018179999997</v>
      </c>
      <c r="BW19" s="51">
        <f t="shared" si="33"/>
        <v>274.3590744</v>
      </c>
      <c r="BX19" s="33"/>
      <c r="BY19" s="51">
        <f t="shared" si="88"/>
        <v>0</v>
      </c>
      <c r="BZ19" s="51">
        <f t="shared" si="34"/>
        <v>1741.174931</v>
      </c>
      <c r="CA19" s="33">
        <f t="shared" si="35"/>
        <v>1741.174931</v>
      </c>
      <c r="CB19" s="51">
        <f t="shared" si="36"/>
        <v>172.7067348</v>
      </c>
      <c r="CC19" s="33"/>
      <c r="CD19" s="33">
        <f t="shared" si="89"/>
        <v>0</v>
      </c>
      <c r="CE19" s="33">
        <f t="shared" si="37"/>
        <v>66687.24288599999</v>
      </c>
      <c r="CF19" s="51">
        <f t="shared" si="38"/>
        <v>66687.24288599999</v>
      </c>
      <c r="CG19" s="51">
        <f t="shared" si="39"/>
        <v>6614.6920488</v>
      </c>
      <c r="CH19" s="33"/>
      <c r="CI19" s="33">
        <f t="shared" si="90"/>
        <v>0</v>
      </c>
      <c r="CJ19" s="33">
        <f t="shared" si="40"/>
        <v>761.098846</v>
      </c>
      <c r="CK19" s="33">
        <f t="shared" si="41"/>
        <v>761.098846</v>
      </c>
      <c r="CL19" s="51">
        <f t="shared" si="42"/>
        <v>75.4932168</v>
      </c>
      <c r="CM19" s="33"/>
      <c r="CN19" s="33">
        <f t="shared" si="91"/>
        <v>0</v>
      </c>
      <c r="CO19" s="33">
        <f t="shared" si="43"/>
        <v>92974.06510800001</v>
      </c>
      <c r="CP19" s="51">
        <f t="shared" si="44"/>
        <v>92974.06510800001</v>
      </c>
      <c r="CQ19" s="51">
        <f t="shared" si="45"/>
        <v>9222.0758064</v>
      </c>
      <c r="CR19" s="33"/>
      <c r="CS19" s="33">
        <f t="shared" si="92"/>
        <v>0</v>
      </c>
      <c r="CT19" s="33">
        <f t="shared" si="46"/>
        <v>896.6921</v>
      </c>
      <c r="CU19" s="51">
        <f t="shared" si="47"/>
        <v>896.6921</v>
      </c>
      <c r="CV19" s="51">
        <f t="shared" si="48"/>
        <v>88.94268</v>
      </c>
      <c r="CW19" s="33"/>
      <c r="CX19" s="33">
        <f t="shared" si="93"/>
        <v>0</v>
      </c>
      <c r="CY19" s="33">
        <f t="shared" si="49"/>
        <v>620.226003</v>
      </c>
      <c r="CZ19" s="51">
        <f t="shared" si="50"/>
        <v>620.226003</v>
      </c>
      <c r="DA19" s="51">
        <f t="shared" si="51"/>
        <v>61.520072400000004</v>
      </c>
      <c r="DB19" s="33"/>
      <c r="DC19" s="33">
        <f t="shared" si="94"/>
        <v>0</v>
      </c>
      <c r="DD19" s="51">
        <f t="shared" si="52"/>
        <v>382.47689199999996</v>
      </c>
      <c r="DE19" s="51">
        <f t="shared" si="53"/>
        <v>382.47689199999996</v>
      </c>
      <c r="DF19" s="51">
        <f t="shared" si="54"/>
        <v>37.9377936</v>
      </c>
      <c r="DG19" s="33"/>
      <c r="DH19" s="33">
        <f t="shared" si="95"/>
        <v>0</v>
      </c>
      <c r="DI19" s="33">
        <f t="shared" si="55"/>
        <v>9.553542</v>
      </c>
      <c r="DJ19" s="51">
        <f t="shared" si="56"/>
        <v>9.553542</v>
      </c>
      <c r="DK19" s="51">
        <f t="shared" si="57"/>
        <v>0.9476136</v>
      </c>
      <c r="DL19" s="33"/>
      <c r="DM19" s="33">
        <f t="shared" si="96"/>
        <v>0</v>
      </c>
      <c r="DN19" s="33">
        <f t="shared" si="58"/>
        <v>2354.277679</v>
      </c>
      <c r="DO19" s="33">
        <f t="shared" si="59"/>
        <v>2354.277679</v>
      </c>
      <c r="DP19" s="51">
        <f t="shared" si="60"/>
        <v>233.52025319999998</v>
      </c>
      <c r="DQ19" s="33"/>
      <c r="DR19" s="33">
        <f t="shared" si="97"/>
        <v>0</v>
      </c>
      <c r="DS19" s="33">
        <f t="shared" si="61"/>
        <v>5661.563074000001</v>
      </c>
      <c r="DT19" s="51">
        <f t="shared" si="62"/>
        <v>5661.563074000001</v>
      </c>
      <c r="DU19" s="51">
        <f t="shared" si="63"/>
        <v>561.5691192</v>
      </c>
      <c r="DV19" s="33"/>
      <c r="DW19" s="33">
        <f t="shared" si="98"/>
        <v>0</v>
      </c>
      <c r="DX19" s="33">
        <f t="shared" si="64"/>
        <v>1614.716204</v>
      </c>
      <c r="DY19" s="51">
        <f t="shared" si="65"/>
        <v>1614.716204</v>
      </c>
      <c r="DZ19" s="51">
        <f t="shared" si="66"/>
        <v>160.1633232</v>
      </c>
    </row>
    <row r="20" spans="1:130" ht="12.75">
      <c r="A20" s="78">
        <v>44470</v>
      </c>
      <c r="F20" s="35">
        <v>838030</v>
      </c>
      <c r="G20" s="35">
        <f t="shared" si="67"/>
        <v>0</v>
      </c>
      <c r="H20" s="35">
        <f t="shared" si="68"/>
        <v>838030</v>
      </c>
      <c r="I20" s="35">
        <f t="shared" si="0"/>
        <v>838030</v>
      </c>
      <c r="J20" s="35">
        <v>83124</v>
      </c>
      <c r="L20" s="71"/>
      <c r="M20" s="71">
        <f t="shared" si="1"/>
        <v>269471.479605</v>
      </c>
      <c r="N20" s="71">
        <f t="shared" si="2"/>
        <v>269471.479605</v>
      </c>
      <c r="O20" s="71">
        <f t="shared" si="3"/>
        <v>26728.813133999996</v>
      </c>
      <c r="R20" s="33">
        <f t="shared" si="4"/>
        <v>37033.38373</v>
      </c>
      <c r="S20" s="33">
        <f t="shared" si="5"/>
        <v>37033.38373</v>
      </c>
      <c r="T20" s="51">
        <f t="shared" si="6"/>
        <v>3673.332684</v>
      </c>
      <c r="W20" s="51">
        <f t="shared" si="7"/>
        <v>37786.7727</v>
      </c>
      <c r="X20" s="51">
        <f t="shared" si="8"/>
        <v>37786.7727</v>
      </c>
      <c r="Y20" s="51">
        <f t="shared" si="9"/>
        <v>3748.0611599999997</v>
      </c>
      <c r="AB20" s="51">
        <f t="shared" si="10"/>
        <v>1263.4978310000001</v>
      </c>
      <c r="AC20" s="51">
        <f t="shared" si="11"/>
        <v>1263.4978310000001</v>
      </c>
      <c r="AD20" s="51">
        <f t="shared" si="12"/>
        <v>125.32605480000001</v>
      </c>
      <c r="AG20" s="33">
        <f t="shared" si="74"/>
        <v>469.29679999999996</v>
      </c>
      <c r="AH20" s="33">
        <f t="shared" si="75"/>
        <v>469.29679999999996</v>
      </c>
      <c r="AI20" s="51">
        <f t="shared" si="76"/>
        <v>46.54944</v>
      </c>
      <c r="AL20" s="33">
        <f t="shared" si="13"/>
        <v>7112.444412999999</v>
      </c>
      <c r="AM20" s="33">
        <f t="shared" si="14"/>
        <v>7112.444412999999</v>
      </c>
      <c r="AN20" s="51">
        <f t="shared" si="15"/>
        <v>705.4817003999999</v>
      </c>
      <c r="AP20" s="51"/>
      <c r="AQ20" s="33">
        <f t="shared" si="16"/>
        <v>1804.697605</v>
      </c>
      <c r="AR20" s="51">
        <f t="shared" si="17"/>
        <v>1804.697605</v>
      </c>
      <c r="AS20" s="51">
        <f t="shared" si="18"/>
        <v>179.007534</v>
      </c>
      <c r="AU20" s="51"/>
      <c r="AV20" s="33">
        <f t="shared" si="19"/>
        <v>1931.491544</v>
      </c>
      <c r="AW20" s="51">
        <f t="shared" si="20"/>
        <v>1931.491544</v>
      </c>
      <c r="AX20" s="51">
        <f t="shared" si="21"/>
        <v>191.5841952</v>
      </c>
      <c r="BA20" s="33">
        <f t="shared" si="22"/>
        <v>1957.721883</v>
      </c>
      <c r="BB20" s="33">
        <f t="shared" si="23"/>
        <v>1957.721883</v>
      </c>
      <c r="BC20" s="51">
        <f t="shared" si="24"/>
        <v>194.1859764</v>
      </c>
      <c r="BF20" s="33">
        <f t="shared" si="25"/>
        <v>389.097329</v>
      </c>
      <c r="BG20" s="51">
        <f t="shared" si="26"/>
        <v>389.097329</v>
      </c>
      <c r="BH20" s="51">
        <f t="shared" si="27"/>
        <v>38.5944732</v>
      </c>
      <c r="BK20" s="33">
        <f t="shared" si="28"/>
        <v>3157.780843</v>
      </c>
      <c r="BL20" s="51">
        <f t="shared" si="29"/>
        <v>3157.780843</v>
      </c>
      <c r="BM20" s="51">
        <f t="shared" si="30"/>
        <v>313.2195444</v>
      </c>
      <c r="BP20" s="33">
        <f t="shared" si="84"/>
        <v>96.20584400000007</v>
      </c>
      <c r="BQ20" s="51">
        <f t="shared" si="85"/>
        <v>96.20584400000007</v>
      </c>
      <c r="BR20" s="33">
        <f t="shared" si="86"/>
        <v>9.542635200000007</v>
      </c>
      <c r="BT20" s="51"/>
      <c r="BU20" s="51">
        <f t="shared" si="31"/>
        <v>2766.0018179999997</v>
      </c>
      <c r="BV20" s="33">
        <f t="shared" si="32"/>
        <v>2766.0018179999997</v>
      </c>
      <c r="BW20" s="51">
        <f t="shared" si="33"/>
        <v>274.3590744</v>
      </c>
      <c r="BY20" s="51"/>
      <c r="BZ20" s="51">
        <f t="shared" si="34"/>
        <v>1741.174931</v>
      </c>
      <c r="CA20" s="33">
        <f t="shared" si="35"/>
        <v>1741.174931</v>
      </c>
      <c r="CB20" s="51">
        <f t="shared" si="36"/>
        <v>172.7067348</v>
      </c>
      <c r="CE20" s="33">
        <f t="shared" si="37"/>
        <v>66687.24288599999</v>
      </c>
      <c r="CF20" s="51">
        <f t="shared" si="38"/>
        <v>66687.24288599999</v>
      </c>
      <c r="CG20" s="51">
        <f t="shared" si="39"/>
        <v>6614.6920488</v>
      </c>
      <c r="CJ20" s="33">
        <f t="shared" si="40"/>
        <v>761.098846</v>
      </c>
      <c r="CK20" s="33">
        <f t="shared" si="41"/>
        <v>761.098846</v>
      </c>
      <c r="CL20" s="51">
        <f t="shared" si="42"/>
        <v>75.4932168</v>
      </c>
      <c r="CO20" s="33">
        <f t="shared" si="43"/>
        <v>92974.06510800001</v>
      </c>
      <c r="CP20" s="51">
        <f t="shared" si="44"/>
        <v>92974.06510800001</v>
      </c>
      <c r="CQ20" s="51">
        <f t="shared" si="45"/>
        <v>9222.0758064</v>
      </c>
      <c r="CT20" s="33">
        <f t="shared" si="46"/>
        <v>896.6921</v>
      </c>
      <c r="CU20" s="51">
        <f t="shared" si="47"/>
        <v>896.6921</v>
      </c>
      <c r="CV20" s="51">
        <f t="shared" si="48"/>
        <v>88.94268</v>
      </c>
      <c r="CY20" s="33">
        <f t="shared" si="49"/>
        <v>620.226003</v>
      </c>
      <c r="CZ20" s="51">
        <f t="shared" si="50"/>
        <v>620.226003</v>
      </c>
      <c r="DA20" s="51">
        <f t="shared" si="51"/>
        <v>61.520072400000004</v>
      </c>
      <c r="DD20" s="51">
        <f t="shared" si="52"/>
        <v>382.47689199999996</v>
      </c>
      <c r="DE20" s="51">
        <f t="shared" si="53"/>
        <v>382.47689199999996</v>
      </c>
      <c r="DF20" s="51">
        <f t="shared" si="54"/>
        <v>37.9377936</v>
      </c>
      <c r="DI20" s="33">
        <f t="shared" si="55"/>
        <v>9.553542</v>
      </c>
      <c r="DJ20" s="51">
        <f t="shared" si="56"/>
        <v>9.553542</v>
      </c>
      <c r="DK20" s="51">
        <f t="shared" si="57"/>
        <v>0.9476136</v>
      </c>
      <c r="DN20" s="33">
        <f t="shared" si="58"/>
        <v>2354.277679</v>
      </c>
      <c r="DO20" s="33">
        <f t="shared" si="59"/>
        <v>2354.277679</v>
      </c>
      <c r="DP20" s="51">
        <f t="shared" si="60"/>
        <v>233.52025319999998</v>
      </c>
      <c r="DS20" s="33">
        <f t="shared" si="61"/>
        <v>5661.563074000001</v>
      </c>
      <c r="DT20" s="51">
        <f t="shared" si="62"/>
        <v>5661.563074000001</v>
      </c>
      <c r="DU20" s="51">
        <f t="shared" si="63"/>
        <v>561.5691192</v>
      </c>
      <c r="DX20" s="33">
        <f t="shared" si="64"/>
        <v>1614.716204</v>
      </c>
      <c r="DY20" s="51">
        <f t="shared" si="65"/>
        <v>1614.716204</v>
      </c>
      <c r="DZ20" s="51">
        <f t="shared" si="66"/>
        <v>160.1633232</v>
      </c>
    </row>
    <row r="21" spans="1:130" ht="12.75">
      <c r="A21" s="78">
        <v>44652</v>
      </c>
      <c r="B21" s="53"/>
      <c r="C21" s="41"/>
      <c r="D21" s="41"/>
      <c r="E21" s="41"/>
      <c r="F21" s="35">
        <v>838030</v>
      </c>
      <c r="G21" s="35">
        <f t="shared" si="67"/>
        <v>0</v>
      </c>
      <c r="H21" s="35">
        <f t="shared" si="68"/>
        <v>838030</v>
      </c>
      <c r="I21" s="35">
        <f t="shared" si="0"/>
        <v>838030</v>
      </c>
      <c r="J21" s="35">
        <v>83124</v>
      </c>
      <c r="K21" s="33"/>
      <c r="L21" s="71">
        <f t="shared" si="69"/>
        <v>0</v>
      </c>
      <c r="M21" s="71">
        <f t="shared" si="1"/>
        <v>269471.479605</v>
      </c>
      <c r="N21" s="71">
        <f t="shared" si="2"/>
        <v>269471.479605</v>
      </c>
      <c r="O21" s="71">
        <f t="shared" si="3"/>
        <v>26728.813133999996</v>
      </c>
      <c r="P21" s="33"/>
      <c r="Q21" s="33">
        <f t="shared" si="70"/>
        <v>0</v>
      </c>
      <c r="R21" s="33">
        <f t="shared" si="4"/>
        <v>37033.38373</v>
      </c>
      <c r="S21" s="33">
        <f t="shared" si="5"/>
        <v>37033.38373</v>
      </c>
      <c r="T21" s="51">
        <f t="shared" si="6"/>
        <v>3673.332684</v>
      </c>
      <c r="U21" s="33"/>
      <c r="V21" s="33">
        <f t="shared" si="71"/>
        <v>0</v>
      </c>
      <c r="W21" s="51">
        <f t="shared" si="7"/>
        <v>37786.7727</v>
      </c>
      <c r="X21" s="51">
        <f t="shared" si="8"/>
        <v>37786.7727</v>
      </c>
      <c r="Y21" s="51">
        <f t="shared" si="9"/>
        <v>3748.0611599999997</v>
      </c>
      <c r="Z21" s="33"/>
      <c r="AA21" s="33">
        <f t="shared" si="72"/>
        <v>0</v>
      </c>
      <c r="AB21" s="51">
        <f t="shared" si="10"/>
        <v>1263.4978310000001</v>
      </c>
      <c r="AC21" s="51">
        <f t="shared" si="11"/>
        <v>1263.4978310000001</v>
      </c>
      <c r="AD21" s="51">
        <f t="shared" si="12"/>
        <v>125.32605480000001</v>
      </c>
      <c r="AE21" s="33"/>
      <c r="AF21" s="33">
        <f t="shared" si="73"/>
        <v>0</v>
      </c>
      <c r="AG21" s="33">
        <f t="shared" si="74"/>
        <v>469.29679999999996</v>
      </c>
      <c r="AH21" s="33">
        <f t="shared" si="75"/>
        <v>469.29679999999996</v>
      </c>
      <c r="AI21" s="51">
        <f t="shared" si="76"/>
        <v>46.54944</v>
      </c>
      <c r="AJ21" s="33"/>
      <c r="AK21" s="33">
        <f t="shared" si="77"/>
        <v>0</v>
      </c>
      <c r="AL21" s="33">
        <f t="shared" si="13"/>
        <v>7112.444412999999</v>
      </c>
      <c r="AM21" s="33">
        <f t="shared" si="14"/>
        <v>7112.444412999999</v>
      </c>
      <c r="AN21" s="51">
        <f t="shared" si="15"/>
        <v>705.4817003999999</v>
      </c>
      <c r="AO21" s="33"/>
      <c r="AP21" s="51">
        <f t="shared" si="78"/>
        <v>0</v>
      </c>
      <c r="AQ21" s="33">
        <f t="shared" si="16"/>
        <v>1804.697605</v>
      </c>
      <c r="AR21" s="51">
        <f t="shared" si="17"/>
        <v>1804.697605</v>
      </c>
      <c r="AS21" s="51">
        <f t="shared" si="18"/>
        <v>179.007534</v>
      </c>
      <c r="AT21" s="33"/>
      <c r="AU21" s="51">
        <f t="shared" si="79"/>
        <v>0</v>
      </c>
      <c r="AV21" s="33">
        <f t="shared" si="19"/>
        <v>1931.491544</v>
      </c>
      <c r="AW21" s="51">
        <f t="shared" si="20"/>
        <v>1931.491544</v>
      </c>
      <c r="AX21" s="51">
        <f t="shared" si="21"/>
        <v>191.5841952</v>
      </c>
      <c r="AY21" s="33"/>
      <c r="AZ21" s="33">
        <f t="shared" si="80"/>
        <v>0</v>
      </c>
      <c r="BA21" s="33">
        <f t="shared" si="22"/>
        <v>1957.721883</v>
      </c>
      <c r="BB21" s="33">
        <f t="shared" si="23"/>
        <v>1957.721883</v>
      </c>
      <c r="BC21" s="51">
        <f t="shared" si="24"/>
        <v>194.1859764</v>
      </c>
      <c r="BD21" s="33"/>
      <c r="BE21" s="33">
        <f t="shared" si="81"/>
        <v>0</v>
      </c>
      <c r="BF21" s="33">
        <f t="shared" si="25"/>
        <v>389.097329</v>
      </c>
      <c r="BG21" s="51">
        <f t="shared" si="26"/>
        <v>389.097329</v>
      </c>
      <c r="BH21" s="51">
        <f t="shared" si="27"/>
        <v>38.5944732</v>
      </c>
      <c r="BI21" s="33"/>
      <c r="BJ21" s="33">
        <f t="shared" si="82"/>
        <v>0</v>
      </c>
      <c r="BK21" s="33">
        <f t="shared" si="28"/>
        <v>3157.780843</v>
      </c>
      <c r="BL21" s="51">
        <f t="shared" si="29"/>
        <v>3157.780843</v>
      </c>
      <c r="BM21" s="51">
        <f t="shared" si="30"/>
        <v>313.2195444</v>
      </c>
      <c r="BN21" s="33"/>
      <c r="BO21" s="33">
        <f t="shared" si="83"/>
        <v>0</v>
      </c>
      <c r="BP21" s="33">
        <f t="shared" si="84"/>
        <v>96.20584400000007</v>
      </c>
      <c r="BQ21" s="51">
        <f t="shared" si="85"/>
        <v>96.20584400000007</v>
      </c>
      <c r="BR21" s="33">
        <f t="shared" si="86"/>
        <v>9.542635200000007</v>
      </c>
      <c r="BS21" s="33"/>
      <c r="BT21" s="51">
        <f t="shared" si="87"/>
        <v>0</v>
      </c>
      <c r="BU21" s="51">
        <f t="shared" si="31"/>
        <v>2766.0018179999997</v>
      </c>
      <c r="BV21" s="33">
        <f t="shared" si="32"/>
        <v>2766.0018179999997</v>
      </c>
      <c r="BW21" s="51">
        <f t="shared" si="33"/>
        <v>274.3590744</v>
      </c>
      <c r="BX21" s="33"/>
      <c r="BY21" s="51">
        <f t="shared" si="88"/>
        <v>0</v>
      </c>
      <c r="BZ21" s="51">
        <f t="shared" si="34"/>
        <v>1741.174931</v>
      </c>
      <c r="CA21" s="33">
        <f t="shared" si="35"/>
        <v>1741.174931</v>
      </c>
      <c r="CB21" s="51">
        <f t="shared" si="36"/>
        <v>172.7067348</v>
      </c>
      <c r="CC21" s="33"/>
      <c r="CD21" s="33">
        <f t="shared" si="89"/>
        <v>0</v>
      </c>
      <c r="CE21" s="33">
        <f t="shared" si="37"/>
        <v>66687.24288599999</v>
      </c>
      <c r="CF21" s="51">
        <f t="shared" si="38"/>
        <v>66687.24288599999</v>
      </c>
      <c r="CG21" s="51">
        <f t="shared" si="39"/>
        <v>6614.6920488</v>
      </c>
      <c r="CH21" s="33"/>
      <c r="CI21" s="33">
        <f t="shared" si="90"/>
        <v>0</v>
      </c>
      <c r="CJ21" s="33">
        <f t="shared" si="40"/>
        <v>761.098846</v>
      </c>
      <c r="CK21" s="33">
        <f t="shared" si="41"/>
        <v>761.098846</v>
      </c>
      <c r="CL21" s="51">
        <f t="shared" si="42"/>
        <v>75.4932168</v>
      </c>
      <c r="CM21" s="33"/>
      <c r="CN21" s="33">
        <f t="shared" si="91"/>
        <v>0</v>
      </c>
      <c r="CO21" s="33">
        <f t="shared" si="43"/>
        <v>92974.06510800001</v>
      </c>
      <c r="CP21" s="51">
        <f t="shared" si="44"/>
        <v>92974.06510800001</v>
      </c>
      <c r="CQ21" s="51">
        <f t="shared" si="45"/>
        <v>9222.0758064</v>
      </c>
      <c r="CR21" s="33"/>
      <c r="CS21" s="33">
        <f t="shared" si="92"/>
        <v>0</v>
      </c>
      <c r="CT21" s="33">
        <f t="shared" si="46"/>
        <v>896.6921</v>
      </c>
      <c r="CU21" s="51">
        <f t="shared" si="47"/>
        <v>896.6921</v>
      </c>
      <c r="CV21" s="51">
        <f t="shared" si="48"/>
        <v>88.94268</v>
      </c>
      <c r="CW21" s="33"/>
      <c r="CX21" s="33">
        <f t="shared" si="93"/>
        <v>0</v>
      </c>
      <c r="CY21" s="33">
        <f t="shared" si="49"/>
        <v>620.226003</v>
      </c>
      <c r="CZ21" s="51">
        <f t="shared" si="50"/>
        <v>620.226003</v>
      </c>
      <c r="DA21" s="51">
        <f t="shared" si="51"/>
        <v>61.520072400000004</v>
      </c>
      <c r="DB21" s="33"/>
      <c r="DC21" s="33">
        <f t="shared" si="94"/>
        <v>0</v>
      </c>
      <c r="DD21" s="51">
        <f t="shared" si="52"/>
        <v>382.47689199999996</v>
      </c>
      <c r="DE21" s="51">
        <f t="shared" si="53"/>
        <v>382.47689199999996</v>
      </c>
      <c r="DF21" s="51">
        <f t="shared" si="54"/>
        <v>37.9377936</v>
      </c>
      <c r="DG21" s="33"/>
      <c r="DH21" s="33">
        <f t="shared" si="95"/>
        <v>0</v>
      </c>
      <c r="DI21" s="33">
        <f t="shared" si="55"/>
        <v>9.553542</v>
      </c>
      <c r="DJ21" s="51">
        <f t="shared" si="56"/>
        <v>9.553542</v>
      </c>
      <c r="DK21" s="51">
        <f t="shared" si="57"/>
        <v>0.9476136</v>
      </c>
      <c r="DL21" s="33"/>
      <c r="DM21" s="33">
        <f t="shared" si="96"/>
        <v>0</v>
      </c>
      <c r="DN21" s="33">
        <f t="shared" si="58"/>
        <v>2354.277679</v>
      </c>
      <c r="DO21" s="33">
        <f t="shared" si="59"/>
        <v>2354.277679</v>
      </c>
      <c r="DP21" s="51">
        <f t="shared" si="60"/>
        <v>233.52025319999998</v>
      </c>
      <c r="DQ21" s="33"/>
      <c r="DR21" s="33">
        <f t="shared" si="97"/>
        <v>0</v>
      </c>
      <c r="DS21" s="33">
        <f t="shared" si="61"/>
        <v>5661.563074000001</v>
      </c>
      <c r="DT21" s="51">
        <f t="shared" si="62"/>
        <v>5661.563074000001</v>
      </c>
      <c r="DU21" s="51">
        <f t="shared" si="63"/>
        <v>561.5691192</v>
      </c>
      <c r="DV21" s="33"/>
      <c r="DW21" s="33">
        <f t="shared" si="98"/>
        <v>0</v>
      </c>
      <c r="DX21" s="33">
        <f t="shared" si="64"/>
        <v>1614.716204</v>
      </c>
      <c r="DY21" s="51">
        <f t="shared" si="65"/>
        <v>1614.716204</v>
      </c>
      <c r="DZ21" s="51">
        <f t="shared" si="66"/>
        <v>160.1633232</v>
      </c>
    </row>
    <row r="22" spans="1:130" ht="12.75">
      <c r="A22" s="78">
        <v>44835</v>
      </c>
      <c r="C22" s="41"/>
      <c r="D22" s="41"/>
      <c r="E22" s="41"/>
      <c r="F22" s="35">
        <v>838030</v>
      </c>
      <c r="G22" s="35">
        <f t="shared" si="67"/>
        <v>0</v>
      </c>
      <c r="H22" s="35">
        <f t="shared" si="68"/>
        <v>838030</v>
      </c>
      <c r="I22" s="35">
        <f t="shared" si="0"/>
        <v>838030</v>
      </c>
      <c r="J22" s="35">
        <v>83124</v>
      </c>
      <c r="L22" s="71"/>
      <c r="M22" s="71">
        <f t="shared" si="1"/>
        <v>269471.479605</v>
      </c>
      <c r="N22" s="71">
        <f t="shared" si="2"/>
        <v>269471.479605</v>
      </c>
      <c r="O22" s="71">
        <f t="shared" si="3"/>
        <v>26728.813133999996</v>
      </c>
      <c r="R22" s="33">
        <f t="shared" si="4"/>
        <v>37033.38373</v>
      </c>
      <c r="S22" s="33">
        <f t="shared" si="5"/>
        <v>37033.38373</v>
      </c>
      <c r="T22" s="51">
        <f t="shared" si="6"/>
        <v>3673.332684</v>
      </c>
      <c r="W22" s="51">
        <f t="shared" si="7"/>
        <v>37786.7727</v>
      </c>
      <c r="X22" s="51">
        <f t="shared" si="8"/>
        <v>37786.7727</v>
      </c>
      <c r="Y22" s="51">
        <f t="shared" si="9"/>
        <v>3748.0611599999997</v>
      </c>
      <c r="AB22" s="51">
        <f t="shared" si="10"/>
        <v>1263.4978310000001</v>
      </c>
      <c r="AC22" s="51">
        <f t="shared" si="11"/>
        <v>1263.4978310000001</v>
      </c>
      <c r="AD22" s="51">
        <f t="shared" si="12"/>
        <v>125.32605480000001</v>
      </c>
      <c r="AG22" s="33">
        <f t="shared" si="74"/>
        <v>469.29679999999996</v>
      </c>
      <c r="AH22" s="33">
        <f t="shared" si="75"/>
        <v>469.29679999999996</v>
      </c>
      <c r="AI22" s="51">
        <f t="shared" si="76"/>
        <v>46.54944</v>
      </c>
      <c r="AL22" s="33">
        <f t="shared" si="13"/>
        <v>7112.444412999999</v>
      </c>
      <c r="AM22" s="33">
        <f t="shared" si="14"/>
        <v>7112.444412999999</v>
      </c>
      <c r="AN22" s="51">
        <f t="shared" si="15"/>
        <v>705.4817003999999</v>
      </c>
      <c r="AP22" s="51"/>
      <c r="AQ22" s="33">
        <f t="shared" si="16"/>
        <v>1804.697605</v>
      </c>
      <c r="AR22" s="51">
        <f t="shared" si="17"/>
        <v>1804.697605</v>
      </c>
      <c r="AS22" s="51">
        <f t="shared" si="18"/>
        <v>179.007534</v>
      </c>
      <c r="AU22" s="51"/>
      <c r="AV22" s="33">
        <f t="shared" si="19"/>
        <v>1931.491544</v>
      </c>
      <c r="AW22" s="51">
        <f t="shared" si="20"/>
        <v>1931.491544</v>
      </c>
      <c r="AX22" s="51">
        <f t="shared" si="21"/>
        <v>191.5841952</v>
      </c>
      <c r="BA22" s="33">
        <f t="shared" si="22"/>
        <v>1957.721883</v>
      </c>
      <c r="BB22" s="33">
        <f t="shared" si="23"/>
        <v>1957.721883</v>
      </c>
      <c r="BC22" s="51">
        <f t="shared" si="24"/>
        <v>194.1859764</v>
      </c>
      <c r="BF22" s="33">
        <f t="shared" si="25"/>
        <v>389.097329</v>
      </c>
      <c r="BG22" s="51">
        <f t="shared" si="26"/>
        <v>389.097329</v>
      </c>
      <c r="BH22" s="51">
        <f t="shared" si="27"/>
        <v>38.5944732</v>
      </c>
      <c r="BK22" s="33">
        <f t="shared" si="28"/>
        <v>3157.780843</v>
      </c>
      <c r="BL22" s="51">
        <f t="shared" si="29"/>
        <v>3157.780843</v>
      </c>
      <c r="BM22" s="51">
        <f t="shared" si="30"/>
        <v>313.2195444</v>
      </c>
      <c r="BP22" s="33">
        <f t="shared" si="84"/>
        <v>96.20584400000007</v>
      </c>
      <c r="BQ22" s="51">
        <f t="shared" si="85"/>
        <v>96.20584400000007</v>
      </c>
      <c r="BR22" s="33">
        <f t="shared" si="86"/>
        <v>9.542635200000007</v>
      </c>
      <c r="BT22" s="51"/>
      <c r="BU22" s="51">
        <f t="shared" si="31"/>
        <v>2766.0018179999997</v>
      </c>
      <c r="BV22" s="33">
        <f t="shared" si="32"/>
        <v>2766.0018179999997</v>
      </c>
      <c r="BW22" s="51">
        <f t="shared" si="33"/>
        <v>274.3590744</v>
      </c>
      <c r="BY22" s="51"/>
      <c r="BZ22" s="51">
        <f t="shared" si="34"/>
        <v>1741.174931</v>
      </c>
      <c r="CA22" s="33">
        <f t="shared" si="35"/>
        <v>1741.174931</v>
      </c>
      <c r="CB22" s="51">
        <f t="shared" si="36"/>
        <v>172.7067348</v>
      </c>
      <c r="CE22" s="33">
        <f t="shared" si="37"/>
        <v>66687.24288599999</v>
      </c>
      <c r="CF22" s="51">
        <f t="shared" si="38"/>
        <v>66687.24288599999</v>
      </c>
      <c r="CG22" s="51">
        <f t="shared" si="39"/>
        <v>6614.6920488</v>
      </c>
      <c r="CJ22" s="33">
        <f t="shared" si="40"/>
        <v>761.098846</v>
      </c>
      <c r="CK22" s="33">
        <f t="shared" si="41"/>
        <v>761.098846</v>
      </c>
      <c r="CL22" s="51">
        <f t="shared" si="42"/>
        <v>75.4932168</v>
      </c>
      <c r="CO22" s="33">
        <f t="shared" si="43"/>
        <v>92974.06510800001</v>
      </c>
      <c r="CP22" s="51">
        <f t="shared" si="44"/>
        <v>92974.06510800001</v>
      </c>
      <c r="CQ22" s="51">
        <f t="shared" si="45"/>
        <v>9222.0758064</v>
      </c>
      <c r="CT22" s="33">
        <f t="shared" si="46"/>
        <v>896.6921</v>
      </c>
      <c r="CU22" s="51">
        <f t="shared" si="47"/>
        <v>896.6921</v>
      </c>
      <c r="CV22" s="51">
        <f t="shared" si="48"/>
        <v>88.94268</v>
      </c>
      <c r="CY22" s="33">
        <f t="shared" si="49"/>
        <v>620.226003</v>
      </c>
      <c r="CZ22" s="51">
        <f t="shared" si="50"/>
        <v>620.226003</v>
      </c>
      <c r="DA22" s="51">
        <f t="shared" si="51"/>
        <v>61.520072400000004</v>
      </c>
      <c r="DD22" s="51">
        <f t="shared" si="52"/>
        <v>382.47689199999996</v>
      </c>
      <c r="DE22" s="51">
        <f t="shared" si="53"/>
        <v>382.47689199999996</v>
      </c>
      <c r="DF22" s="51">
        <f t="shared" si="54"/>
        <v>37.9377936</v>
      </c>
      <c r="DI22" s="33">
        <f t="shared" si="55"/>
        <v>9.553542</v>
      </c>
      <c r="DJ22" s="51">
        <f t="shared" si="56"/>
        <v>9.553542</v>
      </c>
      <c r="DK22" s="51">
        <f t="shared" si="57"/>
        <v>0.9476136</v>
      </c>
      <c r="DN22" s="33">
        <f t="shared" si="58"/>
        <v>2354.277679</v>
      </c>
      <c r="DO22" s="33">
        <f t="shared" si="59"/>
        <v>2354.277679</v>
      </c>
      <c r="DP22" s="51">
        <f t="shared" si="60"/>
        <v>233.52025319999998</v>
      </c>
      <c r="DS22" s="33">
        <f t="shared" si="61"/>
        <v>5661.563074000001</v>
      </c>
      <c r="DT22" s="51">
        <f t="shared" si="62"/>
        <v>5661.563074000001</v>
      </c>
      <c r="DU22" s="51">
        <f t="shared" si="63"/>
        <v>561.5691192</v>
      </c>
      <c r="DX22" s="33">
        <f t="shared" si="64"/>
        <v>1614.716204</v>
      </c>
      <c r="DY22" s="51">
        <f t="shared" si="65"/>
        <v>1614.716204</v>
      </c>
      <c r="DZ22" s="51">
        <f t="shared" si="66"/>
        <v>160.1633232</v>
      </c>
    </row>
    <row r="23" spans="1:130" ht="12.75">
      <c r="A23" s="78">
        <v>45017</v>
      </c>
      <c r="C23" s="41"/>
      <c r="D23" s="41"/>
      <c r="E23" s="41">
        <v>5650000</v>
      </c>
      <c r="F23" s="41">
        <v>838030</v>
      </c>
      <c r="G23" s="35">
        <f t="shared" si="67"/>
        <v>5650000</v>
      </c>
      <c r="H23" s="35">
        <f t="shared" si="68"/>
        <v>838030</v>
      </c>
      <c r="I23" s="35">
        <f t="shared" si="0"/>
        <v>6488030</v>
      </c>
      <c r="J23" s="35">
        <v>83124</v>
      </c>
      <c r="K23" s="33"/>
      <c r="L23" s="71">
        <f t="shared" si="69"/>
        <v>1816777.2749999994</v>
      </c>
      <c r="M23" s="71">
        <f t="shared" si="1"/>
        <v>269471.479605</v>
      </c>
      <c r="N23" s="71">
        <f t="shared" si="2"/>
        <v>2086248.7546049994</v>
      </c>
      <c r="O23" s="71">
        <f t="shared" si="3"/>
        <v>26728.813133999996</v>
      </c>
      <c r="P23" s="33"/>
      <c r="Q23" s="33">
        <f t="shared" si="70"/>
        <v>249679.15</v>
      </c>
      <c r="R23" s="33">
        <f t="shared" si="4"/>
        <v>37033.38373</v>
      </c>
      <c r="S23" s="33">
        <f t="shared" si="5"/>
        <v>286712.53373</v>
      </c>
      <c r="T23" s="51">
        <f t="shared" si="6"/>
        <v>3673.332684</v>
      </c>
      <c r="U23" s="33"/>
      <c r="V23" s="33">
        <f t="shared" si="71"/>
        <v>254758.5</v>
      </c>
      <c r="W23" s="51">
        <f t="shared" si="7"/>
        <v>37786.7727</v>
      </c>
      <c r="X23" s="51">
        <f t="shared" si="8"/>
        <v>292545.2727</v>
      </c>
      <c r="Y23" s="51">
        <f t="shared" si="9"/>
        <v>3748.0611599999997</v>
      </c>
      <c r="Z23" s="33"/>
      <c r="AA23" s="33">
        <f t="shared" si="72"/>
        <v>8518.505000000001</v>
      </c>
      <c r="AB23" s="51">
        <f t="shared" si="10"/>
        <v>1263.4978310000001</v>
      </c>
      <c r="AC23" s="51">
        <f t="shared" si="11"/>
        <v>9782.002831000002</v>
      </c>
      <c r="AD23" s="51">
        <f t="shared" si="12"/>
        <v>125.32605480000001</v>
      </c>
      <c r="AE23" s="33"/>
      <c r="AF23" s="33">
        <f t="shared" si="73"/>
        <v>3163.9999999999995</v>
      </c>
      <c r="AG23" s="33">
        <f t="shared" si="74"/>
        <v>469.29679999999996</v>
      </c>
      <c r="AH23" s="33">
        <f t="shared" si="75"/>
        <v>3633.2967999999996</v>
      </c>
      <c r="AI23" s="51">
        <f t="shared" si="76"/>
        <v>46.54944</v>
      </c>
      <c r="AJ23" s="33"/>
      <c r="AK23" s="33">
        <f t="shared" si="77"/>
        <v>47952.115</v>
      </c>
      <c r="AL23" s="33">
        <f t="shared" si="13"/>
        <v>7112.444412999999</v>
      </c>
      <c r="AM23" s="33">
        <f t="shared" si="14"/>
        <v>55064.559412999995</v>
      </c>
      <c r="AN23" s="51">
        <f t="shared" si="15"/>
        <v>705.4817003999999</v>
      </c>
      <c r="AO23" s="33"/>
      <c r="AP23" s="51">
        <f t="shared" si="78"/>
        <v>12167.275</v>
      </c>
      <c r="AQ23" s="33">
        <f t="shared" si="16"/>
        <v>1804.697605</v>
      </c>
      <c r="AR23" s="51">
        <f t="shared" si="17"/>
        <v>13971.972604999999</v>
      </c>
      <c r="AS23" s="51">
        <f t="shared" si="18"/>
        <v>179.007534</v>
      </c>
      <c r="AT23" s="33"/>
      <c r="AU23" s="51">
        <f t="shared" si="79"/>
        <v>13022.12</v>
      </c>
      <c r="AV23" s="33">
        <f t="shared" si="19"/>
        <v>1931.491544</v>
      </c>
      <c r="AW23" s="51">
        <f t="shared" si="20"/>
        <v>14953.611544000001</v>
      </c>
      <c r="AX23" s="51">
        <f t="shared" si="21"/>
        <v>191.5841952</v>
      </c>
      <c r="AY23" s="33"/>
      <c r="AZ23" s="33">
        <f t="shared" si="80"/>
        <v>13198.964999999998</v>
      </c>
      <c r="BA23" s="33">
        <f t="shared" si="22"/>
        <v>1957.721883</v>
      </c>
      <c r="BB23" s="33">
        <f t="shared" si="23"/>
        <v>15156.686882999998</v>
      </c>
      <c r="BC23" s="51">
        <f t="shared" si="24"/>
        <v>194.1859764</v>
      </c>
      <c r="BD23" s="33"/>
      <c r="BE23" s="33">
        <f t="shared" si="81"/>
        <v>2623.295</v>
      </c>
      <c r="BF23" s="33">
        <f t="shared" si="25"/>
        <v>389.097329</v>
      </c>
      <c r="BG23" s="51">
        <f t="shared" si="26"/>
        <v>3012.3923290000002</v>
      </c>
      <c r="BH23" s="51">
        <f t="shared" si="27"/>
        <v>38.5944732</v>
      </c>
      <c r="BI23" s="33"/>
      <c r="BJ23" s="33">
        <f t="shared" si="82"/>
        <v>21289.765</v>
      </c>
      <c r="BK23" s="33">
        <f t="shared" si="28"/>
        <v>3157.780843</v>
      </c>
      <c r="BL23" s="51">
        <f t="shared" si="29"/>
        <v>24447.545843</v>
      </c>
      <c r="BM23" s="51">
        <f t="shared" si="30"/>
        <v>313.2195444</v>
      </c>
      <c r="BN23" s="33"/>
      <c r="BO23" s="33">
        <f t="shared" si="83"/>
        <v>648.6200000000005</v>
      </c>
      <c r="BP23" s="33">
        <f t="shared" si="84"/>
        <v>96.20584400000007</v>
      </c>
      <c r="BQ23" s="51">
        <f t="shared" si="85"/>
        <v>744.8258440000005</v>
      </c>
      <c r="BR23" s="33">
        <f t="shared" si="86"/>
        <v>9.542635200000007</v>
      </c>
      <c r="BS23" s="33"/>
      <c r="BT23" s="51">
        <f t="shared" si="87"/>
        <v>18648.39</v>
      </c>
      <c r="BU23" s="51">
        <f t="shared" si="31"/>
        <v>2766.0018179999997</v>
      </c>
      <c r="BV23" s="33">
        <f t="shared" si="32"/>
        <v>21414.391818</v>
      </c>
      <c r="BW23" s="51">
        <f t="shared" si="33"/>
        <v>274.3590744</v>
      </c>
      <c r="BX23" s="33"/>
      <c r="BY23" s="51">
        <f t="shared" si="88"/>
        <v>11739.005000000001</v>
      </c>
      <c r="BZ23" s="51">
        <f t="shared" si="34"/>
        <v>1741.174931</v>
      </c>
      <c r="CA23" s="33">
        <f t="shared" si="35"/>
        <v>13480.179931</v>
      </c>
      <c r="CB23" s="51">
        <f t="shared" si="36"/>
        <v>172.7067348</v>
      </c>
      <c r="CC23" s="33"/>
      <c r="CD23" s="33">
        <f t="shared" si="89"/>
        <v>449605.52999999997</v>
      </c>
      <c r="CE23" s="33">
        <f t="shared" si="37"/>
        <v>66687.24288599999</v>
      </c>
      <c r="CF23" s="51">
        <f t="shared" si="38"/>
        <v>516292.772886</v>
      </c>
      <c r="CG23" s="51">
        <f t="shared" si="39"/>
        <v>6614.6920488</v>
      </c>
      <c r="CH23" s="33"/>
      <c r="CI23" s="33">
        <f t="shared" si="90"/>
        <v>5131.33</v>
      </c>
      <c r="CJ23" s="33">
        <f t="shared" si="40"/>
        <v>761.098846</v>
      </c>
      <c r="CK23" s="33">
        <f t="shared" si="41"/>
        <v>5892.428846</v>
      </c>
      <c r="CL23" s="51">
        <f t="shared" si="42"/>
        <v>75.4932168</v>
      </c>
      <c r="CM23" s="33"/>
      <c r="CN23" s="33">
        <f t="shared" si="91"/>
        <v>626831.34</v>
      </c>
      <c r="CO23" s="33">
        <f t="shared" si="43"/>
        <v>92974.06510800001</v>
      </c>
      <c r="CP23" s="51">
        <f t="shared" si="44"/>
        <v>719805.4051079999</v>
      </c>
      <c r="CQ23" s="51">
        <f t="shared" si="45"/>
        <v>9222.0758064</v>
      </c>
      <c r="CR23" s="33"/>
      <c r="CS23" s="33">
        <f t="shared" si="92"/>
        <v>6045.5</v>
      </c>
      <c r="CT23" s="33">
        <f t="shared" si="46"/>
        <v>896.6921</v>
      </c>
      <c r="CU23" s="51">
        <f t="shared" si="47"/>
        <v>6942.1921</v>
      </c>
      <c r="CV23" s="51">
        <f t="shared" si="48"/>
        <v>88.94268</v>
      </c>
      <c r="CW23" s="33"/>
      <c r="CX23" s="33">
        <f t="shared" si="93"/>
        <v>4181.5650000000005</v>
      </c>
      <c r="CY23" s="33">
        <f t="shared" si="49"/>
        <v>620.226003</v>
      </c>
      <c r="CZ23" s="51">
        <f t="shared" si="50"/>
        <v>4801.791003</v>
      </c>
      <c r="DA23" s="51">
        <f t="shared" si="51"/>
        <v>61.520072400000004</v>
      </c>
      <c r="DB23" s="33"/>
      <c r="DC23" s="33">
        <f t="shared" si="94"/>
        <v>2578.66</v>
      </c>
      <c r="DD23" s="51">
        <f t="shared" si="52"/>
        <v>382.47689199999996</v>
      </c>
      <c r="DE23" s="51">
        <f t="shared" si="53"/>
        <v>2961.136892</v>
      </c>
      <c r="DF23" s="51">
        <f t="shared" si="54"/>
        <v>37.9377936</v>
      </c>
      <c r="DG23" s="33"/>
      <c r="DH23" s="33">
        <f t="shared" si="95"/>
        <v>64.41</v>
      </c>
      <c r="DI23" s="33">
        <f t="shared" si="55"/>
        <v>9.553542</v>
      </c>
      <c r="DJ23" s="51">
        <f t="shared" si="56"/>
        <v>73.96354199999999</v>
      </c>
      <c r="DK23" s="51">
        <f t="shared" si="57"/>
        <v>0.9476136</v>
      </c>
      <c r="DL23" s="33"/>
      <c r="DM23" s="33">
        <f t="shared" si="96"/>
        <v>15872.544999999998</v>
      </c>
      <c r="DN23" s="33">
        <f t="shared" si="58"/>
        <v>2354.277679</v>
      </c>
      <c r="DO23" s="33">
        <f t="shared" si="59"/>
        <v>18226.822678999997</v>
      </c>
      <c r="DP23" s="51">
        <f t="shared" si="60"/>
        <v>233.52025319999998</v>
      </c>
      <c r="DQ23" s="33"/>
      <c r="DR23" s="33">
        <f t="shared" si="97"/>
        <v>38170.270000000004</v>
      </c>
      <c r="DS23" s="33">
        <f t="shared" si="61"/>
        <v>5661.563074000001</v>
      </c>
      <c r="DT23" s="51">
        <f t="shared" si="62"/>
        <v>43831.833074</v>
      </c>
      <c r="DU23" s="51">
        <f t="shared" si="63"/>
        <v>561.5691192</v>
      </c>
      <c r="DV23" s="33"/>
      <c r="DW23" s="33">
        <f t="shared" si="98"/>
        <v>10886.42</v>
      </c>
      <c r="DX23" s="33">
        <f t="shared" si="64"/>
        <v>1614.716204</v>
      </c>
      <c r="DY23" s="51">
        <f t="shared" si="65"/>
        <v>12501.136204</v>
      </c>
      <c r="DZ23" s="51">
        <f t="shared" si="66"/>
        <v>160.1633232</v>
      </c>
    </row>
    <row r="24" spans="1:130" ht="12.75">
      <c r="A24" s="78">
        <v>45200</v>
      </c>
      <c r="C24" s="41"/>
      <c r="D24" s="41"/>
      <c r="E24" s="41"/>
      <c r="F24" s="41">
        <v>734281</v>
      </c>
      <c r="G24" s="35">
        <f t="shared" si="67"/>
        <v>0</v>
      </c>
      <c r="H24" s="35">
        <f t="shared" si="68"/>
        <v>734281</v>
      </c>
      <c r="I24" s="35">
        <f t="shared" si="0"/>
        <v>734281</v>
      </c>
      <c r="J24" s="35">
        <v>83124</v>
      </c>
      <c r="L24" s="71"/>
      <c r="M24" s="71">
        <f t="shared" si="1"/>
        <v>236110.6255335</v>
      </c>
      <c r="N24" s="71">
        <f t="shared" si="2"/>
        <v>236110.6255335</v>
      </c>
      <c r="O24" s="71">
        <f t="shared" si="3"/>
        <v>26728.813133999996</v>
      </c>
      <c r="R24" s="33">
        <f t="shared" si="4"/>
        <v>32448.611671000002</v>
      </c>
      <c r="S24" s="33">
        <f t="shared" si="5"/>
        <v>32448.611671000002</v>
      </c>
      <c r="T24" s="51">
        <f t="shared" si="6"/>
        <v>3673.332684</v>
      </c>
      <c r="W24" s="51">
        <f t="shared" si="7"/>
        <v>33108.73029</v>
      </c>
      <c r="X24" s="51">
        <f t="shared" si="8"/>
        <v>33108.73029</v>
      </c>
      <c r="Y24" s="51">
        <f t="shared" si="9"/>
        <v>3748.0611599999997</v>
      </c>
      <c r="AB24" s="51">
        <f t="shared" si="10"/>
        <v>1107.0754637</v>
      </c>
      <c r="AC24" s="51">
        <f t="shared" si="11"/>
        <v>1107.0754637</v>
      </c>
      <c r="AD24" s="51">
        <f t="shared" si="12"/>
        <v>125.32605480000001</v>
      </c>
      <c r="AG24" s="33">
        <f t="shared" si="74"/>
        <v>411.19735999999995</v>
      </c>
      <c r="AH24" s="33">
        <f t="shared" si="75"/>
        <v>411.19735999999995</v>
      </c>
      <c r="AI24" s="51">
        <f t="shared" si="76"/>
        <v>46.54944</v>
      </c>
      <c r="AL24" s="33">
        <f t="shared" si="13"/>
        <v>6231.916275099999</v>
      </c>
      <c r="AM24" s="33">
        <f t="shared" si="14"/>
        <v>6231.916275099999</v>
      </c>
      <c r="AN24" s="51">
        <f t="shared" si="15"/>
        <v>705.4817003999999</v>
      </c>
      <c r="AP24" s="51"/>
      <c r="AQ24" s="33">
        <f t="shared" si="16"/>
        <v>1581.2741335</v>
      </c>
      <c r="AR24" s="51">
        <f t="shared" si="17"/>
        <v>1581.2741335</v>
      </c>
      <c r="AS24" s="51">
        <f t="shared" si="18"/>
        <v>179.007534</v>
      </c>
      <c r="AU24" s="51"/>
      <c r="AV24" s="33">
        <f t="shared" si="19"/>
        <v>1692.3708488</v>
      </c>
      <c r="AW24" s="51">
        <f t="shared" si="20"/>
        <v>1692.3708488</v>
      </c>
      <c r="AX24" s="51">
        <f t="shared" si="21"/>
        <v>191.5841952</v>
      </c>
      <c r="BA24" s="33">
        <f t="shared" si="22"/>
        <v>1715.3538440999998</v>
      </c>
      <c r="BB24" s="33">
        <f t="shared" si="23"/>
        <v>1715.3538440999998</v>
      </c>
      <c r="BC24" s="51">
        <f t="shared" si="24"/>
        <v>194.1859764</v>
      </c>
      <c r="BF24" s="33">
        <f t="shared" si="25"/>
        <v>340.9266683</v>
      </c>
      <c r="BG24" s="51">
        <f t="shared" si="26"/>
        <v>340.9266683</v>
      </c>
      <c r="BH24" s="51">
        <f t="shared" si="27"/>
        <v>38.5944732</v>
      </c>
      <c r="BK24" s="33">
        <f t="shared" si="28"/>
        <v>2766.8442360999998</v>
      </c>
      <c r="BL24" s="51">
        <f t="shared" si="29"/>
        <v>2766.8442360999998</v>
      </c>
      <c r="BM24" s="51">
        <f t="shared" si="30"/>
        <v>313.2195444</v>
      </c>
      <c r="BP24" s="33">
        <f t="shared" si="84"/>
        <v>84.29545880000006</v>
      </c>
      <c r="BQ24" s="51">
        <f t="shared" si="85"/>
        <v>84.29545880000006</v>
      </c>
      <c r="BR24" s="33">
        <f t="shared" si="86"/>
        <v>9.542635200000007</v>
      </c>
      <c r="BT24" s="51"/>
      <c r="BU24" s="51">
        <f t="shared" si="31"/>
        <v>2423.5678686</v>
      </c>
      <c r="BV24" s="33">
        <f t="shared" si="32"/>
        <v>2423.5678686</v>
      </c>
      <c r="BW24" s="51">
        <f t="shared" si="33"/>
        <v>274.3590744</v>
      </c>
      <c r="BY24" s="51"/>
      <c r="BZ24" s="51">
        <f t="shared" si="34"/>
        <v>1525.6156337</v>
      </c>
      <c r="CA24" s="33">
        <f t="shared" si="35"/>
        <v>1525.6156337</v>
      </c>
      <c r="CB24" s="51">
        <f t="shared" si="36"/>
        <v>172.7067348</v>
      </c>
      <c r="CE24" s="33">
        <f t="shared" si="37"/>
        <v>58431.2917122</v>
      </c>
      <c r="CF24" s="51">
        <f t="shared" si="38"/>
        <v>58431.2917122</v>
      </c>
      <c r="CG24" s="51">
        <f t="shared" si="39"/>
        <v>6614.6920488</v>
      </c>
      <c r="CJ24" s="33">
        <f t="shared" si="40"/>
        <v>666.8740042</v>
      </c>
      <c r="CK24" s="33">
        <f t="shared" si="41"/>
        <v>666.8740042</v>
      </c>
      <c r="CL24" s="51">
        <f t="shared" si="42"/>
        <v>75.4932168</v>
      </c>
      <c r="CO24" s="33">
        <f t="shared" si="43"/>
        <v>81463.7775516</v>
      </c>
      <c r="CP24" s="51">
        <f t="shared" si="44"/>
        <v>81463.7775516</v>
      </c>
      <c r="CQ24" s="51">
        <f t="shared" si="45"/>
        <v>9222.0758064</v>
      </c>
      <c r="CT24" s="33">
        <f t="shared" si="46"/>
        <v>785.68067</v>
      </c>
      <c r="CU24" s="51">
        <f t="shared" si="47"/>
        <v>785.68067</v>
      </c>
      <c r="CV24" s="51">
        <f t="shared" si="48"/>
        <v>88.94268</v>
      </c>
      <c r="CY24" s="33">
        <f t="shared" si="49"/>
        <v>543.4413681000001</v>
      </c>
      <c r="CZ24" s="51">
        <f t="shared" si="50"/>
        <v>543.4413681000001</v>
      </c>
      <c r="DA24" s="51">
        <f t="shared" si="51"/>
        <v>61.520072400000004</v>
      </c>
      <c r="DD24" s="51">
        <f t="shared" si="52"/>
        <v>335.1258484</v>
      </c>
      <c r="DE24" s="51">
        <f t="shared" si="53"/>
        <v>335.1258484</v>
      </c>
      <c r="DF24" s="51">
        <f t="shared" si="54"/>
        <v>37.9377936</v>
      </c>
      <c r="DI24" s="33">
        <f t="shared" si="55"/>
        <v>8.3708034</v>
      </c>
      <c r="DJ24" s="51">
        <f t="shared" si="56"/>
        <v>8.3708034</v>
      </c>
      <c r="DK24" s="51">
        <f t="shared" si="57"/>
        <v>0.9476136</v>
      </c>
      <c r="DN24" s="33">
        <f t="shared" si="58"/>
        <v>2062.8156132999998</v>
      </c>
      <c r="DO24" s="33">
        <f t="shared" si="59"/>
        <v>2062.8156132999998</v>
      </c>
      <c r="DP24" s="51">
        <f t="shared" si="60"/>
        <v>233.52025319999998</v>
      </c>
      <c r="DS24" s="33">
        <f t="shared" si="61"/>
        <v>4960.6555798</v>
      </c>
      <c r="DT24" s="51">
        <f t="shared" si="62"/>
        <v>4960.6555798</v>
      </c>
      <c r="DU24" s="51">
        <f t="shared" si="63"/>
        <v>561.5691192</v>
      </c>
      <c r="DX24" s="33">
        <f t="shared" si="64"/>
        <v>1414.8126308</v>
      </c>
      <c r="DY24" s="51">
        <f t="shared" si="65"/>
        <v>1414.8126308</v>
      </c>
      <c r="DZ24" s="51">
        <f t="shared" si="66"/>
        <v>160.1633232</v>
      </c>
    </row>
    <row r="25" spans="1:130" ht="12.75">
      <c r="A25" s="78">
        <v>45383</v>
      </c>
      <c r="C25" s="41"/>
      <c r="D25" s="41"/>
      <c r="E25" s="41">
        <v>5860000</v>
      </c>
      <c r="F25" s="41">
        <v>734281</v>
      </c>
      <c r="G25" s="35">
        <f t="shared" si="67"/>
        <v>5860000</v>
      </c>
      <c r="H25" s="35">
        <f t="shared" si="68"/>
        <v>734281</v>
      </c>
      <c r="I25" s="35">
        <f t="shared" si="0"/>
        <v>6594281</v>
      </c>
      <c r="J25" s="35">
        <v>83124</v>
      </c>
      <c r="K25" s="33"/>
      <c r="L25" s="71">
        <f t="shared" si="69"/>
        <v>1884303.5099999995</v>
      </c>
      <c r="M25" s="71">
        <f t="shared" si="1"/>
        <v>236110.6255335</v>
      </c>
      <c r="N25" s="71">
        <f t="shared" si="2"/>
        <v>2120414.1355334995</v>
      </c>
      <c r="O25" s="71">
        <f t="shared" si="3"/>
        <v>26728.813133999996</v>
      </c>
      <c r="P25" s="33"/>
      <c r="Q25" s="33">
        <f t="shared" si="70"/>
        <v>258959.26</v>
      </c>
      <c r="R25" s="33">
        <f t="shared" si="4"/>
        <v>32448.611671000002</v>
      </c>
      <c r="S25" s="33">
        <f t="shared" si="5"/>
        <v>291407.87167100003</v>
      </c>
      <c r="T25" s="51">
        <f t="shared" si="6"/>
        <v>3673.332684</v>
      </c>
      <c r="U25" s="33"/>
      <c r="V25" s="33">
        <f t="shared" si="71"/>
        <v>264227.39999999997</v>
      </c>
      <c r="W25" s="51">
        <f t="shared" si="7"/>
        <v>33108.73029</v>
      </c>
      <c r="X25" s="51">
        <f t="shared" si="8"/>
        <v>297336.13028999994</v>
      </c>
      <c r="Y25" s="51">
        <f t="shared" si="9"/>
        <v>3748.0611599999997</v>
      </c>
      <c r="Z25" s="33"/>
      <c r="AA25" s="33">
        <f t="shared" si="72"/>
        <v>8835.122000000001</v>
      </c>
      <c r="AB25" s="51">
        <f t="shared" si="10"/>
        <v>1107.0754637</v>
      </c>
      <c r="AC25" s="51">
        <f t="shared" si="11"/>
        <v>9942.197463700002</v>
      </c>
      <c r="AD25" s="51">
        <f t="shared" si="12"/>
        <v>125.32605480000001</v>
      </c>
      <c r="AE25" s="33"/>
      <c r="AF25" s="33">
        <f t="shared" si="73"/>
        <v>3281.6</v>
      </c>
      <c r="AG25" s="33">
        <f t="shared" si="74"/>
        <v>411.19735999999995</v>
      </c>
      <c r="AH25" s="33">
        <f t="shared" si="75"/>
        <v>3692.79736</v>
      </c>
      <c r="AI25" s="51">
        <f t="shared" si="76"/>
        <v>46.54944</v>
      </c>
      <c r="AJ25" s="33"/>
      <c r="AK25" s="33">
        <f t="shared" si="77"/>
        <v>49734.405999999995</v>
      </c>
      <c r="AL25" s="33">
        <f t="shared" si="13"/>
        <v>6231.916275099999</v>
      </c>
      <c r="AM25" s="33">
        <f t="shared" si="14"/>
        <v>55966.32227509999</v>
      </c>
      <c r="AN25" s="51">
        <f t="shared" si="15"/>
        <v>705.4817003999999</v>
      </c>
      <c r="AO25" s="33"/>
      <c r="AP25" s="51">
        <f t="shared" si="78"/>
        <v>12619.51</v>
      </c>
      <c r="AQ25" s="33">
        <f t="shared" si="16"/>
        <v>1581.2741335</v>
      </c>
      <c r="AR25" s="51">
        <f t="shared" si="17"/>
        <v>14200.784133500001</v>
      </c>
      <c r="AS25" s="51">
        <f t="shared" si="18"/>
        <v>179.007534</v>
      </c>
      <c r="AT25" s="33"/>
      <c r="AU25" s="51">
        <f t="shared" si="79"/>
        <v>13506.128</v>
      </c>
      <c r="AV25" s="33">
        <f t="shared" si="19"/>
        <v>1692.3708488</v>
      </c>
      <c r="AW25" s="51">
        <f t="shared" si="20"/>
        <v>15198.4988488</v>
      </c>
      <c r="AX25" s="51">
        <f t="shared" si="21"/>
        <v>191.5841952</v>
      </c>
      <c r="AY25" s="33"/>
      <c r="AZ25" s="33">
        <f t="shared" si="80"/>
        <v>13689.545999999998</v>
      </c>
      <c r="BA25" s="33">
        <f t="shared" si="22"/>
        <v>1715.3538440999998</v>
      </c>
      <c r="BB25" s="33">
        <f t="shared" si="23"/>
        <v>15404.899844099999</v>
      </c>
      <c r="BC25" s="51">
        <f t="shared" si="24"/>
        <v>194.1859764</v>
      </c>
      <c r="BD25" s="33"/>
      <c r="BE25" s="33">
        <f t="shared" si="81"/>
        <v>2720.7980000000002</v>
      </c>
      <c r="BF25" s="33">
        <f t="shared" si="25"/>
        <v>340.9266683</v>
      </c>
      <c r="BG25" s="51">
        <f t="shared" si="26"/>
        <v>3061.7246683000003</v>
      </c>
      <c r="BH25" s="51">
        <f t="shared" si="27"/>
        <v>38.5944732</v>
      </c>
      <c r="BI25" s="33"/>
      <c r="BJ25" s="33">
        <f t="shared" si="82"/>
        <v>22081.066</v>
      </c>
      <c r="BK25" s="33">
        <f t="shared" si="28"/>
        <v>2766.8442360999998</v>
      </c>
      <c r="BL25" s="51">
        <f t="shared" si="29"/>
        <v>24847.910236099997</v>
      </c>
      <c r="BM25" s="51">
        <f t="shared" si="30"/>
        <v>313.2195444</v>
      </c>
      <c r="BN25" s="33"/>
      <c r="BO25" s="33">
        <f t="shared" si="83"/>
        <v>672.7280000000005</v>
      </c>
      <c r="BP25" s="33">
        <f t="shared" si="84"/>
        <v>84.29545880000006</v>
      </c>
      <c r="BQ25" s="51">
        <f t="shared" si="85"/>
        <v>757.0234588000005</v>
      </c>
      <c r="BR25" s="33">
        <f t="shared" si="86"/>
        <v>9.542635200000007</v>
      </c>
      <c r="BS25" s="33"/>
      <c r="BT25" s="51">
        <f t="shared" si="87"/>
        <v>19341.516</v>
      </c>
      <c r="BU25" s="51">
        <f t="shared" si="31"/>
        <v>2423.5678686</v>
      </c>
      <c r="BV25" s="33">
        <f t="shared" si="32"/>
        <v>21765.0838686</v>
      </c>
      <c r="BW25" s="51">
        <f t="shared" si="33"/>
        <v>274.3590744</v>
      </c>
      <c r="BX25" s="33"/>
      <c r="BY25" s="51">
        <f t="shared" si="88"/>
        <v>12175.322</v>
      </c>
      <c r="BZ25" s="51">
        <f t="shared" si="34"/>
        <v>1525.6156337</v>
      </c>
      <c r="CA25" s="33">
        <f t="shared" si="35"/>
        <v>13700.9376337</v>
      </c>
      <c r="CB25" s="51">
        <f t="shared" si="36"/>
        <v>172.7067348</v>
      </c>
      <c r="CC25" s="33"/>
      <c r="CD25" s="33">
        <f t="shared" si="89"/>
        <v>466316.532</v>
      </c>
      <c r="CE25" s="33">
        <f t="shared" si="37"/>
        <v>58431.2917122</v>
      </c>
      <c r="CF25" s="51">
        <f t="shared" si="38"/>
        <v>524747.8237122</v>
      </c>
      <c r="CG25" s="51">
        <f t="shared" si="39"/>
        <v>6614.6920488</v>
      </c>
      <c r="CH25" s="33"/>
      <c r="CI25" s="33">
        <f t="shared" si="90"/>
        <v>5322.052</v>
      </c>
      <c r="CJ25" s="33">
        <f t="shared" si="40"/>
        <v>666.8740042</v>
      </c>
      <c r="CK25" s="33">
        <f t="shared" si="41"/>
        <v>5988.9260042</v>
      </c>
      <c r="CL25" s="51">
        <f t="shared" si="42"/>
        <v>75.4932168</v>
      </c>
      <c r="CM25" s="33"/>
      <c r="CN25" s="33">
        <f t="shared" si="91"/>
        <v>650129.496</v>
      </c>
      <c r="CO25" s="33">
        <f t="shared" si="43"/>
        <v>81463.7775516</v>
      </c>
      <c r="CP25" s="51">
        <f t="shared" si="44"/>
        <v>731593.2735516</v>
      </c>
      <c r="CQ25" s="51">
        <f t="shared" si="45"/>
        <v>9222.0758064</v>
      </c>
      <c r="CR25" s="33"/>
      <c r="CS25" s="33">
        <f t="shared" si="92"/>
        <v>6270.2</v>
      </c>
      <c r="CT25" s="33">
        <f t="shared" si="46"/>
        <v>785.68067</v>
      </c>
      <c r="CU25" s="51">
        <f t="shared" si="47"/>
        <v>7055.88067</v>
      </c>
      <c r="CV25" s="51">
        <f t="shared" si="48"/>
        <v>88.94268</v>
      </c>
      <c r="CW25" s="33"/>
      <c r="CX25" s="33">
        <f t="shared" si="93"/>
        <v>4336.986</v>
      </c>
      <c r="CY25" s="33">
        <f t="shared" si="49"/>
        <v>543.4413681000001</v>
      </c>
      <c r="CZ25" s="51">
        <f t="shared" si="50"/>
        <v>4880.4273680999995</v>
      </c>
      <c r="DA25" s="51">
        <f t="shared" si="51"/>
        <v>61.520072400000004</v>
      </c>
      <c r="DB25" s="33"/>
      <c r="DC25" s="33">
        <f t="shared" si="94"/>
        <v>2674.504</v>
      </c>
      <c r="DD25" s="51">
        <f t="shared" si="52"/>
        <v>335.1258484</v>
      </c>
      <c r="DE25" s="51">
        <f t="shared" si="53"/>
        <v>3009.6298484</v>
      </c>
      <c r="DF25" s="51">
        <f t="shared" si="54"/>
        <v>37.9377936</v>
      </c>
      <c r="DG25" s="33"/>
      <c r="DH25" s="33">
        <f t="shared" si="95"/>
        <v>66.804</v>
      </c>
      <c r="DI25" s="33">
        <f t="shared" si="55"/>
        <v>8.3708034</v>
      </c>
      <c r="DJ25" s="51">
        <f t="shared" si="56"/>
        <v>75.1748034</v>
      </c>
      <c r="DK25" s="51">
        <f t="shared" si="57"/>
        <v>0.9476136</v>
      </c>
      <c r="DL25" s="33"/>
      <c r="DM25" s="33">
        <f t="shared" si="96"/>
        <v>16462.498</v>
      </c>
      <c r="DN25" s="33">
        <f t="shared" si="58"/>
        <v>2062.8156132999998</v>
      </c>
      <c r="DO25" s="33">
        <f t="shared" si="59"/>
        <v>18525.3136133</v>
      </c>
      <c r="DP25" s="51">
        <f t="shared" si="60"/>
        <v>233.52025319999998</v>
      </c>
      <c r="DQ25" s="33"/>
      <c r="DR25" s="33">
        <f t="shared" si="97"/>
        <v>39588.988</v>
      </c>
      <c r="DS25" s="33">
        <f t="shared" si="61"/>
        <v>4960.6555798</v>
      </c>
      <c r="DT25" s="51">
        <f t="shared" si="62"/>
        <v>44549.643579799995</v>
      </c>
      <c r="DU25" s="51">
        <f t="shared" si="63"/>
        <v>561.5691192</v>
      </c>
      <c r="DV25" s="33"/>
      <c r="DW25" s="33">
        <f t="shared" si="98"/>
        <v>11291.048</v>
      </c>
      <c r="DX25" s="33">
        <f t="shared" si="64"/>
        <v>1414.8126308</v>
      </c>
      <c r="DY25" s="51">
        <f t="shared" si="65"/>
        <v>12705.860630800002</v>
      </c>
      <c r="DZ25" s="51">
        <f t="shared" si="66"/>
        <v>160.1633232</v>
      </c>
    </row>
    <row r="26" spans="1:130" ht="12.75">
      <c r="A26" s="78">
        <v>45566</v>
      </c>
      <c r="C26" s="41"/>
      <c r="D26" s="41"/>
      <c r="E26" s="41"/>
      <c r="F26" s="41">
        <v>624773</v>
      </c>
      <c r="G26" s="35">
        <f t="shared" si="67"/>
        <v>0</v>
      </c>
      <c r="H26" s="35">
        <f t="shared" si="68"/>
        <v>624773</v>
      </c>
      <c r="I26" s="35">
        <f t="shared" si="0"/>
        <v>624773</v>
      </c>
      <c r="J26" s="35">
        <v>83124</v>
      </c>
      <c r="L26" s="71"/>
      <c r="M26" s="71">
        <f t="shared" si="1"/>
        <v>200897.9448555</v>
      </c>
      <c r="N26" s="71">
        <f t="shared" si="2"/>
        <v>200897.9448555</v>
      </c>
      <c r="O26" s="71">
        <f t="shared" si="3"/>
        <v>26728.813133999996</v>
      </c>
      <c r="R26" s="33">
        <f t="shared" si="4"/>
        <v>27609.343643</v>
      </c>
      <c r="S26" s="33">
        <f t="shared" si="5"/>
        <v>27609.343643</v>
      </c>
      <c r="T26" s="51">
        <f t="shared" si="6"/>
        <v>3673.332684</v>
      </c>
      <c r="W26" s="51">
        <f t="shared" si="7"/>
        <v>28171.01457</v>
      </c>
      <c r="X26" s="51">
        <f t="shared" si="8"/>
        <v>28171.01457</v>
      </c>
      <c r="Y26" s="51">
        <f t="shared" si="9"/>
        <v>3748.0611599999997</v>
      </c>
      <c r="AB26" s="51">
        <f t="shared" si="10"/>
        <v>941.9702521</v>
      </c>
      <c r="AC26" s="51">
        <f t="shared" si="11"/>
        <v>941.9702521</v>
      </c>
      <c r="AD26" s="51">
        <f t="shared" si="12"/>
        <v>125.32605480000001</v>
      </c>
      <c r="AG26" s="33">
        <f t="shared" si="74"/>
        <v>349.87287999999995</v>
      </c>
      <c r="AH26" s="33">
        <f t="shared" si="75"/>
        <v>349.87287999999995</v>
      </c>
      <c r="AI26" s="51">
        <f t="shared" si="76"/>
        <v>46.54944</v>
      </c>
      <c r="AL26" s="33">
        <f t="shared" si="13"/>
        <v>5302.510928299999</v>
      </c>
      <c r="AM26" s="33">
        <f t="shared" si="14"/>
        <v>5302.510928299999</v>
      </c>
      <c r="AN26" s="51">
        <f t="shared" si="15"/>
        <v>705.4817003999999</v>
      </c>
      <c r="AP26" s="51"/>
      <c r="AQ26" s="33">
        <f t="shared" si="16"/>
        <v>1345.4486555</v>
      </c>
      <c r="AR26" s="51">
        <f t="shared" si="17"/>
        <v>1345.4486555</v>
      </c>
      <c r="AS26" s="51">
        <f t="shared" si="18"/>
        <v>179.007534</v>
      </c>
      <c r="AU26" s="51"/>
      <c r="AV26" s="33">
        <f t="shared" si="19"/>
        <v>1439.9768104</v>
      </c>
      <c r="AW26" s="51">
        <f t="shared" si="20"/>
        <v>1439.9768104</v>
      </c>
      <c r="AX26" s="51">
        <f t="shared" si="21"/>
        <v>191.5841952</v>
      </c>
      <c r="BA26" s="33">
        <f t="shared" si="22"/>
        <v>1459.5322053</v>
      </c>
      <c r="BB26" s="33">
        <f t="shared" si="23"/>
        <v>1459.5322053</v>
      </c>
      <c r="BC26" s="51">
        <f t="shared" si="24"/>
        <v>194.1859764</v>
      </c>
      <c r="BF26" s="33">
        <f t="shared" si="25"/>
        <v>290.0821039</v>
      </c>
      <c r="BG26" s="51">
        <f t="shared" si="26"/>
        <v>290.0821039</v>
      </c>
      <c r="BH26" s="51">
        <f t="shared" si="27"/>
        <v>38.5944732</v>
      </c>
      <c r="BK26" s="33">
        <f t="shared" si="28"/>
        <v>2354.2071413</v>
      </c>
      <c r="BL26" s="51">
        <f t="shared" si="29"/>
        <v>2354.2071413</v>
      </c>
      <c r="BM26" s="51">
        <f t="shared" si="30"/>
        <v>313.2195444</v>
      </c>
      <c r="BP26" s="33">
        <f t="shared" si="84"/>
        <v>71.72394040000005</v>
      </c>
      <c r="BQ26" s="51">
        <f t="shared" si="85"/>
        <v>71.72394040000005</v>
      </c>
      <c r="BR26" s="33">
        <f t="shared" si="86"/>
        <v>9.542635200000007</v>
      </c>
      <c r="BT26" s="51"/>
      <c r="BU26" s="51">
        <f t="shared" si="31"/>
        <v>2062.1257637999997</v>
      </c>
      <c r="BV26" s="33">
        <f t="shared" si="32"/>
        <v>2062.1257637999997</v>
      </c>
      <c r="BW26" s="51">
        <f t="shared" si="33"/>
        <v>274.3590744</v>
      </c>
      <c r="BY26" s="51"/>
      <c r="BZ26" s="51">
        <f t="shared" si="34"/>
        <v>1298.0908621</v>
      </c>
      <c r="CA26" s="33">
        <f t="shared" si="35"/>
        <v>1298.0908621</v>
      </c>
      <c r="CB26" s="51">
        <f t="shared" si="36"/>
        <v>172.7067348</v>
      </c>
      <c r="CE26" s="33">
        <f t="shared" si="37"/>
        <v>49717.0612026</v>
      </c>
      <c r="CF26" s="51">
        <f t="shared" si="38"/>
        <v>49717.0612026</v>
      </c>
      <c r="CG26" s="51">
        <f t="shared" si="39"/>
        <v>6614.6920488</v>
      </c>
      <c r="CJ26" s="33">
        <f t="shared" si="40"/>
        <v>567.4188386</v>
      </c>
      <c r="CK26" s="33">
        <f t="shared" si="41"/>
        <v>567.4188386</v>
      </c>
      <c r="CL26" s="51">
        <f t="shared" si="42"/>
        <v>75.4932168</v>
      </c>
      <c r="CO26" s="33">
        <f t="shared" si="43"/>
        <v>69314.5658028</v>
      </c>
      <c r="CP26" s="51">
        <f t="shared" si="44"/>
        <v>69314.5658028</v>
      </c>
      <c r="CQ26" s="51">
        <f t="shared" si="45"/>
        <v>9222.0758064</v>
      </c>
      <c r="CT26" s="33">
        <f t="shared" si="46"/>
        <v>668.50711</v>
      </c>
      <c r="CU26" s="51">
        <f t="shared" si="47"/>
        <v>668.50711</v>
      </c>
      <c r="CV26" s="51">
        <f t="shared" si="48"/>
        <v>88.94268</v>
      </c>
      <c r="CY26" s="33">
        <f t="shared" si="49"/>
        <v>462.3944973</v>
      </c>
      <c r="CZ26" s="51">
        <f t="shared" si="50"/>
        <v>462.3944973</v>
      </c>
      <c r="DA26" s="51">
        <f t="shared" si="51"/>
        <v>61.520072400000004</v>
      </c>
      <c r="DD26" s="51">
        <f t="shared" si="52"/>
        <v>285.14639719999997</v>
      </c>
      <c r="DE26" s="51">
        <f t="shared" si="53"/>
        <v>285.14639719999997</v>
      </c>
      <c r="DF26" s="51">
        <f t="shared" si="54"/>
        <v>37.9377936</v>
      </c>
      <c r="DI26" s="33">
        <f t="shared" si="55"/>
        <v>7.122412199999999</v>
      </c>
      <c r="DJ26" s="51">
        <f t="shared" si="56"/>
        <v>7.122412199999999</v>
      </c>
      <c r="DK26" s="51">
        <f t="shared" si="57"/>
        <v>0.9476136</v>
      </c>
      <c r="DN26" s="33">
        <f t="shared" si="58"/>
        <v>1755.1747888999998</v>
      </c>
      <c r="DO26" s="33">
        <f t="shared" si="59"/>
        <v>1755.1747888999998</v>
      </c>
      <c r="DP26" s="51">
        <f t="shared" si="60"/>
        <v>233.52025319999998</v>
      </c>
      <c r="DS26" s="33">
        <f t="shared" si="61"/>
        <v>4220.8414334</v>
      </c>
      <c r="DT26" s="51">
        <f t="shared" si="62"/>
        <v>4220.8414334</v>
      </c>
      <c r="DU26" s="51">
        <f t="shared" si="63"/>
        <v>561.5691192</v>
      </c>
      <c r="DX26" s="33">
        <f t="shared" si="64"/>
        <v>1203.8126164</v>
      </c>
      <c r="DY26" s="51">
        <f t="shared" si="65"/>
        <v>1203.8126164</v>
      </c>
      <c r="DZ26" s="51">
        <f t="shared" si="66"/>
        <v>160.1633232</v>
      </c>
    </row>
    <row r="27" spans="1:130" ht="12.75">
      <c r="A27" s="78">
        <v>45748</v>
      </c>
      <c r="C27" s="41"/>
      <c r="D27" s="41"/>
      <c r="E27" s="41">
        <v>6080000</v>
      </c>
      <c r="F27" s="41">
        <v>624773</v>
      </c>
      <c r="G27" s="35">
        <f t="shared" si="67"/>
        <v>6080000</v>
      </c>
      <c r="H27" s="35">
        <f t="shared" si="68"/>
        <v>624773</v>
      </c>
      <c r="I27" s="35">
        <f t="shared" si="0"/>
        <v>6704773</v>
      </c>
      <c r="J27" s="35">
        <v>83124</v>
      </c>
      <c r="K27" s="33"/>
      <c r="L27" s="71">
        <f t="shared" si="69"/>
        <v>1955045.2799999998</v>
      </c>
      <c r="M27" s="71">
        <f t="shared" si="1"/>
        <v>200897.9448555</v>
      </c>
      <c r="N27" s="71">
        <f t="shared" si="2"/>
        <v>2155943.2248555</v>
      </c>
      <c r="O27" s="71">
        <f t="shared" si="3"/>
        <v>26728.813133999996</v>
      </c>
      <c r="P27" s="33"/>
      <c r="Q27" s="33">
        <f t="shared" si="70"/>
        <v>268681.28</v>
      </c>
      <c r="R27" s="33">
        <f t="shared" si="4"/>
        <v>27609.343643</v>
      </c>
      <c r="S27" s="33">
        <f t="shared" si="5"/>
        <v>296290.623643</v>
      </c>
      <c r="T27" s="51">
        <f t="shared" si="6"/>
        <v>3673.332684</v>
      </c>
      <c r="U27" s="33"/>
      <c r="V27" s="33">
        <f t="shared" si="71"/>
        <v>274147.2</v>
      </c>
      <c r="W27" s="51">
        <f t="shared" si="7"/>
        <v>28171.01457</v>
      </c>
      <c r="X27" s="51">
        <f t="shared" si="8"/>
        <v>302318.21457</v>
      </c>
      <c r="Y27" s="51">
        <f t="shared" si="9"/>
        <v>3748.0611599999997</v>
      </c>
      <c r="Z27" s="33"/>
      <c r="AA27" s="33">
        <f t="shared" si="72"/>
        <v>9166.816</v>
      </c>
      <c r="AB27" s="51">
        <f t="shared" si="10"/>
        <v>941.9702521</v>
      </c>
      <c r="AC27" s="51">
        <f t="shared" si="11"/>
        <v>10108.7862521</v>
      </c>
      <c r="AD27" s="51">
        <f t="shared" si="12"/>
        <v>125.32605480000001</v>
      </c>
      <c r="AE27" s="33"/>
      <c r="AF27" s="33">
        <f t="shared" si="73"/>
        <v>3404.7999999999997</v>
      </c>
      <c r="AG27" s="33">
        <f t="shared" si="74"/>
        <v>349.87287999999995</v>
      </c>
      <c r="AH27" s="33">
        <f t="shared" si="75"/>
        <v>3754.6728799999996</v>
      </c>
      <c r="AI27" s="51">
        <f t="shared" si="76"/>
        <v>46.54944</v>
      </c>
      <c r="AJ27" s="33"/>
      <c r="AK27" s="33">
        <f t="shared" si="77"/>
        <v>51601.56799999999</v>
      </c>
      <c r="AL27" s="33">
        <f t="shared" si="13"/>
        <v>5302.510928299999</v>
      </c>
      <c r="AM27" s="33">
        <f t="shared" si="14"/>
        <v>56904.07892829999</v>
      </c>
      <c r="AN27" s="51">
        <f t="shared" si="15"/>
        <v>705.4817003999999</v>
      </c>
      <c r="AO27" s="33"/>
      <c r="AP27" s="51">
        <f t="shared" si="78"/>
        <v>13093.28</v>
      </c>
      <c r="AQ27" s="33">
        <f t="shared" si="16"/>
        <v>1345.4486555</v>
      </c>
      <c r="AR27" s="51">
        <f t="shared" si="17"/>
        <v>14438.728655500001</v>
      </c>
      <c r="AS27" s="51">
        <f t="shared" si="18"/>
        <v>179.007534</v>
      </c>
      <c r="AT27" s="33"/>
      <c r="AU27" s="51">
        <f t="shared" si="79"/>
        <v>14013.184000000001</v>
      </c>
      <c r="AV27" s="33">
        <f t="shared" si="19"/>
        <v>1439.9768104</v>
      </c>
      <c r="AW27" s="51">
        <f t="shared" si="20"/>
        <v>15453.1608104</v>
      </c>
      <c r="AX27" s="51">
        <f t="shared" si="21"/>
        <v>191.5841952</v>
      </c>
      <c r="AY27" s="33"/>
      <c r="AZ27" s="33">
        <f t="shared" si="80"/>
        <v>14203.488</v>
      </c>
      <c r="BA27" s="33">
        <f t="shared" si="22"/>
        <v>1459.5322053</v>
      </c>
      <c r="BB27" s="33">
        <f t="shared" si="23"/>
        <v>15663.0202053</v>
      </c>
      <c r="BC27" s="51">
        <f t="shared" si="24"/>
        <v>194.1859764</v>
      </c>
      <c r="BD27" s="33"/>
      <c r="BE27" s="33">
        <f t="shared" si="81"/>
        <v>2822.944</v>
      </c>
      <c r="BF27" s="33">
        <f t="shared" si="25"/>
        <v>290.0821039</v>
      </c>
      <c r="BG27" s="51">
        <f t="shared" si="26"/>
        <v>3113.0261038999997</v>
      </c>
      <c r="BH27" s="51">
        <f t="shared" si="27"/>
        <v>38.5944732</v>
      </c>
      <c r="BI27" s="33"/>
      <c r="BJ27" s="33">
        <f t="shared" si="82"/>
        <v>22910.048</v>
      </c>
      <c r="BK27" s="33">
        <f t="shared" si="28"/>
        <v>2354.2071413</v>
      </c>
      <c r="BL27" s="51">
        <f t="shared" si="29"/>
        <v>25264.2551413</v>
      </c>
      <c r="BM27" s="51">
        <f t="shared" si="30"/>
        <v>313.2195444</v>
      </c>
      <c r="BN27" s="33"/>
      <c r="BO27" s="33">
        <f t="shared" si="83"/>
        <v>697.9840000000005</v>
      </c>
      <c r="BP27" s="33">
        <f t="shared" si="84"/>
        <v>71.72394040000005</v>
      </c>
      <c r="BQ27" s="51">
        <f t="shared" si="85"/>
        <v>769.7079404000006</v>
      </c>
      <c r="BR27" s="33">
        <f t="shared" si="86"/>
        <v>9.542635200000007</v>
      </c>
      <c r="BS27" s="33"/>
      <c r="BT27" s="51">
        <f t="shared" si="87"/>
        <v>20067.648</v>
      </c>
      <c r="BU27" s="51">
        <f t="shared" si="31"/>
        <v>2062.1257637999997</v>
      </c>
      <c r="BV27" s="33">
        <f t="shared" si="32"/>
        <v>22129.7737638</v>
      </c>
      <c r="BW27" s="51">
        <f t="shared" si="33"/>
        <v>274.3590744</v>
      </c>
      <c r="BX27" s="33"/>
      <c r="BY27" s="51">
        <f t="shared" si="88"/>
        <v>12632.416000000001</v>
      </c>
      <c r="BZ27" s="51">
        <f t="shared" si="34"/>
        <v>1298.0908621</v>
      </c>
      <c r="CA27" s="33">
        <f t="shared" si="35"/>
        <v>13930.506862100001</v>
      </c>
      <c r="CB27" s="51">
        <f t="shared" si="36"/>
        <v>172.7067348</v>
      </c>
      <c r="CC27" s="33"/>
      <c r="CD27" s="33">
        <f t="shared" si="89"/>
        <v>483823.296</v>
      </c>
      <c r="CE27" s="33">
        <f t="shared" si="37"/>
        <v>49717.0612026</v>
      </c>
      <c r="CF27" s="51">
        <f t="shared" si="38"/>
        <v>533540.3572026</v>
      </c>
      <c r="CG27" s="51">
        <f t="shared" si="39"/>
        <v>6614.6920488</v>
      </c>
      <c r="CH27" s="33"/>
      <c r="CI27" s="33">
        <f t="shared" si="90"/>
        <v>5521.856</v>
      </c>
      <c r="CJ27" s="33">
        <f t="shared" si="40"/>
        <v>567.4188386</v>
      </c>
      <c r="CK27" s="33">
        <f t="shared" si="41"/>
        <v>6089.274838599999</v>
      </c>
      <c r="CL27" s="51">
        <f t="shared" si="42"/>
        <v>75.4932168</v>
      </c>
      <c r="CM27" s="33"/>
      <c r="CN27" s="33">
        <f t="shared" si="91"/>
        <v>674537.088</v>
      </c>
      <c r="CO27" s="33">
        <f t="shared" si="43"/>
        <v>69314.5658028</v>
      </c>
      <c r="CP27" s="51">
        <f t="shared" si="44"/>
        <v>743851.6538028</v>
      </c>
      <c r="CQ27" s="51">
        <f t="shared" si="45"/>
        <v>9222.0758064</v>
      </c>
      <c r="CR27" s="33"/>
      <c r="CS27" s="33">
        <f t="shared" si="92"/>
        <v>6505.6</v>
      </c>
      <c r="CT27" s="33">
        <f t="shared" si="46"/>
        <v>668.50711</v>
      </c>
      <c r="CU27" s="51">
        <f t="shared" si="47"/>
        <v>7174.107110000001</v>
      </c>
      <c r="CV27" s="51">
        <f t="shared" si="48"/>
        <v>88.94268</v>
      </c>
      <c r="CW27" s="33"/>
      <c r="CX27" s="33">
        <f t="shared" si="93"/>
        <v>4499.808</v>
      </c>
      <c r="CY27" s="33">
        <f t="shared" si="49"/>
        <v>462.3944973</v>
      </c>
      <c r="CZ27" s="51">
        <f t="shared" si="50"/>
        <v>4962.2024973</v>
      </c>
      <c r="DA27" s="51">
        <f t="shared" si="51"/>
        <v>61.520072400000004</v>
      </c>
      <c r="DB27" s="33"/>
      <c r="DC27" s="33">
        <f t="shared" si="94"/>
        <v>2774.912</v>
      </c>
      <c r="DD27" s="51">
        <f t="shared" si="52"/>
        <v>285.14639719999997</v>
      </c>
      <c r="DE27" s="51">
        <f t="shared" si="53"/>
        <v>3060.0583972</v>
      </c>
      <c r="DF27" s="51">
        <f t="shared" si="54"/>
        <v>37.9377936</v>
      </c>
      <c r="DG27" s="33"/>
      <c r="DH27" s="33">
        <f t="shared" si="95"/>
        <v>69.312</v>
      </c>
      <c r="DI27" s="33">
        <f t="shared" si="55"/>
        <v>7.122412199999999</v>
      </c>
      <c r="DJ27" s="51">
        <f t="shared" si="56"/>
        <v>76.4344122</v>
      </c>
      <c r="DK27" s="51">
        <f t="shared" si="57"/>
        <v>0.9476136</v>
      </c>
      <c r="DL27" s="33"/>
      <c r="DM27" s="33">
        <f t="shared" si="96"/>
        <v>17080.543999999998</v>
      </c>
      <c r="DN27" s="33">
        <f t="shared" si="58"/>
        <v>1755.1747888999998</v>
      </c>
      <c r="DO27" s="33">
        <f t="shared" si="59"/>
        <v>18835.718788899998</v>
      </c>
      <c r="DP27" s="51">
        <f t="shared" si="60"/>
        <v>233.52025319999998</v>
      </c>
      <c r="DQ27" s="33"/>
      <c r="DR27" s="33">
        <f t="shared" si="97"/>
        <v>41075.264</v>
      </c>
      <c r="DS27" s="33">
        <f t="shared" si="61"/>
        <v>4220.8414334</v>
      </c>
      <c r="DT27" s="51">
        <f t="shared" si="62"/>
        <v>45296.1054334</v>
      </c>
      <c r="DU27" s="51">
        <f t="shared" si="63"/>
        <v>561.5691192</v>
      </c>
      <c r="DV27" s="33"/>
      <c r="DW27" s="33">
        <f t="shared" si="98"/>
        <v>11714.944</v>
      </c>
      <c r="DX27" s="33">
        <f t="shared" si="64"/>
        <v>1203.8126164</v>
      </c>
      <c r="DY27" s="51">
        <f t="shared" si="65"/>
        <v>12918.7566164</v>
      </c>
      <c r="DZ27" s="51">
        <f t="shared" si="66"/>
        <v>160.1633232</v>
      </c>
    </row>
    <row r="28" spans="1:130" ht="12.75">
      <c r="A28" s="78">
        <v>45931</v>
      </c>
      <c r="C28" s="41"/>
      <c r="D28" s="41"/>
      <c r="E28" s="41"/>
      <c r="F28" s="41">
        <v>511153</v>
      </c>
      <c r="G28" s="35">
        <f t="shared" si="67"/>
        <v>0</v>
      </c>
      <c r="H28" s="35">
        <f t="shared" si="68"/>
        <v>511153</v>
      </c>
      <c r="I28" s="35">
        <f t="shared" si="0"/>
        <v>511153</v>
      </c>
      <c r="J28" s="35">
        <v>83124</v>
      </c>
      <c r="L28" s="71"/>
      <c r="M28" s="71">
        <f t="shared" si="1"/>
        <v>164363.03618549998</v>
      </c>
      <c r="N28" s="71">
        <f t="shared" si="2"/>
        <v>164363.03618549998</v>
      </c>
      <c r="O28" s="71">
        <f t="shared" si="3"/>
        <v>26728.813133999996</v>
      </c>
      <c r="R28" s="33">
        <f t="shared" si="4"/>
        <v>22588.362223</v>
      </c>
      <c r="S28" s="33">
        <f t="shared" si="5"/>
        <v>22588.362223</v>
      </c>
      <c r="T28" s="51">
        <f t="shared" si="6"/>
        <v>3673.332684</v>
      </c>
      <c r="W28" s="51">
        <f t="shared" si="7"/>
        <v>23047.888769999998</v>
      </c>
      <c r="X28" s="51">
        <f t="shared" si="8"/>
        <v>23047.888769999998</v>
      </c>
      <c r="Y28" s="51">
        <f t="shared" si="9"/>
        <v>3748.0611599999997</v>
      </c>
      <c r="AB28" s="51">
        <f t="shared" si="10"/>
        <v>770.6653781</v>
      </c>
      <c r="AC28" s="51">
        <f t="shared" si="11"/>
        <v>770.6653781</v>
      </c>
      <c r="AD28" s="51">
        <f t="shared" si="12"/>
        <v>125.32605480000001</v>
      </c>
      <c r="AG28" s="33">
        <f t="shared" si="74"/>
        <v>286.24568</v>
      </c>
      <c r="AH28" s="33">
        <f t="shared" si="75"/>
        <v>286.24568</v>
      </c>
      <c r="AI28" s="51">
        <f t="shared" si="76"/>
        <v>46.54944</v>
      </c>
      <c r="AL28" s="33">
        <f t="shared" si="13"/>
        <v>4338.2066263</v>
      </c>
      <c r="AM28" s="33">
        <f t="shared" si="14"/>
        <v>4338.2066263</v>
      </c>
      <c r="AN28" s="51">
        <f t="shared" si="15"/>
        <v>705.4817003999999</v>
      </c>
      <c r="AP28" s="51"/>
      <c r="AQ28" s="33">
        <f t="shared" si="16"/>
        <v>1100.7679855000001</v>
      </c>
      <c r="AR28" s="51">
        <f t="shared" si="17"/>
        <v>1100.7679855000001</v>
      </c>
      <c r="AS28" s="51">
        <f t="shared" si="18"/>
        <v>179.007534</v>
      </c>
      <c r="AU28" s="51"/>
      <c r="AV28" s="33">
        <f t="shared" si="19"/>
        <v>1178.1054344000001</v>
      </c>
      <c r="AW28" s="51">
        <f t="shared" si="20"/>
        <v>1178.1054344000001</v>
      </c>
      <c r="AX28" s="51">
        <f t="shared" si="21"/>
        <v>191.5841952</v>
      </c>
      <c r="BA28" s="33">
        <f t="shared" si="22"/>
        <v>1194.1045233</v>
      </c>
      <c r="BB28" s="33">
        <f t="shared" si="23"/>
        <v>1194.1045233</v>
      </c>
      <c r="BC28" s="51">
        <f t="shared" si="24"/>
        <v>194.1859764</v>
      </c>
      <c r="BF28" s="33">
        <f t="shared" si="25"/>
        <v>237.3283379</v>
      </c>
      <c r="BG28" s="51">
        <f t="shared" si="26"/>
        <v>237.3283379</v>
      </c>
      <c r="BH28" s="51">
        <f t="shared" si="27"/>
        <v>38.5944732</v>
      </c>
      <c r="BK28" s="33">
        <f t="shared" si="28"/>
        <v>1926.0756193</v>
      </c>
      <c r="BL28" s="51">
        <f t="shared" si="29"/>
        <v>1926.0756193</v>
      </c>
      <c r="BM28" s="51">
        <f t="shared" si="30"/>
        <v>313.2195444</v>
      </c>
      <c r="BP28" s="33">
        <f t="shared" si="84"/>
        <v>58.68036440000004</v>
      </c>
      <c r="BQ28" s="51">
        <f t="shared" si="85"/>
        <v>58.68036440000004</v>
      </c>
      <c r="BR28" s="33">
        <f t="shared" si="86"/>
        <v>9.542635200000007</v>
      </c>
      <c r="BT28" s="51"/>
      <c r="BU28" s="51">
        <f t="shared" si="31"/>
        <v>1687.1115918</v>
      </c>
      <c r="BV28" s="33">
        <f t="shared" si="32"/>
        <v>1687.1115918</v>
      </c>
      <c r="BW28" s="51">
        <f t="shared" si="33"/>
        <v>274.3590744</v>
      </c>
      <c r="BY28" s="51"/>
      <c r="BZ28" s="51">
        <f t="shared" si="34"/>
        <v>1062.0225881000001</v>
      </c>
      <c r="CA28" s="33">
        <f t="shared" si="35"/>
        <v>1062.0225881000001</v>
      </c>
      <c r="CB28" s="51">
        <f t="shared" si="36"/>
        <v>172.7067348</v>
      </c>
      <c r="CE28" s="33">
        <f t="shared" si="37"/>
        <v>40675.6133586</v>
      </c>
      <c r="CF28" s="51">
        <f t="shared" si="38"/>
        <v>40675.6133586</v>
      </c>
      <c r="CG28" s="51">
        <f t="shared" si="39"/>
        <v>6614.6920488</v>
      </c>
      <c r="CJ28" s="33">
        <f t="shared" si="40"/>
        <v>464.22915459999996</v>
      </c>
      <c r="CK28" s="33">
        <f t="shared" si="41"/>
        <v>464.22915459999996</v>
      </c>
      <c r="CL28" s="51">
        <f t="shared" si="42"/>
        <v>75.4932168</v>
      </c>
      <c r="CO28" s="33">
        <f t="shared" si="43"/>
        <v>56709.1539708</v>
      </c>
      <c r="CP28" s="51">
        <f t="shared" si="44"/>
        <v>56709.1539708</v>
      </c>
      <c r="CQ28" s="51">
        <f t="shared" si="45"/>
        <v>9222.0758064</v>
      </c>
      <c r="CT28" s="33">
        <f t="shared" si="46"/>
        <v>546.93371</v>
      </c>
      <c r="CU28" s="51">
        <f t="shared" si="47"/>
        <v>546.93371</v>
      </c>
      <c r="CV28" s="51">
        <f t="shared" si="48"/>
        <v>88.94268</v>
      </c>
      <c r="CY28" s="33">
        <f t="shared" si="49"/>
        <v>378.30433530000005</v>
      </c>
      <c r="CZ28" s="51">
        <f t="shared" si="50"/>
        <v>378.30433530000005</v>
      </c>
      <c r="DA28" s="51">
        <f t="shared" si="51"/>
        <v>61.520072400000004</v>
      </c>
      <c r="DD28" s="51">
        <f t="shared" si="52"/>
        <v>233.2902292</v>
      </c>
      <c r="DE28" s="51">
        <f t="shared" si="53"/>
        <v>233.2902292</v>
      </c>
      <c r="DF28" s="51">
        <f t="shared" si="54"/>
        <v>37.9377936</v>
      </c>
      <c r="DI28" s="33">
        <f t="shared" si="55"/>
        <v>5.827144199999999</v>
      </c>
      <c r="DJ28" s="51">
        <f t="shared" si="56"/>
        <v>5.827144199999999</v>
      </c>
      <c r="DK28" s="51">
        <f t="shared" si="57"/>
        <v>0.9476136</v>
      </c>
      <c r="DN28" s="33">
        <f t="shared" si="58"/>
        <v>1435.9821229</v>
      </c>
      <c r="DO28" s="33">
        <f t="shared" si="59"/>
        <v>1435.9821229</v>
      </c>
      <c r="DP28" s="51">
        <f t="shared" si="60"/>
        <v>233.52025319999998</v>
      </c>
      <c r="DS28" s="33">
        <f t="shared" si="61"/>
        <v>3453.2474374000003</v>
      </c>
      <c r="DT28" s="51">
        <f t="shared" si="62"/>
        <v>3453.2474374000003</v>
      </c>
      <c r="DU28" s="51">
        <f t="shared" si="63"/>
        <v>561.5691192</v>
      </c>
      <c r="DX28" s="33">
        <f t="shared" si="64"/>
        <v>984.8896004</v>
      </c>
      <c r="DY28" s="51">
        <f t="shared" si="65"/>
        <v>984.8896004</v>
      </c>
      <c r="DZ28" s="51">
        <f t="shared" si="66"/>
        <v>160.1633232</v>
      </c>
    </row>
    <row r="29" spans="1:130" ht="12.75">
      <c r="A29" s="78">
        <v>46113</v>
      </c>
      <c r="C29" s="41"/>
      <c r="D29" s="41"/>
      <c r="E29" s="41">
        <v>6305000</v>
      </c>
      <c r="F29" s="41">
        <v>511153</v>
      </c>
      <c r="G29" s="35">
        <f t="shared" si="67"/>
        <v>6305000</v>
      </c>
      <c r="H29" s="35">
        <f t="shared" si="68"/>
        <v>511153</v>
      </c>
      <c r="I29" s="35">
        <f t="shared" si="0"/>
        <v>6816153</v>
      </c>
      <c r="J29" s="35">
        <v>83124</v>
      </c>
      <c r="K29" s="33"/>
      <c r="L29" s="71">
        <f t="shared" si="69"/>
        <v>2027394.8175</v>
      </c>
      <c r="M29" s="71">
        <f t="shared" si="1"/>
        <v>164363.03618549998</v>
      </c>
      <c r="N29" s="71">
        <f t="shared" si="2"/>
        <v>2191757.8536855</v>
      </c>
      <c r="O29" s="71">
        <f t="shared" si="3"/>
        <v>26728.813133999996</v>
      </c>
      <c r="P29" s="33"/>
      <c r="Q29" s="33">
        <f t="shared" si="70"/>
        <v>278624.255</v>
      </c>
      <c r="R29" s="33">
        <f t="shared" si="4"/>
        <v>22588.362223</v>
      </c>
      <c r="S29" s="33">
        <f t="shared" si="5"/>
        <v>301212.617223</v>
      </c>
      <c r="T29" s="51">
        <f t="shared" si="6"/>
        <v>3673.332684</v>
      </c>
      <c r="U29" s="33"/>
      <c r="V29" s="33">
        <f t="shared" si="71"/>
        <v>284292.45</v>
      </c>
      <c r="W29" s="51">
        <f t="shared" si="7"/>
        <v>23047.888769999998</v>
      </c>
      <c r="X29" s="51">
        <f t="shared" si="8"/>
        <v>307340.33877000003</v>
      </c>
      <c r="Y29" s="51">
        <f t="shared" si="9"/>
        <v>3748.0611599999997</v>
      </c>
      <c r="Z29" s="33"/>
      <c r="AA29" s="33">
        <f t="shared" si="72"/>
        <v>9506.0485</v>
      </c>
      <c r="AB29" s="51">
        <f t="shared" si="10"/>
        <v>770.6653781</v>
      </c>
      <c r="AC29" s="51">
        <f t="shared" si="11"/>
        <v>10276.713878100001</v>
      </c>
      <c r="AD29" s="51">
        <f t="shared" si="12"/>
        <v>125.32605480000001</v>
      </c>
      <c r="AE29" s="33"/>
      <c r="AF29" s="33">
        <f t="shared" si="73"/>
        <v>3530.7999999999997</v>
      </c>
      <c r="AG29" s="33">
        <f t="shared" si="74"/>
        <v>286.24568</v>
      </c>
      <c r="AH29" s="33">
        <f t="shared" si="75"/>
        <v>3817.0456799999997</v>
      </c>
      <c r="AI29" s="51">
        <f t="shared" si="76"/>
        <v>46.54944</v>
      </c>
      <c r="AJ29" s="33"/>
      <c r="AK29" s="33">
        <f t="shared" si="77"/>
        <v>53511.165499999996</v>
      </c>
      <c r="AL29" s="33">
        <f t="shared" si="13"/>
        <v>4338.2066263</v>
      </c>
      <c r="AM29" s="33">
        <f t="shared" si="14"/>
        <v>57849.3721263</v>
      </c>
      <c r="AN29" s="51">
        <f t="shared" si="15"/>
        <v>705.4817003999999</v>
      </c>
      <c r="AO29" s="33"/>
      <c r="AP29" s="51">
        <f t="shared" si="78"/>
        <v>13577.817500000001</v>
      </c>
      <c r="AQ29" s="33">
        <f t="shared" si="16"/>
        <v>1100.7679855000001</v>
      </c>
      <c r="AR29" s="51">
        <f t="shared" si="17"/>
        <v>14678.585485500002</v>
      </c>
      <c r="AS29" s="51">
        <f t="shared" si="18"/>
        <v>179.007534</v>
      </c>
      <c r="AT29" s="33"/>
      <c r="AU29" s="51">
        <f t="shared" si="79"/>
        <v>14531.764000000001</v>
      </c>
      <c r="AV29" s="33">
        <f t="shared" si="19"/>
        <v>1178.1054344000001</v>
      </c>
      <c r="AW29" s="51">
        <f t="shared" si="20"/>
        <v>15709.869434400001</v>
      </c>
      <c r="AX29" s="51">
        <f t="shared" si="21"/>
        <v>191.5841952</v>
      </c>
      <c r="AY29" s="33"/>
      <c r="AZ29" s="33">
        <f t="shared" si="80"/>
        <v>14729.110499999999</v>
      </c>
      <c r="BA29" s="33">
        <f t="shared" si="22"/>
        <v>1194.1045233</v>
      </c>
      <c r="BB29" s="33">
        <f t="shared" si="23"/>
        <v>15923.2150233</v>
      </c>
      <c r="BC29" s="51">
        <f t="shared" si="24"/>
        <v>194.1859764</v>
      </c>
      <c r="BD29" s="33"/>
      <c r="BE29" s="33">
        <f t="shared" si="81"/>
        <v>2927.4115</v>
      </c>
      <c r="BF29" s="33">
        <f t="shared" si="25"/>
        <v>237.3283379</v>
      </c>
      <c r="BG29" s="51">
        <f t="shared" si="26"/>
        <v>3164.7398379</v>
      </c>
      <c r="BH29" s="51">
        <f t="shared" si="27"/>
        <v>38.5944732</v>
      </c>
      <c r="BI29" s="33"/>
      <c r="BJ29" s="33">
        <f t="shared" si="82"/>
        <v>23757.8705</v>
      </c>
      <c r="BK29" s="33">
        <f t="shared" si="28"/>
        <v>1926.0756193</v>
      </c>
      <c r="BL29" s="51">
        <f t="shared" si="29"/>
        <v>25683.946119300002</v>
      </c>
      <c r="BM29" s="51">
        <f t="shared" si="30"/>
        <v>313.2195444</v>
      </c>
      <c r="BN29" s="33"/>
      <c r="BO29" s="33">
        <f t="shared" si="83"/>
        <v>723.8140000000005</v>
      </c>
      <c r="BP29" s="33">
        <f t="shared" si="84"/>
        <v>58.68036440000004</v>
      </c>
      <c r="BQ29" s="51">
        <f t="shared" si="85"/>
        <v>782.4943644000006</v>
      </c>
      <c r="BR29" s="33">
        <f t="shared" si="86"/>
        <v>9.542635200000007</v>
      </c>
      <c r="BS29" s="33"/>
      <c r="BT29" s="51">
        <f t="shared" si="87"/>
        <v>20810.283</v>
      </c>
      <c r="BU29" s="51">
        <f t="shared" si="31"/>
        <v>1687.1115918</v>
      </c>
      <c r="BV29" s="33">
        <f t="shared" si="32"/>
        <v>22497.3945918</v>
      </c>
      <c r="BW29" s="51">
        <f t="shared" si="33"/>
        <v>274.3590744</v>
      </c>
      <c r="BX29" s="33"/>
      <c r="BY29" s="51">
        <f t="shared" si="88"/>
        <v>13099.8985</v>
      </c>
      <c r="BZ29" s="51">
        <f t="shared" si="34"/>
        <v>1062.0225881000001</v>
      </c>
      <c r="CA29" s="33">
        <f t="shared" si="35"/>
        <v>14161.9210881</v>
      </c>
      <c r="CB29" s="51">
        <f t="shared" si="36"/>
        <v>172.7067348</v>
      </c>
      <c r="CC29" s="33"/>
      <c r="CD29" s="33">
        <f t="shared" si="89"/>
        <v>501727.941</v>
      </c>
      <c r="CE29" s="33">
        <f t="shared" si="37"/>
        <v>40675.6133586</v>
      </c>
      <c r="CF29" s="51">
        <f t="shared" si="38"/>
        <v>542403.5543585999</v>
      </c>
      <c r="CG29" s="51">
        <f t="shared" si="39"/>
        <v>6614.6920488</v>
      </c>
      <c r="CH29" s="33"/>
      <c r="CI29" s="33">
        <f t="shared" si="90"/>
        <v>5726.201</v>
      </c>
      <c r="CJ29" s="33">
        <f t="shared" si="40"/>
        <v>464.22915459999996</v>
      </c>
      <c r="CK29" s="33">
        <f t="shared" si="41"/>
        <v>6190.4301546</v>
      </c>
      <c r="CL29" s="51">
        <f t="shared" si="42"/>
        <v>75.4932168</v>
      </c>
      <c r="CM29" s="33"/>
      <c r="CN29" s="33">
        <f t="shared" si="91"/>
        <v>699499.398</v>
      </c>
      <c r="CO29" s="33">
        <f t="shared" si="43"/>
        <v>56709.1539708</v>
      </c>
      <c r="CP29" s="51">
        <f t="shared" si="44"/>
        <v>756208.5519708</v>
      </c>
      <c r="CQ29" s="51">
        <f t="shared" si="45"/>
        <v>9222.0758064</v>
      </c>
      <c r="CR29" s="33"/>
      <c r="CS29" s="33">
        <f t="shared" si="92"/>
        <v>6746.35</v>
      </c>
      <c r="CT29" s="33">
        <f t="shared" si="46"/>
        <v>546.93371</v>
      </c>
      <c r="CU29" s="51">
        <f t="shared" si="47"/>
        <v>7293.283710000001</v>
      </c>
      <c r="CV29" s="51">
        <f t="shared" si="48"/>
        <v>88.94268</v>
      </c>
      <c r="CW29" s="33"/>
      <c r="CX29" s="33">
        <f t="shared" si="93"/>
        <v>4666.3305</v>
      </c>
      <c r="CY29" s="33">
        <f t="shared" si="49"/>
        <v>378.30433530000005</v>
      </c>
      <c r="CZ29" s="51">
        <f t="shared" si="50"/>
        <v>5044.6348353</v>
      </c>
      <c r="DA29" s="51">
        <f t="shared" si="51"/>
        <v>61.520072400000004</v>
      </c>
      <c r="DB29" s="33"/>
      <c r="DC29" s="33">
        <f t="shared" si="94"/>
        <v>2877.602</v>
      </c>
      <c r="DD29" s="51">
        <f t="shared" si="52"/>
        <v>233.2902292</v>
      </c>
      <c r="DE29" s="51">
        <f t="shared" si="53"/>
        <v>3110.8922291999997</v>
      </c>
      <c r="DF29" s="51">
        <f t="shared" si="54"/>
        <v>37.9377936</v>
      </c>
      <c r="DG29" s="33"/>
      <c r="DH29" s="33">
        <f t="shared" si="95"/>
        <v>71.877</v>
      </c>
      <c r="DI29" s="33">
        <f t="shared" si="55"/>
        <v>5.827144199999999</v>
      </c>
      <c r="DJ29" s="51">
        <f t="shared" si="56"/>
        <v>77.7041442</v>
      </c>
      <c r="DK29" s="51">
        <f t="shared" si="57"/>
        <v>0.9476136</v>
      </c>
      <c r="DL29" s="33"/>
      <c r="DM29" s="33">
        <f t="shared" si="96"/>
        <v>17712.6365</v>
      </c>
      <c r="DN29" s="33">
        <f t="shared" si="58"/>
        <v>1435.9821229</v>
      </c>
      <c r="DO29" s="33">
        <f t="shared" si="59"/>
        <v>19148.6186229</v>
      </c>
      <c r="DP29" s="51">
        <f t="shared" si="60"/>
        <v>233.52025319999998</v>
      </c>
      <c r="DQ29" s="33"/>
      <c r="DR29" s="33">
        <f t="shared" si="97"/>
        <v>42595.319</v>
      </c>
      <c r="DS29" s="33">
        <f t="shared" si="61"/>
        <v>3453.2474374000003</v>
      </c>
      <c r="DT29" s="51">
        <f t="shared" si="62"/>
        <v>46048.566437400004</v>
      </c>
      <c r="DU29" s="51">
        <f t="shared" si="63"/>
        <v>561.5691192</v>
      </c>
      <c r="DV29" s="33"/>
      <c r="DW29" s="33">
        <f t="shared" si="98"/>
        <v>12148.474</v>
      </c>
      <c r="DX29" s="33">
        <f t="shared" si="64"/>
        <v>984.8896004</v>
      </c>
      <c r="DY29" s="51">
        <f t="shared" si="65"/>
        <v>13133.3636004</v>
      </c>
      <c r="DZ29" s="51">
        <f t="shared" si="66"/>
        <v>160.1633232</v>
      </c>
    </row>
    <row r="30" spans="1:130" ht="12.75">
      <c r="A30" s="78">
        <v>46296</v>
      </c>
      <c r="C30" s="41"/>
      <c r="D30" s="41"/>
      <c r="E30" s="41"/>
      <c r="F30" s="41">
        <v>392303</v>
      </c>
      <c r="G30" s="35">
        <f t="shared" si="67"/>
        <v>0</v>
      </c>
      <c r="H30" s="35">
        <f t="shared" si="68"/>
        <v>392303</v>
      </c>
      <c r="I30" s="35">
        <f t="shared" si="0"/>
        <v>392303</v>
      </c>
      <c r="J30" s="35">
        <v>83124</v>
      </c>
      <c r="L30" s="71"/>
      <c r="M30" s="71">
        <f t="shared" si="1"/>
        <v>126146.4027105</v>
      </c>
      <c r="N30" s="71">
        <f t="shared" si="2"/>
        <v>126146.4027105</v>
      </c>
      <c r="O30" s="71">
        <f t="shared" si="3"/>
        <v>26728.813133999996</v>
      </c>
      <c r="R30" s="33">
        <f t="shared" si="4"/>
        <v>17336.261873</v>
      </c>
      <c r="S30" s="33">
        <f t="shared" si="5"/>
        <v>17336.261873</v>
      </c>
      <c r="T30" s="51">
        <f t="shared" si="6"/>
        <v>3673.332684</v>
      </c>
      <c r="W30" s="51">
        <f t="shared" si="7"/>
        <v>17688.94227</v>
      </c>
      <c r="X30" s="51">
        <f t="shared" si="8"/>
        <v>17688.94227</v>
      </c>
      <c r="Y30" s="51">
        <f t="shared" si="9"/>
        <v>3748.0611599999997</v>
      </c>
      <c r="AB30" s="51">
        <f t="shared" si="10"/>
        <v>591.4752331</v>
      </c>
      <c r="AC30" s="51">
        <f t="shared" si="11"/>
        <v>591.4752331</v>
      </c>
      <c r="AD30" s="51">
        <f t="shared" si="12"/>
        <v>125.32605480000001</v>
      </c>
      <c r="AG30" s="33">
        <f t="shared" si="74"/>
        <v>219.68967999999998</v>
      </c>
      <c r="AH30" s="33">
        <f t="shared" si="75"/>
        <v>219.68967999999998</v>
      </c>
      <c r="AI30" s="51">
        <f t="shared" si="76"/>
        <v>46.54944</v>
      </c>
      <c r="AL30" s="33">
        <f t="shared" si="13"/>
        <v>3329.5147912999996</v>
      </c>
      <c r="AM30" s="33">
        <f t="shared" si="14"/>
        <v>3329.5147912999996</v>
      </c>
      <c r="AN30" s="51">
        <f t="shared" si="15"/>
        <v>705.4817003999999</v>
      </c>
      <c r="AP30" s="51"/>
      <c r="AQ30" s="33">
        <f t="shared" si="16"/>
        <v>844.8245105</v>
      </c>
      <c r="AR30" s="51">
        <f t="shared" si="17"/>
        <v>844.8245105</v>
      </c>
      <c r="AS30" s="51">
        <f t="shared" si="18"/>
        <v>179.007534</v>
      </c>
      <c r="AU30" s="51"/>
      <c r="AV30" s="33">
        <f t="shared" si="19"/>
        <v>904.1799544</v>
      </c>
      <c r="AW30" s="51">
        <f t="shared" si="20"/>
        <v>904.1799544</v>
      </c>
      <c r="AX30" s="51">
        <f t="shared" si="21"/>
        <v>191.5841952</v>
      </c>
      <c r="BA30" s="33">
        <f t="shared" si="22"/>
        <v>916.4590383</v>
      </c>
      <c r="BB30" s="33">
        <f t="shared" si="23"/>
        <v>916.4590383</v>
      </c>
      <c r="BC30" s="51">
        <f t="shared" si="24"/>
        <v>194.1859764</v>
      </c>
      <c r="BF30" s="33">
        <f t="shared" si="25"/>
        <v>182.14628290000002</v>
      </c>
      <c r="BG30" s="51">
        <f t="shared" si="26"/>
        <v>182.14628290000002</v>
      </c>
      <c r="BH30" s="51">
        <f t="shared" si="27"/>
        <v>38.5944732</v>
      </c>
      <c r="BK30" s="33">
        <f t="shared" si="28"/>
        <v>1478.2369343</v>
      </c>
      <c r="BL30" s="51">
        <f t="shared" si="29"/>
        <v>1478.2369343</v>
      </c>
      <c r="BM30" s="51">
        <f t="shared" si="30"/>
        <v>313.2195444</v>
      </c>
      <c r="BP30" s="33">
        <f t="shared" si="84"/>
        <v>45.03638440000003</v>
      </c>
      <c r="BQ30" s="51">
        <f t="shared" si="85"/>
        <v>45.03638440000003</v>
      </c>
      <c r="BR30" s="33">
        <f t="shared" si="86"/>
        <v>9.542635200000007</v>
      </c>
      <c r="BT30" s="51"/>
      <c r="BU30" s="51">
        <f t="shared" si="31"/>
        <v>1294.8352817999998</v>
      </c>
      <c r="BV30" s="33">
        <f t="shared" si="32"/>
        <v>1294.8352817999998</v>
      </c>
      <c r="BW30" s="51">
        <f t="shared" si="33"/>
        <v>274.3590744</v>
      </c>
      <c r="BY30" s="51"/>
      <c r="BZ30" s="51">
        <f t="shared" si="34"/>
        <v>815.0879431</v>
      </c>
      <c r="CA30" s="33">
        <f t="shared" si="35"/>
        <v>815.0879431</v>
      </c>
      <c r="CB30" s="51">
        <f t="shared" si="36"/>
        <v>172.7067348</v>
      </c>
      <c r="CE30" s="33">
        <f t="shared" si="37"/>
        <v>31217.9819886</v>
      </c>
      <c r="CF30" s="51">
        <f t="shared" si="38"/>
        <v>31217.9819886</v>
      </c>
      <c r="CG30" s="51">
        <f t="shared" si="39"/>
        <v>6614.6920488</v>
      </c>
      <c r="CJ30" s="33">
        <f t="shared" si="40"/>
        <v>356.28958459999996</v>
      </c>
      <c r="CK30" s="33">
        <f t="shared" si="41"/>
        <v>356.28958459999996</v>
      </c>
      <c r="CL30" s="51">
        <f t="shared" si="42"/>
        <v>75.4932168</v>
      </c>
      <c r="CO30" s="33">
        <f t="shared" si="43"/>
        <v>43523.507110800005</v>
      </c>
      <c r="CP30" s="51">
        <f t="shared" si="44"/>
        <v>43523.507110800005</v>
      </c>
      <c r="CQ30" s="51">
        <f t="shared" si="45"/>
        <v>9222.0758064</v>
      </c>
      <c r="CT30" s="33">
        <f t="shared" si="46"/>
        <v>419.76421</v>
      </c>
      <c r="CU30" s="51">
        <f t="shared" si="47"/>
        <v>419.76421</v>
      </c>
      <c r="CV30" s="51">
        <f t="shared" si="48"/>
        <v>88.94268</v>
      </c>
      <c r="CY30" s="33">
        <f t="shared" si="49"/>
        <v>290.34345030000003</v>
      </c>
      <c r="CZ30" s="51">
        <f t="shared" si="50"/>
        <v>290.34345030000003</v>
      </c>
      <c r="DA30" s="51">
        <f t="shared" si="51"/>
        <v>61.520072400000004</v>
      </c>
      <c r="DD30" s="51">
        <f t="shared" si="52"/>
        <v>179.0470892</v>
      </c>
      <c r="DE30" s="51">
        <f t="shared" si="53"/>
        <v>179.0470892</v>
      </c>
      <c r="DF30" s="51">
        <f t="shared" si="54"/>
        <v>37.9377936</v>
      </c>
      <c r="DI30" s="33">
        <f t="shared" si="55"/>
        <v>4.4722542</v>
      </c>
      <c r="DJ30" s="51">
        <f t="shared" si="56"/>
        <v>4.4722542</v>
      </c>
      <c r="DK30" s="51">
        <f t="shared" si="57"/>
        <v>0.9476136</v>
      </c>
      <c r="DN30" s="33">
        <f t="shared" si="58"/>
        <v>1102.0968179</v>
      </c>
      <c r="DO30" s="33">
        <f t="shared" si="59"/>
        <v>1102.0968179</v>
      </c>
      <c r="DP30" s="51">
        <f t="shared" si="60"/>
        <v>233.52025319999998</v>
      </c>
      <c r="DS30" s="33">
        <f t="shared" si="61"/>
        <v>2650.3206074</v>
      </c>
      <c r="DT30" s="51">
        <f t="shared" si="62"/>
        <v>2650.3206074</v>
      </c>
      <c r="DU30" s="51">
        <f t="shared" si="63"/>
        <v>561.5691192</v>
      </c>
      <c r="DX30" s="33">
        <f t="shared" si="64"/>
        <v>755.8894204</v>
      </c>
      <c r="DY30" s="51">
        <f t="shared" si="65"/>
        <v>755.8894204</v>
      </c>
      <c r="DZ30" s="51">
        <f t="shared" si="66"/>
        <v>160.1633232</v>
      </c>
    </row>
    <row r="31" spans="1:130" ht="12.75">
      <c r="A31" s="78">
        <v>46478</v>
      </c>
      <c r="C31" s="41"/>
      <c r="D31" s="41"/>
      <c r="E31" s="41">
        <v>6545000</v>
      </c>
      <c r="F31" s="41">
        <v>392303</v>
      </c>
      <c r="G31" s="35">
        <f t="shared" si="67"/>
        <v>6545000</v>
      </c>
      <c r="H31" s="35">
        <f t="shared" si="68"/>
        <v>392303</v>
      </c>
      <c r="I31" s="35">
        <f t="shared" si="0"/>
        <v>6937303</v>
      </c>
      <c r="J31" s="35">
        <v>83124</v>
      </c>
      <c r="K31" s="33"/>
      <c r="L31" s="71">
        <f t="shared" si="69"/>
        <v>2104567.6574999997</v>
      </c>
      <c r="M31" s="71">
        <f t="shared" si="1"/>
        <v>126146.4027105</v>
      </c>
      <c r="N31" s="71">
        <f t="shared" si="2"/>
        <v>2230714.0602105</v>
      </c>
      <c r="O31" s="71">
        <f t="shared" si="3"/>
        <v>26728.813133999996</v>
      </c>
      <c r="P31" s="33"/>
      <c r="Q31" s="33">
        <f t="shared" si="70"/>
        <v>289230.09500000003</v>
      </c>
      <c r="R31" s="33">
        <f t="shared" si="4"/>
        <v>17336.261873</v>
      </c>
      <c r="S31" s="33">
        <f t="shared" si="5"/>
        <v>306566.35687300004</v>
      </c>
      <c r="T31" s="51">
        <f t="shared" si="6"/>
        <v>3673.332684</v>
      </c>
      <c r="U31" s="33"/>
      <c r="V31" s="33">
        <f t="shared" si="71"/>
        <v>295114.05</v>
      </c>
      <c r="W31" s="51">
        <f t="shared" si="7"/>
        <v>17688.94227</v>
      </c>
      <c r="X31" s="51">
        <f t="shared" si="8"/>
        <v>312802.99227</v>
      </c>
      <c r="Y31" s="51">
        <f t="shared" si="9"/>
        <v>3748.0611599999997</v>
      </c>
      <c r="Z31" s="33"/>
      <c r="AA31" s="33">
        <f t="shared" si="72"/>
        <v>9867.8965</v>
      </c>
      <c r="AB31" s="51">
        <f t="shared" si="10"/>
        <v>591.4752331</v>
      </c>
      <c r="AC31" s="51">
        <f t="shared" si="11"/>
        <v>10459.3717331</v>
      </c>
      <c r="AD31" s="51">
        <f t="shared" si="12"/>
        <v>125.32605480000001</v>
      </c>
      <c r="AE31" s="33"/>
      <c r="AF31" s="33">
        <f t="shared" si="73"/>
        <v>3665.2</v>
      </c>
      <c r="AG31" s="33">
        <f t="shared" si="74"/>
        <v>219.68967999999998</v>
      </c>
      <c r="AH31" s="33">
        <f t="shared" si="75"/>
        <v>3884.8896799999998</v>
      </c>
      <c r="AI31" s="51">
        <f t="shared" si="76"/>
        <v>46.54944</v>
      </c>
      <c r="AJ31" s="33"/>
      <c r="AK31" s="33">
        <f t="shared" si="77"/>
        <v>55548.0695</v>
      </c>
      <c r="AL31" s="33">
        <f t="shared" si="13"/>
        <v>3329.5147912999996</v>
      </c>
      <c r="AM31" s="33">
        <f t="shared" si="14"/>
        <v>58877.584291299994</v>
      </c>
      <c r="AN31" s="51">
        <f t="shared" si="15"/>
        <v>705.4817003999999</v>
      </c>
      <c r="AO31" s="33"/>
      <c r="AP31" s="51">
        <f t="shared" si="78"/>
        <v>14094.6575</v>
      </c>
      <c r="AQ31" s="33">
        <f t="shared" si="16"/>
        <v>844.8245105</v>
      </c>
      <c r="AR31" s="51">
        <f t="shared" si="17"/>
        <v>14939.4820105</v>
      </c>
      <c r="AS31" s="51">
        <f t="shared" si="18"/>
        <v>179.007534</v>
      </c>
      <c r="AT31" s="33"/>
      <c r="AU31" s="51">
        <f t="shared" si="79"/>
        <v>15084.916000000001</v>
      </c>
      <c r="AV31" s="33">
        <f t="shared" si="19"/>
        <v>904.1799544</v>
      </c>
      <c r="AW31" s="51">
        <f t="shared" si="20"/>
        <v>15989.095954400002</v>
      </c>
      <c r="AX31" s="51">
        <f t="shared" si="21"/>
        <v>191.5841952</v>
      </c>
      <c r="AY31" s="33"/>
      <c r="AZ31" s="33">
        <f t="shared" si="80"/>
        <v>15289.7745</v>
      </c>
      <c r="BA31" s="33">
        <f t="shared" si="22"/>
        <v>916.4590383</v>
      </c>
      <c r="BB31" s="33">
        <f t="shared" si="23"/>
        <v>16206.233538299999</v>
      </c>
      <c r="BC31" s="51">
        <f t="shared" si="24"/>
        <v>194.1859764</v>
      </c>
      <c r="BD31" s="33"/>
      <c r="BE31" s="33">
        <f t="shared" si="81"/>
        <v>3038.8435</v>
      </c>
      <c r="BF31" s="33">
        <f t="shared" si="25"/>
        <v>182.14628290000002</v>
      </c>
      <c r="BG31" s="51">
        <f t="shared" si="26"/>
        <v>3220.9897829</v>
      </c>
      <c r="BH31" s="51">
        <f t="shared" si="27"/>
        <v>38.5944732</v>
      </c>
      <c r="BI31" s="33"/>
      <c r="BJ31" s="33">
        <f t="shared" si="82"/>
        <v>24662.2145</v>
      </c>
      <c r="BK31" s="33">
        <f t="shared" si="28"/>
        <v>1478.2369343</v>
      </c>
      <c r="BL31" s="51">
        <f t="shared" si="29"/>
        <v>26140.451434299997</v>
      </c>
      <c r="BM31" s="51">
        <f t="shared" si="30"/>
        <v>313.2195444</v>
      </c>
      <c r="BN31" s="33"/>
      <c r="BO31" s="33">
        <f t="shared" si="83"/>
        <v>751.3660000000006</v>
      </c>
      <c r="BP31" s="33">
        <f t="shared" si="84"/>
        <v>45.03638440000003</v>
      </c>
      <c r="BQ31" s="51">
        <f t="shared" si="85"/>
        <v>796.4023844000005</v>
      </c>
      <c r="BR31" s="33">
        <f t="shared" si="86"/>
        <v>9.542635200000007</v>
      </c>
      <c r="BS31" s="33"/>
      <c r="BT31" s="51">
        <f t="shared" si="87"/>
        <v>21602.427</v>
      </c>
      <c r="BU31" s="51">
        <f t="shared" si="31"/>
        <v>1294.8352817999998</v>
      </c>
      <c r="BV31" s="33">
        <f t="shared" si="32"/>
        <v>22897.262281799998</v>
      </c>
      <c r="BW31" s="51">
        <f t="shared" si="33"/>
        <v>274.3590744</v>
      </c>
      <c r="BX31" s="33"/>
      <c r="BY31" s="51">
        <f t="shared" si="88"/>
        <v>13598.5465</v>
      </c>
      <c r="BZ31" s="51">
        <f t="shared" si="34"/>
        <v>815.0879431</v>
      </c>
      <c r="CA31" s="33">
        <f t="shared" si="35"/>
        <v>14413.6344431</v>
      </c>
      <c r="CB31" s="51">
        <f t="shared" si="36"/>
        <v>172.7067348</v>
      </c>
      <c r="CC31" s="33"/>
      <c r="CD31" s="33">
        <f t="shared" si="89"/>
        <v>520826.229</v>
      </c>
      <c r="CE31" s="33">
        <f t="shared" si="37"/>
        <v>31217.9819886</v>
      </c>
      <c r="CF31" s="51">
        <f t="shared" si="38"/>
        <v>552044.2109886</v>
      </c>
      <c r="CG31" s="51">
        <f t="shared" si="39"/>
        <v>6614.6920488</v>
      </c>
      <c r="CH31" s="33"/>
      <c r="CI31" s="33">
        <f t="shared" si="90"/>
        <v>5944.169</v>
      </c>
      <c r="CJ31" s="33">
        <f t="shared" si="40"/>
        <v>356.28958459999996</v>
      </c>
      <c r="CK31" s="33">
        <f t="shared" si="41"/>
        <v>6300.4585846</v>
      </c>
      <c r="CL31" s="51">
        <f t="shared" si="42"/>
        <v>75.4932168</v>
      </c>
      <c r="CM31" s="33"/>
      <c r="CN31" s="33">
        <f t="shared" si="91"/>
        <v>726125.862</v>
      </c>
      <c r="CO31" s="33">
        <f t="shared" si="43"/>
        <v>43523.507110800005</v>
      </c>
      <c r="CP31" s="51">
        <f t="shared" si="44"/>
        <v>769649.3691108</v>
      </c>
      <c r="CQ31" s="51">
        <f t="shared" si="45"/>
        <v>9222.0758064</v>
      </c>
      <c r="CR31" s="33"/>
      <c r="CS31" s="33">
        <f t="shared" si="92"/>
        <v>7003.15</v>
      </c>
      <c r="CT31" s="33">
        <f t="shared" si="46"/>
        <v>419.76421</v>
      </c>
      <c r="CU31" s="51">
        <f t="shared" si="47"/>
        <v>7422.91421</v>
      </c>
      <c r="CV31" s="51">
        <f t="shared" si="48"/>
        <v>88.94268</v>
      </c>
      <c r="CW31" s="33"/>
      <c r="CX31" s="33">
        <f t="shared" si="93"/>
        <v>4843.954500000001</v>
      </c>
      <c r="CY31" s="33">
        <f t="shared" si="49"/>
        <v>290.34345030000003</v>
      </c>
      <c r="CZ31" s="51">
        <f t="shared" si="50"/>
        <v>5134.297950300001</v>
      </c>
      <c r="DA31" s="51">
        <f t="shared" si="51"/>
        <v>61.520072400000004</v>
      </c>
      <c r="DB31" s="33"/>
      <c r="DC31" s="33">
        <f t="shared" si="94"/>
        <v>2987.138</v>
      </c>
      <c r="DD31" s="51">
        <f t="shared" si="52"/>
        <v>179.0470892</v>
      </c>
      <c r="DE31" s="51">
        <f t="shared" si="53"/>
        <v>3166.1850891999998</v>
      </c>
      <c r="DF31" s="51">
        <f t="shared" si="54"/>
        <v>37.9377936</v>
      </c>
      <c r="DG31" s="33"/>
      <c r="DH31" s="33">
        <f t="shared" si="95"/>
        <v>74.613</v>
      </c>
      <c r="DI31" s="33">
        <f t="shared" si="55"/>
        <v>4.4722542</v>
      </c>
      <c r="DJ31" s="51">
        <f t="shared" si="56"/>
        <v>79.0852542</v>
      </c>
      <c r="DK31" s="51">
        <f t="shared" si="57"/>
        <v>0.9476136</v>
      </c>
      <c r="DL31" s="33"/>
      <c r="DM31" s="33">
        <f t="shared" si="96"/>
        <v>18386.8685</v>
      </c>
      <c r="DN31" s="33">
        <f t="shared" si="58"/>
        <v>1102.0968179</v>
      </c>
      <c r="DO31" s="33">
        <f t="shared" si="59"/>
        <v>19488.9653179</v>
      </c>
      <c r="DP31" s="51">
        <f t="shared" si="60"/>
        <v>233.52025319999998</v>
      </c>
      <c r="DQ31" s="33"/>
      <c r="DR31" s="33">
        <f t="shared" si="97"/>
        <v>44216.711</v>
      </c>
      <c r="DS31" s="33">
        <f t="shared" si="61"/>
        <v>2650.3206074</v>
      </c>
      <c r="DT31" s="51">
        <f t="shared" si="62"/>
        <v>46867.0316074</v>
      </c>
      <c r="DU31" s="51">
        <f t="shared" si="63"/>
        <v>561.5691192</v>
      </c>
      <c r="DV31" s="33"/>
      <c r="DW31" s="33">
        <f t="shared" si="98"/>
        <v>12610.906</v>
      </c>
      <c r="DX31" s="33">
        <f t="shared" si="64"/>
        <v>755.8894204</v>
      </c>
      <c r="DY31" s="51">
        <f t="shared" si="65"/>
        <v>13366.795420400002</v>
      </c>
      <c r="DZ31" s="51">
        <f t="shared" si="66"/>
        <v>160.1633232</v>
      </c>
    </row>
    <row r="32" spans="1:130" ht="12.75">
      <c r="A32" s="78">
        <v>46661</v>
      </c>
      <c r="C32" s="41"/>
      <c r="D32" s="41"/>
      <c r="E32" s="41"/>
      <c r="F32" s="41">
        <v>267867</v>
      </c>
      <c r="G32" s="35">
        <f t="shared" si="67"/>
        <v>0</v>
      </c>
      <c r="H32" s="35">
        <f t="shared" si="68"/>
        <v>267867</v>
      </c>
      <c r="I32" s="35">
        <f t="shared" si="0"/>
        <v>267867</v>
      </c>
      <c r="J32" s="35">
        <v>83124</v>
      </c>
      <c r="L32" s="71"/>
      <c r="M32" s="71">
        <f t="shared" si="1"/>
        <v>86133.57138449998</v>
      </c>
      <c r="N32" s="71">
        <f t="shared" si="2"/>
        <v>86133.57138449998</v>
      </c>
      <c r="O32" s="71">
        <f t="shared" si="3"/>
        <v>26728.813133999996</v>
      </c>
      <c r="R32" s="33">
        <f t="shared" si="4"/>
        <v>11837.310597</v>
      </c>
      <c r="S32" s="33">
        <f t="shared" si="5"/>
        <v>11837.310597</v>
      </c>
      <c r="T32" s="51">
        <f t="shared" si="6"/>
        <v>3673.332684</v>
      </c>
      <c r="W32" s="51">
        <f t="shared" si="7"/>
        <v>12078.123029999999</v>
      </c>
      <c r="X32" s="51">
        <f t="shared" si="8"/>
        <v>12078.123029999999</v>
      </c>
      <c r="Y32" s="51">
        <f t="shared" si="9"/>
        <v>3748.0611599999997</v>
      </c>
      <c r="AB32" s="51">
        <f t="shared" si="10"/>
        <v>403.8630759</v>
      </c>
      <c r="AC32" s="51">
        <f t="shared" si="11"/>
        <v>403.8630759</v>
      </c>
      <c r="AD32" s="51">
        <f t="shared" si="12"/>
        <v>125.32605480000001</v>
      </c>
      <c r="AG32" s="33">
        <f t="shared" si="74"/>
        <v>150.00552</v>
      </c>
      <c r="AH32" s="33">
        <f t="shared" si="75"/>
        <v>150.00552</v>
      </c>
      <c r="AI32" s="51">
        <f t="shared" si="76"/>
        <v>46.54944</v>
      </c>
      <c r="AL32" s="33">
        <f t="shared" si="13"/>
        <v>2273.4140156999997</v>
      </c>
      <c r="AM32" s="33">
        <f t="shared" si="14"/>
        <v>2273.4140156999997</v>
      </c>
      <c r="AN32" s="51">
        <f t="shared" si="15"/>
        <v>705.4817003999999</v>
      </c>
      <c r="AP32" s="51"/>
      <c r="AQ32" s="33">
        <f t="shared" si="16"/>
        <v>576.8515845000001</v>
      </c>
      <c r="AR32" s="51">
        <f t="shared" si="17"/>
        <v>576.8515845000001</v>
      </c>
      <c r="AS32" s="51">
        <f t="shared" si="18"/>
        <v>179.007534</v>
      </c>
      <c r="AU32" s="51"/>
      <c r="AV32" s="33">
        <f t="shared" si="19"/>
        <v>617.3798616</v>
      </c>
      <c r="AW32" s="51">
        <f t="shared" si="20"/>
        <v>617.3798616</v>
      </c>
      <c r="AX32" s="51">
        <f t="shared" si="21"/>
        <v>191.5841952</v>
      </c>
      <c r="BA32" s="33">
        <f t="shared" si="22"/>
        <v>625.7640987</v>
      </c>
      <c r="BB32" s="33">
        <f t="shared" si="23"/>
        <v>625.7640987</v>
      </c>
      <c r="BC32" s="51">
        <f t="shared" si="24"/>
        <v>194.1859764</v>
      </c>
      <c r="BF32" s="33">
        <f t="shared" si="25"/>
        <v>124.3706481</v>
      </c>
      <c r="BG32" s="51">
        <f t="shared" si="26"/>
        <v>124.3706481</v>
      </c>
      <c r="BH32" s="51">
        <f t="shared" si="27"/>
        <v>38.5944732</v>
      </c>
      <c r="BK32" s="33">
        <f t="shared" si="28"/>
        <v>1009.3496427</v>
      </c>
      <c r="BL32" s="51">
        <f t="shared" si="29"/>
        <v>1009.3496427</v>
      </c>
      <c r="BM32" s="51">
        <f t="shared" si="30"/>
        <v>313.2195444</v>
      </c>
      <c r="BP32" s="33">
        <f t="shared" si="84"/>
        <v>30.751131600000022</v>
      </c>
      <c r="BQ32" s="51">
        <f t="shared" si="85"/>
        <v>30.751131600000022</v>
      </c>
      <c r="BR32" s="33">
        <f t="shared" si="86"/>
        <v>9.542635200000007</v>
      </c>
      <c r="BT32" s="51"/>
      <c r="BU32" s="51">
        <f t="shared" si="31"/>
        <v>884.1218202</v>
      </c>
      <c r="BV32" s="33">
        <f t="shared" si="32"/>
        <v>884.1218202</v>
      </c>
      <c r="BW32" s="51">
        <f t="shared" si="33"/>
        <v>274.3590744</v>
      </c>
      <c r="BY32" s="51"/>
      <c r="BZ32" s="51">
        <f t="shared" si="34"/>
        <v>556.5472659</v>
      </c>
      <c r="CA32" s="33">
        <f t="shared" si="35"/>
        <v>556.5472659</v>
      </c>
      <c r="CB32" s="51">
        <f t="shared" si="36"/>
        <v>172.7067348</v>
      </c>
      <c r="CE32" s="33">
        <f t="shared" si="37"/>
        <v>21315.8379654</v>
      </c>
      <c r="CF32" s="51">
        <f t="shared" si="38"/>
        <v>21315.8379654</v>
      </c>
      <c r="CG32" s="51">
        <f t="shared" si="39"/>
        <v>6614.6920488</v>
      </c>
      <c r="CJ32" s="33">
        <f t="shared" si="40"/>
        <v>243.2768094</v>
      </c>
      <c r="CK32" s="33">
        <f t="shared" si="41"/>
        <v>243.2768094</v>
      </c>
      <c r="CL32" s="51">
        <f t="shared" si="42"/>
        <v>75.4932168</v>
      </c>
      <c r="CO32" s="33">
        <f t="shared" si="43"/>
        <v>29718.129301200002</v>
      </c>
      <c r="CP32" s="51">
        <f t="shared" si="44"/>
        <v>29718.129301200002</v>
      </c>
      <c r="CQ32" s="51">
        <f t="shared" si="45"/>
        <v>9222.0758064</v>
      </c>
      <c r="CT32" s="33">
        <f t="shared" si="46"/>
        <v>286.61769</v>
      </c>
      <c r="CU32" s="51">
        <f t="shared" si="47"/>
        <v>286.61769</v>
      </c>
      <c r="CV32" s="51">
        <f t="shared" si="48"/>
        <v>88.94268</v>
      </c>
      <c r="CY32" s="33">
        <f t="shared" si="49"/>
        <v>198.24836670000002</v>
      </c>
      <c r="CZ32" s="51">
        <f t="shared" si="50"/>
        <v>198.24836670000002</v>
      </c>
      <c r="DA32" s="51">
        <f t="shared" si="51"/>
        <v>61.520072400000004</v>
      </c>
      <c r="DD32" s="51">
        <f t="shared" si="52"/>
        <v>122.2544988</v>
      </c>
      <c r="DE32" s="51">
        <f t="shared" si="53"/>
        <v>122.2544988</v>
      </c>
      <c r="DF32" s="51">
        <f t="shared" si="54"/>
        <v>37.9377936</v>
      </c>
      <c r="DI32" s="33">
        <f t="shared" si="55"/>
        <v>3.0536838</v>
      </c>
      <c r="DJ32" s="51">
        <f t="shared" si="56"/>
        <v>3.0536838</v>
      </c>
      <c r="DK32" s="51">
        <f t="shared" si="57"/>
        <v>0.9476136</v>
      </c>
      <c r="DN32" s="33">
        <f t="shared" si="58"/>
        <v>752.5187631</v>
      </c>
      <c r="DO32" s="33">
        <f t="shared" si="59"/>
        <v>752.5187631</v>
      </c>
      <c r="DP32" s="51">
        <f t="shared" si="60"/>
        <v>233.52025319999998</v>
      </c>
      <c r="DS32" s="33">
        <f t="shared" si="61"/>
        <v>1809.6558786</v>
      </c>
      <c r="DT32" s="51">
        <f t="shared" si="62"/>
        <v>1809.6558786</v>
      </c>
      <c r="DU32" s="51">
        <f t="shared" si="63"/>
        <v>561.5691192</v>
      </c>
      <c r="DX32" s="33">
        <f t="shared" si="64"/>
        <v>516.1261356</v>
      </c>
      <c r="DY32" s="51">
        <f t="shared" si="65"/>
        <v>516.1261356</v>
      </c>
      <c r="DZ32" s="51">
        <f t="shared" si="66"/>
        <v>160.1633232</v>
      </c>
    </row>
    <row r="33" spans="1:130" ht="12.75">
      <c r="A33" s="78">
        <v>46844</v>
      </c>
      <c r="C33" s="41"/>
      <c r="D33" s="41"/>
      <c r="E33" s="41">
        <v>6795000</v>
      </c>
      <c r="F33" s="41">
        <v>267867</v>
      </c>
      <c r="G33" s="35">
        <f t="shared" si="67"/>
        <v>6795000</v>
      </c>
      <c r="H33" s="35">
        <f t="shared" si="68"/>
        <v>267867</v>
      </c>
      <c r="I33" s="35">
        <f t="shared" si="0"/>
        <v>7062867</v>
      </c>
      <c r="J33" s="35">
        <v>83124</v>
      </c>
      <c r="L33" s="71">
        <f t="shared" si="69"/>
        <v>2184956.0325</v>
      </c>
      <c r="M33" s="71">
        <f t="shared" si="1"/>
        <v>86133.57138449998</v>
      </c>
      <c r="N33" s="71">
        <f t="shared" si="2"/>
        <v>2271089.6038845</v>
      </c>
      <c r="O33" s="71">
        <f t="shared" si="3"/>
        <v>26728.813133999996</v>
      </c>
      <c r="P33" s="33"/>
      <c r="Q33" s="33">
        <f t="shared" si="70"/>
        <v>300277.84500000003</v>
      </c>
      <c r="R33" s="33">
        <f t="shared" si="4"/>
        <v>11837.310597</v>
      </c>
      <c r="S33" s="33">
        <f t="shared" si="5"/>
        <v>312115.15559700003</v>
      </c>
      <c r="T33" s="51">
        <f t="shared" si="6"/>
        <v>3673.332684</v>
      </c>
      <c r="U33" s="33"/>
      <c r="V33" s="33">
        <f t="shared" si="71"/>
        <v>306386.55</v>
      </c>
      <c r="W33" s="51">
        <f t="shared" si="7"/>
        <v>12078.123029999999</v>
      </c>
      <c r="X33" s="51">
        <f t="shared" si="8"/>
        <v>318464.67303</v>
      </c>
      <c r="Y33" s="51">
        <f t="shared" si="9"/>
        <v>3748.0611599999997</v>
      </c>
      <c r="Z33" s="33"/>
      <c r="AA33" s="33">
        <f t="shared" si="72"/>
        <v>10244.8215</v>
      </c>
      <c r="AB33" s="51">
        <f t="shared" si="10"/>
        <v>403.8630759</v>
      </c>
      <c r="AC33" s="51">
        <f t="shared" si="11"/>
        <v>10648.6845759</v>
      </c>
      <c r="AD33" s="51">
        <f t="shared" si="12"/>
        <v>125.32605480000001</v>
      </c>
      <c r="AE33" s="33"/>
      <c r="AF33" s="33">
        <f t="shared" si="73"/>
        <v>3805.2</v>
      </c>
      <c r="AG33" s="33">
        <f t="shared" si="74"/>
        <v>150.00552</v>
      </c>
      <c r="AH33" s="33">
        <f t="shared" si="75"/>
        <v>3955.20552</v>
      </c>
      <c r="AI33" s="51">
        <f t="shared" si="76"/>
        <v>46.54944</v>
      </c>
      <c r="AJ33" s="33"/>
      <c r="AK33" s="33">
        <f t="shared" si="77"/>
        <v>57669.84449999999</v>
      </c>
      <c r="AL33" s="33">
        <f t="shared" si="13"/>
        <v>2273.4140156999997</v>
      </c>
      <c r="AM33" s="33">
        <f t="shared" si="14"/>
        <v>59943.25851569999</v>
      </c>
      <c r="AN33" s="51">
        <f t="shared" si="15"/>
        <v>705.4817003999999</v>
      </c>
      <c r="AO33" s="33"/>
      <c r="AP33" s="51">
        <f t="shared" si="78"/>
        <v>14633.0325</v>
      </c>
      <c r="AQ33" s="33">
        <f t="shared" si="16"/>
        <v>576.8515845000001</v>
      </c>
      <c r="AR33" s="51">
        <f t="shared" si="17"/>
        <v>15209.8840845</v>
      </c>
      <c r="AS33" s="51">
        <f t="shared" si="18"/>
        <v>179.007534</v>
      </c>
      <c r="AT33" s="33"/>
      <c r="AU33" s="51">
        <f t="shared" si="79"/>
        <v>15661.116</v>
      </c>
      <c r="AV33" s="33">
        <f t="shared" si="19"/>
        <v>617.3798616</v>
      </c>
      <c r="AW33" s="51">
        <f t="shared" si="20"/>
        <v>16278.4958616</v>
      </c>
      <c r="AX33" s="51">
        <f t="shared" si="21"/>
        <v>191.5841952</v>
      </c>
      <c r="AY33" s="33"/>
      <c r="AZ33" s="33">
        <f t="shared" si="80"/>
        <v>15873.7995</v>
      </c>
      <c r="BA33" s="33">
        <f t="shared" si="22"/>
        <v>625.7640987</v>
      </c>
      <c r="BB33" s="33">
        <f t="shared" si="23"/>
        <v>16499.5635987</v>
      </c>
      <c r="BC33" s="51">
        <f t="shared" si="24"/>
        <v>194.1859764</v>
      </c>
      <c r="BD33" s="33"/>
      <c r="BE33" s="33">
        <f t="shared" si="81"/>
        <v>3154.9185</v>
      </c>
      <c r="BF33" s="33">
        <f t="shared" si="25"/>
        <v>124.3706481</v>
      </c>
      <c r="BG33" s="51">
        <f t="shared" si="26"/>
        <v>3279.2891481</v>
      </c>
      <c r="BH33" s="51">
        <f t="shared" si="27"/>
        <v>38.5944732</v>
      </c>
      <c r="BI33" s="33"/>
      <c r="BJ33" s="33">
        <f t="shared" si="82"/>
        <v>25604.2395</v>
      </c>
      <c r="BK33" s="33">
        <f t="shared" si="28"/>
        <v>1009.3496427</v>
      </c>
      <c r="BL33" s="51">
        <f t="shared" si="29"/>
        <v>26613.5891427</v>
      </c>
      <c r="BM33" s="51">
        <f t="shared" si="30"/>
        <v>313.2195444</v>
      </c>
      <c r="BN33" s="33"/>
      <c r="BO33" s="33">
        <f t="shared" si="83"/>
        <v>780.0660000000006</v>
      </c>
      <c r="BP33" s="33">
        <f t="shared" si="84"/>
        <v>30.751131600000022</v>
      </c>
      <c r="BQ33" s="51">
        <f t="shared" si="85"/>
        <v>810.8171316000006</v>
      </c>
      <c r="BR33" s="33">
        <f t="shared" si="86"/>
        <v>9.542635200000007</v>
      </c>
      <c r="BS33" s="33"/>
      <c r="BT33" s="51">
        <f t="shared" si="87"/>
        <v>22427.576999999997</v>
      </c>
      <c r="BU33" s="51">
        <f t="shared" si="31"/>
        <v>884.1218202</v>
      </c>
      <c r="BV33" s="33">
        <f t="shared" si="32"/>
        <v>23311.6988202</v>
      </c>
      <c r="BW33" s="51">
        <f t="shared" si="33"/>
        <v>274.3590744</v>
      </c>
      <c r="BX33" s="33"/>
      <c r="BY33" s="51">
        <f t="shared" si="88"/>
        <v>14117.9715</v>
      </c>
      <c r="BZ33" s="51">
        <f t="shared" si="34"/>
        <v>556.5472659</v>
      </c>
      <c r="CA33" s="33">
        <f t="shared" si="35"/>
        <v>14674.5187659</v>
      </c>
      <c r="CB33" s="51">
        <f t="shared" si="36"/>
        <v>172.7067348</v>
      </c>
      <c r="CC33" s="33"/>
      <c r="CD33" s="33">
        <f t="shared" si="89"/>
        <v>540720.279</v>
      </c>
      <c r="CE33" s="33">
        <f t="shared" si="37"/>
        <v>21315.8379654</v>
      </c>
      <c r="CF33" s="51">
        <f t="shared" si="38"/>
        <v>562036.1169653999</v>
      </c>
      <c r="CG33" s="51">
        <f t="shared" si="39"/>
        <v>6614.6920488</v>
      </c>
      <c r="CH33" s="33"/>
      <c r="CI33" s="33">
        <f t="shared" si="90"/>
        <v>6171.219</v>
      </c>
      <c r="CJ33" s="33">
        <f t="shared" si="40"/>
        <v>243.2768094</v>
      </c>
      <c r="CK33" s="33">
        <f t="shared" si="41"/>
        <v>6414.4958094</v>
      </c>
      <c r="CL33" s="51">
        <f t="shared" si="42"/>
        <v>75.4932168</v>
      </c>
      <c r="CM33" s="33"/>
      <c r="CN33" s="33">
        <f t="shared" si="91"/>
        <v>753861.762</v>
      </c>
      <c r="CO33" s="33">
        <f t="shared" si="43"/>
        <v>29718.129301200002</v>
      </c>
      <c r="CP33" s="51">
        <f t="shared" si="44"/>
        <v>783579.8913012</v>
      </c>
      <c r="CQ33" s="51">
        <f t="shared" si="45"/>
        <v>9222.0758064</v>
      </c>
      <c r="CR33" s="33"/>
      <c r="CS33" s="33">
        <f t="shared" si="92"/>
        <v>7270.65</v>
      </c>
      <c r="CT33" s="33">
        <f t="shared" si="46"/>
        <v>286.61769</v>
      </c>
      <c r="CU33" s="51">
        <f t="shared" si="47"/>
        <v>7557.26769</v>
      </c>
      <c r="CV33" s="51">
        <f t="shared" si="48"/>
        <v>88.94268</v>
      </c>
      <c r="CW33" s="33"/>
      <c r="CX33" s="33">
        <f t="shared" si="93"/>
        <v>5028.9795</v>
      </c>
      <c r="CY33" s="33">
        <f t="shared" si="49"/>
        <v>198.24836670000002</v>
      </c>
      <c r="CZ33" s="51">
        <f t="shared" si="50"/>
        <v>5227.2278667</v>
      </c>
      <c r="DA33" s="51">
        <f t="shared" si="51"/>
        <v>61.520072400000004</v>
      </c>
      <c r="DB33" s="33"/>
      <c r="DC33" s="33">
        <f t="shared" si="94"/>
        <v>3101.238</v>
      </c>
      <c r="DD33" s="51">
        <f t="shared" si="52"/>
        <v>122.2544988</v>
      </c>
      <c r="DE33" s="51">
        <f t="shared" si="53"/>
        <v>3223.4924988</v>
      </c>
      <c r="DF33" s="51">
        <f t="shared" si="54"/>
        <v>37.9377936</v>
      </c>
      <c r="DG33" s="33"/>
      <c r="DH33" s="33">
        <f t="shared" si="95"/>
        <v>77.463</v>
      </c>
      <c r="DI33" s="33">
        <f t="shared" si="55"/>
        <v>3.0536838</v>
      </c>
      <c r="DJ33" s="51">
        <f t="shared" si="56"/>
        <v>80.5166838</v>
      </c>
      <c r="DK33" s="51">
        <f t="shared" si="57"/>
        <v>0.9476136</v>
      </c>
      <c r="DL33" s="33"/>
      <c r="DM33" s="33">
        <f t="shared" si="96"/>
        <v>19089.193499999998</v>
      </c>
      <c r="DN33" s="33">
        <f t="shared" si="58"/>
        <v>752.5187631</v>
      </c>
      <c r="DO33" s="33">
        <f t="shared" si="59"/>
        <v>19841.7122631</v>
      </c>
      <c r="DP33" s="51">
        <f t="shared" si="60"/>
        <v>233.52025319999998</v>
      </c>
      <c r="DQ33" s="33"/>
      <c r="DR33" s="33">
        <f t="shared" si="97"/>
        <v>45905.661</v>
      </c>
      <c r="DS33" s="33">
        <f t="shared" si="61"/>
        <v>1809.6558786</v>
      </c>
      <c r="DT33" s="51">
        <f t="shared" si="62"/>
        <v>47715.3168786</v>
      </c>
      <c r="DU33" s="51">
        <f t="shared" si="63"/>
        <v>561.5691192</v>
      </c>
      <c r="DV33" s="33"/>
      <c r="DW33" s="33">
        <f t="shared" si="98"/>
        <v>13092.606</v>
      </c>
      <c r="DX33" s="33">
        <f t="shared" si="64"/>
        <v>516.1261356</v>
      </c>
      <c r="DY33" s="51">
        <f t="shared" si="65"/>
        <v>13608.7321356</v>
      </c>
      <c r="DZ33" s="51">
        <f t="shared" si="66"/>
        <v>160.1633232</v>
      </c>
    </row>
    <row r="34" spans="1:130" ht="12.75">
      <c r="A34" s="78">
        <v>47027</v>
      </c>
      <c r="C34" s="41"/>
      <c r="D34" s="41"/>
      <c r="E34" s="41"/>
      <c r="F34" s="41">
        <v>137573</v>
      </c>
      <c r="G34" s="35">
        <f t="shared" si="67"/>
        <v>0</v>
      </c>
      <c r="H34" s="35">
        <f t="shared" si="68"/>
        <v>137573</v>
      </c>
      <c r="I34" s="35">
        <f t="shared" si="0"/>
        <v>137573</v>
      </c>
      <c r="J34" s="35">
        <v>83124</v>
      </c>
      <c r="L34" s="71"/>
      <c r="M34" s="71">
        <f t="shared" si="1"/>
        <v>44237.0796555</v>
      </c>
      <c r="N34" s="71">
        <f t="shared" si="2"/>
        <v>44237.0796555</v>
      </c>
      <c r="O34" s="71">
        <f t="shared" si="3"/>
        <v>26728.813133999996</v>
      </c>
      <c r="Q34" s="33"/>
      <c r="R34" s="33">
        <f t="shared" si="4"/>
        <v>6079.488443</v>
      </c>
      <c r="S34" s="33">
        <f t="shared" si="5"/>
        <v>6079.488443</v>
      </c>
      <c r="T34" s="51">
        <f t="shared" si="6"/>
        <v>3673.332684</v>
      </c>
      <c r="V34" s="33"/>
      <c r="W34" s="51">
        <f t="shared" si="7"/>
        <v>6203.166569999999</v>
      </c>
      <c r="X34" s="51">
        <f t="shared" si="8"/>
        <v>6203.166569999999</v>
      </c>
      <c r="Y34" s="51">
        <f t="shared" si="9"/>
        <v>3748.0611599999997</v>
      </c>
      <c r="AA34" s="33"/>
      <c r="AB34" s="51">
        <f t="shared" si="10"/>
        <v>207.4188121</v>
      </c>
      <c r="AC34" s="51">
        <f t="shared" si="11"/>
        <v>207.4188121</v>
      </c>
      <c r="AD34" s="51">
        <f t="shared" si="12"/>
        <v>125.32605480000001</v>
      </c>
      <c r="AF34" s="33"/>
      <c r="AG34" s="33">
        <f t="shared" si="74"/>
        <v>77.04087999999999</v>
      </c>
      <c r="AH34" s="33">
        <f t="shared" si="75"/>
        <v>77.04087999999999</v>
      </c>
      <c r="AI34" s="51">
        <f t="shared" si="76"/>
        <v>46.54944</v>
      </c>
      <c r="AL34" s="33">
        <f t="shared" si="13"/>
        <v>1167.5958082999998</v>
      </c>
      <c r="AM34" s="33">
        <f t="shared" si="14"/>
        <v>1167.5958082999998</v>
      </c>
      <c r="AN34" s="51">
        <f t="shared" si="15"/>
        <v>705.4817003999999</v>
      </c>
      <c r="AP34" s="51"/>
      <c r="AQ34" s="33">
        <f t="shared" si="16"/>
        <v>296.2634555</v>
      </c>
      <c r="AR34" s="51">
        <f t="shared" si="17"/>
        <v>296.2634555</v>
      </c>
      <c r="AS34" s="51">
        <f t="shared" si="18"/>
        <v>179.007534</v>
      </c>
      <c r="AU34" s="51"/>
      <c r="AV34" s="33">
        <f t="shared" si="19"/>
        <v>317.0782504</v>
      </c>
      <c r="AW34" s="51">
        <f t="shared" si="20"/>
        <v>317.0782504</v>
      </c>
      <c r="AX34" s="51">
        <f t="shared" si="21"/>
        <v>191.5841952</v>
      </c>
      <c r="AZ34" s="33"/>
      <c r="BA34" s="33">
        <f t="shared" si="22"/>
        <v>321.3842853</v>
      </c>
      <c r="BB34" s="33">
        <f t="shared" si="23"/>
        <v>321.3842853</v>
      </c>
      <c r="BC34" s="51">
        <f t="shared" si="24"/>
        <v>194.1859764</v>
      </c>
      <c r="BE34" s="33"/>
      <c r="BF34" s="33">
        <f t="shared" si="25"/>
        <v>63.875143900000005</v>
      </c>
      <c r="BG34" s="51">
        <f t="shared" si="26"/>
        <v>63.875143900000005</v>
      </c>
      <c r="BH34" s="51">
        <f t="shared" si="27"/>
        <v>38.5944732</v>
      </c>
      <c r="BK34" s="33">
        <f t="shared" si="28"/>
        <v>518.3888213</v>
      </c>
      <c r="BL34" s="51">
        <f t="shared" si="29"/>
        <v>518.3888213</v>
      </c>
      <c r="BM34" s="51">
        <f t="shared" si="30"/>
        <v>313.2195444</v>
      </c>
      <c r="BP34" s="33">
        <f t="shared" si="84"/>
        <v>15.79338040000001</v>
      </c>
      <c r="BQ34" s="51">
        <f t="shared" si="85"/>
        <v>15.79338040000001</v>
      </c>
      <c r="BR34" s="33">
        <f t="shared" si="86"/>
        <v>9.542635200000007</v>
      </c>
      <c r="BT34" s="51"/>
      <c r="BU34" s="51">
        <f t="shared" si="31"/>
        <v>454.0734438</v>
      </c>
      <c r="BV34" s="33">
        <f t="shared" si="32"/>
        <v>454.0734438</v>
      </c>
      <c r="BW34" s="51">
        <f t="shared" si="33"/>
        <v>274.3590744</v>
      </c>
      <c r="BY34" s="51"/>
      <c r="BZ34" s="51">
        <f t="shared" si="34"/>
        <v>285.8354221</v>
      </c>
      <c r="CA34" s="33">
        <f t="shared" si="35"/>
        <v>285.8354221</v>
      </c>
      <c r="CB34" s="51">
        <f t="shared" si="36"/>
        <v>172.7067348</v>
      </c>
      <c r="CE34" s="33">
        <f t="shared" si="37"/>
        <v>10947.5365626</v>
      </c>
      <c r="CF34" s="51">
        <f t="shared" si="38"/>
        <v>10947.5365626</v>
      </c>
      <c r="CG34" s="51">
        <f t="shared" si="39"/>
        <v>6614.6920488</v>
      </c>
      <c r="CJ34" s="33">
        <f t="shared" si="40"/>
        <v>124.9437986</v>
      </c>
      <c r="CK34" s="33">
        <f t="shared" si="41"/>
        <v>124.9437986</v>
      </c>
      <c r="CL34" s="51">
        <f t="shared" si="42"/>
        <v>75.4932168</v>
      </c>
      <c r="CO34" s="33">
        <f t="shared" si="43"/>
        <v>15262.8438828</v>
      </c>
      <c r="CP34" s="51">
        <f t="shared" si="44"/>
        <v>15262.8438828</v>
      </c>
      <c r="CQ34" s="51">
        <f t="shared" si="45"/>
        <v>9222.0758064</v>
      </c>
      <c r="CT34" s="33">
        <f t="shared" si="46"/>
        <v>147.20311</v>
      </c>
      <c r="CU34" s="51">
        <f t="shared" si="47"/>
        <v>147.20311</v>
      </c>
      <c r="CV34" s="51">
        <f t="shared" si="48"/>
        <v>88.94268</v>
      </c>
      <c r="CY34" s="33">
        <f t="shared" si="49"/>
        <v>101.8177773</v>
      </c>
      <c r="CZ34" s="51">
        <f t="shared" si="50"/>
        <v>101.8177773</v>
      </c>
      <c r="DA34" s="51">
        <f t="shared" si="51"/>
        <v>61.520072400000004</v>
      </c>
      <c r="DD34" s="51">
        <f t="shared" si="52"/>
        <v>62.788317199999995</v>
      </c>
      <c r="DE34" s="51">
        <f t="shared" si="53"/>
        <v>62.788317199999995</v>
      </c>
      <c r="DF34" s="51">
        <f t="shared" si="54"/>
        <v>37.9377936</v>
      </c>
      <c r="DI34" s="33">
        <f t="shared" si="55"/>
        <v>1.5683322</v>
      </c>
      <c r="DJ34" s="51">
        <f t="shared" si="56"/>
        <v>1.5683322</v>
      </c>
      <c r="DK34" s="51">
        <f t="shared" si="57"/>
        <v>0.9476136</v>
      </c>
      <c r="DN34" s="33">
        <f t="shared" si="58"/>
        <v>386.4838289</v>
      </c>
      <c r="DO34" s="33">
        <f t="shared" si="59"/>
        <v>386.4838289</v>
      </c>
      <c r="DP34" s="51">
        <f t="shared" si="60"/>
        <v>233.52025319999998</v>
      </c>
      <c r="DS34" s="33">
        <f t="shared" si="61"/>
        <v>929.4156734000001</v>
      </c>
      <c r="DT34" s="51">
        <f t="shared" si="62"/>
        <v>929.4156734000001</v>
      </c>
      <c r="DU34" s="51">
        <f t="shared" si="63"/>
        <v>561.5691192</v>
      </c>
      <c r="DX34" s="33">
        <f t="shared" si="64"/>
        <v>265.0756564</v>
      </c>
      <c r="DY34" s="51">
        <f t="shared" si="65"/>
        <v>265.0756564</v>
      </c>
      <c r="DZ34" s="51">
        <f t="shared" si="66"/>
        <v>160.1633232</v>
      </c>
    </row>
    <row r="35" spans="1:130" ht="12.75">
      <c r="A35" s="78">
        <v>47209</v>
      </c>
      <c r="C35" s="41"/>
      <c r="D35" s="41"/>
      <c r="E35" s="41">
        <v>7055000</v>
      </c>
      <c r="F35" s="41">
        <v>137573</v>
      </c>
      <c r="G35" s="35">
        <f t="shared" si="67"/>
        <v>7055000</v>
      </c>
      <c r="H35" s="35">
        <f t="shared" si="68"/>
        <v>137573</v>
      </c>
      <c r="I35" s="35">
        <f t="shared" si="0"/>
        <v>7192573</v>
      </c>
      <c r="J35" s="35">
        <v>83124</v>
      </c>
      <c r="L35" s="71">
        <f t="shared" si="69"/>
        <v>2268559.9425</v>
      </c>
      <c r="M35" s="71">
        <f t="shared" si="1"/>
        <v>44237.0796555</v>
      </c>
      <c r="N35" s="71">
        <f t="shared" si="2"/>
        <v>2312797.0221555</v>
      </c>
      <c r="O35" s="71">
        <f t="shared" si="3"/>
        <v>26728.813133999996</v>
      </c>
      <c r="Q35" s="33">
        <f t="shared" si="70"/>
        <v>311767.505</v>
      </c>
      <c r="R35" s="33">
        <f t="shared" si="4"/>
        <v>6079.488443</v>
      </c>
      <c r="S35" s="33">
        <f t="shared" si="5"/>
        <v>317846.993443</v>
      </c>
      <c r="T35" s="51">
        <f t="shared" si="6"/>
        <v>3673.332684</v>
      </c>
      <c r="V35" s="33">
        <f t="shared" si="71"/>
        <v>318109.95</v>
      </c>
      <c r="W35" s="51">
        <f t="shared" si="7"/>
        <v>6203.166569999999</v>
      </c>
      <c r="X35" s="51">
        <f t="shared" si="8"/>
        <v>324313.11657</v>
      </c>
      <c r="Y35" s="51">
        <f t="shared" si="9"/>
        <v>3748.0611599999997</v>
      </c>
      <c r="AA35" s="33">
        <f t="shared" si="72"/>
        <v>10636.8235</v>
      </c>
      <c r="AB35" s="51">
        <f t="shared" si="10"/>
        <v>207.4188121</v>
      </c>
      <c r="AC35" s="51">
        <f t="shared" si="11"/>
        <v>10844.242312100001</v>
      </c>
      <c r="AD35" s="51">
        <f t="shared" si="12"/>
        <v>125.32605480000001</v>
      </c>
      <c r="AF35" s="33">
        <f t="shared" si="73"/>
        <v>3950.7999999999997</v>
      </c>
      <c r="AG35" s="33">
        <f t="shared" si="74"/>
        <v>77.04087999999999</v>
      </c>
      <c r="AH35" s="33">
        <f t="shared" si="75"/>
        <v>4027.8408799999997</v>
      </c>
      <c r="AI35" s="51">
        <f t="shared" si="76"/>
        <v>46.54944</v>
      </c>
      <c r="AJ35" s="33"/>
      <c r="AK35" s="33">
        <f t="shared" si="77"/>
        <v>59876.49049999999</v>
      </c>
      <c r="AL35" s="33">
        <f t="shared" si="13"/>
        <v>1167.5958082999998</v>
      </c>
      <c r="AM35" s="33">
        <f t="shared" si="14"/>
        <v>61044.08630829999</v>
      </c>
      <c r="AN35" s="51">
        <f t="shared" si="15"/>
        <v>705.4817003999999</v>
      </c>
      <c r="AP35" s="51">
        <f t="shared" si="78"/>
        <v>15192.942500000001</v>
      </c>
      <c r="AQ35" s="33">
        <f t="shared" si="16"/>
        <v>296.2634555</v>
      </c>
      <c r="AR35" s="51">
        <f t="shared" si="17"/>
        <v>15489.205955500001</v>
      </c>
      <c r="AS35" s="51">
        <f t="shared" si="18"/>
        <v>179.007534</v>
      </c>
      <c r="AU35" s="51">
        <f t="shared" si="79"/>
        <v>16260.364000000001</v>
      </c>
      <c r="AV35" s="33">
        <f t="shared" si="19"/>
        <v>317.0782504</v>
      </c>
      <c r="AW35" s="51">
        <f t="shared" si="20"/>
        <v>16577.442250400003</v>
      </c>
      <c r="AX35" s="51">
        <f t="shared" si="21"/>
        <v>191.5841952</v>
      </c>
      <c r="AZ35" s="33">
        <f t="shared" si="80"/>
        <v>16481.1855</v>
      </c>
      <c r="BA35" s="33">
        <f t="shared" si="22"/>
        <v>321.3842853</v>
      </c>
      <c r="BB35" s="33">
        <f t="shared" si="23"/>
        <v>16802.5697853</v>
      </c>
      <c r="BC35" s="51">
        <f t="shared" si="24"/>
        <v>194.1859764</v>
      </c>
      <c r="BE35" s="33">
        <f t="shared" si="81"/>
        <v>3275.6365</v>
      </c>
      <c r="BF35" s="33">
        <f t="shared" si="25"/>
        <v>63.875143900000005</v>
      </c>
      <c r="BG35" s="51">
        <f t="shared" si="26"/>
        <v>3339.5116439</v>
      </c>
      <c r="BH35" s="51">
        <f t="shared" si="27"/>
        <v>38.5944732</v>
      </c>
      <c r="BI35" s="33"/>
      <c r="BJ35" s="33">
        <f t="shared" si="82"/>
        <v>26583.945499999998</v>
      </c>
      <c r="BK35" s="33">
        <f t="shared" si="28"/>
        <v>518.3888213</v>
      </c>
      <c r="BL35" s="51">
        <f t="shared" si="29"/>
        <v>27102.334321299997</v>
      </c>
      <c r="BM35" s="51">
        <f t="shared" si="30"/>
        <v>313.2195444</v>
      </c>
      <c r="BN35" s="33"/>
      <c r="BO35" s="33">
        <f t="shared" si="83"/>
        <v>809.9140000000006</v>
      </c>
      <c r="BP35" s="33">
        <f t="shared" si="84"/>
        <v>15.79338040000001</v>
      </c>
      <c r="BQ35" s="51">
        <f t="shared" si="85"/>
        <v>825.7073804000006</v>
      </c>
      <c r="BR35" s="33">
        <f t="shared" si="86"/>
        <v>9.542635200000007</v>
      </c>
      <c r="BS35" s="33"/>
      <c r="BT35" s="51">
        <f t="shared" si="87"/>
        <v>23285.733</v>
      </c>
      <c r="BU35" s="51">
        <f t="shared" si="31"/>
        <v>454.0734438</v>
      </c>
      <c r="BV35" s="33">
        <f t="shared" si="32"/>
        <v>23739.8064438</v>
      </c>
      <c r="BW35" s="51">
        <f t="shared" si="33"/>
        <v>274.3590744</v>
      </c>
      <c r="BX35" s="33"/>
      <c r="BY35" s="51">
        <f t="shared" si="88"/>
        <v>14658.1735</v>
      </c>
      <c r="BZ35" s="51">
        <f t="shared" si="34"/>
        <v>285.8354221</v>
      </c>
      <c r="CA35" s="33">
        <f t="shared" si="35"/>
        <v>14944.008922100002</v>
      </c>
      <c r="CB35" s="51">
        <f t="shared" si="36"/>
        <v>172.7067348</v>
      </c>
      <c r="CC35" s="33"/>
      <c r="CD35" s="33">
        <f t="shared" si="89"/>
        <v>561410.091</v>
      </c>
      <c r="CE35" s="33">
        <f t="shared" si="37"/>
        <v>10947.5365626</v>
      </c>
      <c r="CF35" s="51">
        <f t="shared" si="38"/>
        <v>572357.6275626001</v>
      </c>
      <c r="CG35" s="51">
        <f t="shared" si="39"/>
        <v>6614.6920488</v>
      </c>
      <c r="CH35" s="33"/>
      <c r="CI35" s="33">
        <f t="shared" si="90"/>
        <v>6407.351</v>
      </c>
      <c r="CJ35" s="33">
        <f t="shared" si="40"/>
        <v>124.9437986</v>
      </c>
      <c r="CK35" s="33">
        <f t="shared" si="41"/>
        <v>6532.2947986</v>
      </c>
      <c r="CL35" s="51">
        <f t="shared" si="42"/>
        <v>75.4932168</v>
      </c>
      <c r="CM35" s="33"/>
      <c r="CN35" s="33">
        <f t="shared" si="91"/>
        <v>782707.098</v>
      </c>
      <c r="CO35" s="33">
        <f t="shared" si="43"/>
        <v>15262.8438828</v>
      </c>
      <c r="CP35" s="51">
        <f t="shared" si="44"/>
        <v>797969.9418828</v>
      </c>
      <c r="CQ35" s="51">
        <f t="shared" si="45"/>
        <v>9222.0758064</v>
      </c>
      <c r="CR35" s="33"/>
      <c r="CS35" s="33">
        <f t="shared" si="92"/>
        <v>7548.85</v>
      </c>
      <c r="CT35" s="33">
        <f t="shared" si="46"/>
        <v>147.20311</v>
      </c>
      <c r="CU35" s="51">
        <f t="shared" si="47"/>
        <v>7696.053110000001</v>
      </c>
      <c r="CV35" s="51">
        <f t="shared" si="48"/>
        <v>88.94268</v>
      </c>
      <c r="CW35" s="33"/>
      <c r="CX35" s="33">
        <f t="shared" si="93"/>
        <v>5221.405500000001</v>
      </c>
      <c r="CY35" s="33">
        <f t="shared" si="49"/>
        <v>101.8177773</v>
      </c>
      <c r="CZ35" s="51">
        <f t="shared" si="50"/>
        <v>5323.2232773000005</v>
      </c>
      <c r="DA35" s="51">
        <f t="shared" si="51"/>
        <v>61.520072400000004</v>
      </c>
      <c r="DB35" s="33"/>
      <c r="DC35" s="33">
        <f t="shared" si="94"/>
        <v>3219.902</v>
      </c>
      <c r="DD35" s="51">
        <f t="shared" si="52"/>
        <v>62.788317199999995</v>
      </c>
      <c r="DE35" s="51">
        <f t="shared" si="53"/>
        <v>3282.6903172</v>
      </c>
      <c r="DF35" s="51">
        <f t="shared" si="54"/>
        <v>37.9377936</v>
      </c>
      <c r="DG35" s="33"/>
      <c r="DH35" s="33">
        <f t="shared" si="95"/>
        <v>80.42699999999999</v>
      </c>
      <c r="DI35" s="33">
        <f t="shared" si="55"/>
        <v>1.5683322</v>
      </c>
      <c r="DJ35" s="51">
        <f t="shared" si="56"/>
        <v>81.9953322</v>
      </c>
      <c r="DK35" s="51">
        <f t="shared" si="57"/>
        <v>0.9476136</v>
      </c>
      <c r="DL35" s="33"/>
      <c r="DM35" s="33">
        <f t="shared" si="96"/>
        <v>19819.6115</v>
      </c>
      <c r="DN35" s="33">
        <f t="shared" si="58"/>
        <v>386.4838289</v>
      </c>
      <c r="DO35" s="33">
        <f t="shared" si="59"/>
        <v>20206.0953289</v>
      </c>
      <c r="DP35" s="51">
        <f t="shared" si="60"/>
        <v>233.52025319999998</v>
      </c>
      <c r="DQ35" s="33"/>
      <c r="DR35" s="33">
        <f t="shared" si="97"/>
        <v>47662.169</v>
      </c>
      <c r="DS35" s="33">
        <f t="shared" si="61"/>
        <v>929.4156734000001</v>
      </c>
      <c r="DT35" s="51">
        <f t="shared" si="62"/>
        <v>48591.5846734</v>
      </c>
      <c r="DU35" s="51">
        <f t="shared" si="63"/>
        <v>561.5691192</v>
      </c>
      <c r="DV35" s="33"/>
      <c r="DW35" s="33">
        <f t="shared" si="98"/>
        <v>13593.574</v>
      </c>
      <c r="DX35" s="33">
        <f t="shared" si="64"/>
        <v>265.0756564</v>
      </c>
      <c r="DY35" s="51">
        <f t="shared" si="65"/>
        <v>13858.6496564</v>
      </c>
      <c r="DZ35" s="51">
        <f t="shared" si="66"/>
        <v>160.1633232</v>
      </c>
    </row>
    <row r="36" spans="1:59" ht="12.75">
      <c r="A36" s="31"/>
      <c r="C36" s="41"/>
      <c r="D36" s="41"/>
      <c r="E36" s="41"/>
      <c r="F36" s="41"/>
      <c r="G36" s="41"/>
      <c r="H36" s="41"/>
      <c r="I36" s="41"/>
      <c r="J36" s="41"/>
      <c r="BG36" s="33"/>
    </row>
    <row r="37" spans="1:130" ht="13.5" thickBot="1">
      <c r="A37" s="31" t="s">
        <v>4</v>
      </c>
      <c r="C37" s="50">
        <f aca="true" t="shared" si="99" ref="C37:J37">SUM(C8:C36)</f>
        <v>22845000</v>
      </c>
      <c r="D37" s="50">
        <f t="shared" si="99"/>
        <v>3713150</v>
      </c>
      <c r="E37" s="50">
        <f t="shared" si="99"/>
        <v>44290000</v>
      </c>
      <c r="F37" s="50">
        <f t="shared" si="99"/>
        <v>18744380</v>
      </c>
      <c r="G37" s="50">
        <f t="shared" si="99"/>
        <v>67135000</v>
      </c>
      <c r="H37" s="50">
        <f t="shared" si="99"/>
        <v>22457530</v>
      </c>
      <c r="I37" s="50">
        <f t="shared" si="99"/>
        <v>89592530</v>
      </c>
      <c r="J37" s="50">
        <f t="shared" si="99"/>
        <v>2340669</v>
      </c>
      <c r="L37" s="50">
        <f>SUM(L8:L36)</f>
        <v>21587494.222499993</v>
      </c>
      <c r="M37" s="50">
        <f>SUM(M8:M36)</f>
        <v>7221297.372855002</v>
      </c>
      <c r="N37" s="50">
        <f>SUM(N8:N36)</f>
        <v>28808791.595355004</v>
      </c>
      <c r="O37" s="50">
        <f>SUM(O8:O36)</f>
        <v>752650.3092914994</v>
      </c>
      <c r="P37" s="33"/>
      <c r="Q37" s="50">
        <f>SUM(Q8:Q36)</f>
        <v>2966762.785</v>
      </c>
      <c r="R37" s="50">
        <f>SUM(R8:R36)</f>
        <v>992420.70823</v>
      </c>
      <c r="S37" s="50">
        <f>SUM(S8:S36)</f>
        <v>3959183.493229999</v>
      </c>
      <c r="T37" s="50">
        <f>SUM(T8:T36)</f>
        <v>103436.50377899995</v>
      </c>
      <c r="V37" s="50">
        <f>SUM(V8:V36)</f>
        <v>3027117.15</v>
      </c>
      <c r="W37" s="50">
        <f>SUM(W8:W36)</f>
        <v>1012610.0276999997</v>
      </c>
      <c r="X37" s="50">
        <f>SUM(X8:X36)</f>
        <v>4039727.1777000003</v>
      </c>
      <c r="Y37" s="50">
        <f>SUM(Y8:Y36)</f>
        <v>105540.76520999995</v>
      </c>
      <c r="AA37" s="50">
        <f>SUM(AA8:AA36)</f>
        <v>101219.43950000001</v>
      </c>
      <c r="AB37" s="50">
        <f>SUM(AB8:AB36)</f>
        <v>33859.217980999994</v>
      </c>
      <c r="AC37" s="50">
        <f>SUM(AC8:AC36)</f>
        <v>135078.65748100003</v>
      </c>
      <c r="AD37" s="50">
        <f>SUM(AD8:AD36)</f>
        <v>3529.026651299999</v>
      </c>
      <c r="AF37" s="50">
        <f>SUM(AF8:AF36)</f>
        <v>37595.6</v>
      </c>
      <c r="AG37" s="50">
        <f>SUM(AG8:AG36)</f>
        <v>12576.216800000002</v>
      </c>
      <c r="AH37" s="50">
        <f>SUM(AH8:AH36)</f>
        <v>50171.8168</v>
      </c>
      <c r="AI37" s="50">
        <f>SUM(AI8:AI36)</f>
        <v>1310.77464</v>
      </c>
      <c r="AJ37" s="50"/>
      <c r="AK37" s="50">
        <f>SUM(AK8:AK36)</f>
        <v>569781.4585</v>
      </c>
      <c r="AL37" s="50">
        <f>SUM(AL8:AL36)</f>
        <v>190599.30286299993</v>
      </c>
      <c r="AM37" s="50">
        <f>SUM(AM8:AM36)</f>
        <v>760380.7613630001</v>
      </c>
      <c r="AN37" s="50">
        <f>SUM(AN8:AN36)</f>
        <v>19865.491869899994</v>
      </c>
      <c r="AP37" s="50">
        <f>SUM(AP8:AP36)</f>
        <v>144575.2225</v>
      </c>
      <c r="AQ37" s="50">
        <f>SUM(AQ8:AQ36)</f>
        <v>48362.29085500001</v>
      </c>
      <c r="AR37" s="50">
        <f>SUM(AR8:AR36)</f>
        <v>192937.513355</v>
      </c>
      <c r="AS37" s="50">
        <f>SUM(AS8:AS36)</f>
        <v>5040.6306915000005</v>
      </c>
      <c r="AU37" s="50">
        <f>SUM(AU8:AU36)</f>
        <v>154732.748</v>
      </c>
      <c r="AV37" s="50">
        <f>SUM(AV8:AV36)</f>
        <v>51760.115143999996</v>
      </c>
      <c r="AW37" s="50">
        <f>SUM(AW8:AW36)</f>
        <v>206492.86314399997</v>
      </c>
      <c r="AX37" s="50">
        <f>SUM(AX8:AX36)</f>
        <v>5394.773911200002</v>
      </c>
      <c r="AZ37" s="50">
        <f>SUM(AZ8:AZ36)</f>
        <v>156834.07349999997</v>
      </c>
      <c r="BA37" s="50">
        <f>SUM(BA8:BA36)</f>
        <v>52463.03583299998</v>
      </c>
      <c r="BB37" s="50">
        <f>SUM(BB8:BB36)</f>
        <v>209297.109333</v>
      </c>
      <c r="BC37" s="50">
        <f>SUM(BC8:BC36)</f>
        <v>5468.036850900001</v>
      </c>
      <c r="BE37" s="50">
        <f>SUM(BE8:BE36)</f>
        <v>31170.780499999997</v>
      </c>
      <c r="BF37" s="50">
        <f>SUM(BF8:BF36)</f>
        <v>10427.031179000005</v>
      </c>
      <c r="BG37" s="50">
        <f>SUM(BG8:BG36)</f>
        <v>41597.81167899999</v>
      </c>
      <c r="BH37" s="50">
        <f>SUM(BH8:BH36)</f>
        <v>1086.7726167000005</v>
      </c>
      <c r="BI37" s="33"/>
      <c r="BJ37" s="50">
        <f>SUM(BJ8:BJ36)</f>
        <v>252971.3935</v>
      </c>
      <c r="BK37" s="50">
        <f>SUM(BK8:BK36)</f>
        <v>84622.21879300002</v>
      </c>
      <c r="BL37" s="50">
        <f>SUM(BL8:BL36)</f>
        <v>337593.6122929999</v>
      </c>
      <c r="BM37" s="50">
        <f>SUM(BM8:BM36)</f>
        <v>8819.8748589</v>
      </c>
      <c r="BN37" s="33"/>
      <c r="BO37" s="50">
        <f>SUM(BO8:BO36)</f>
        <v>7707.098000000005</v>
      </c>
      <c r="BP37" s="50">
        <f>SUM(BP8:BP36)</f>
        <v>2578.124444000002</v>
      </c>
      <c r="BQ37" s="50">
        <f>SUM(BQ8:BQ36)</f>
        <v>10285.22244400001</v>
      </c>
      <c r="BR37" s="50">
        <f>SUM(BR8:BR36)</f>
        <v>268.7088012000002</v>
      </c>
      <c r="BS37" s="33"/>
      <c r="BT37" s="50">
        <f>SUM(BT8:BT36)</f>
        <v>221585.781</v>
      </c>
      <c r="BU37" s="50">
        <f>SUM(BU8:BU36)</f>
        <v>74123.32351800002</v>
      </c>
      <c r="BV37" s="50">
        <f>SUM(BV8:BV36)</f>
        <v>295709.104518</v>
      </c>
      <c r="BW37" s="50">
        <f>SUM(BW8:BW36)</f>
        <v>7725.612101400003</v>
      </c>
      <c r="BX37" s="33"/>
      <c r="BY37" s="50">
        <f>SUM(BY8:BY36)</f>
        <v>139486.3895</v>
      </c>
      <c r="BZ37" s="50">
        <f>SUM(BZ8:BZ36)</f>
        <v>46660.010081</v>
      </c>
      <c r="CA37" s="50">
        <f>SUM(CA8:CA36)</f>
        <v>186146.399581</v>
      </c>
      <c r="CB37" s="50">
        <f>SUM(CB8:CB36)</f>
        <v>4863.207981300001</v>
      </c>
      <c r="CC37" s="33"/>
      <c r="CD37" s="50">
        <f>SUM(CD8:CD36)</f>
        <v>5342348.187000001</v>
      </c>
      <c r="CE37" s="50">
        <f>SUM(CE8:CE36)</f>
        <v>1787084.898786</v>
      </c>
      <c r="CF37" s="50">
        <f>SUM(CF8:CF36)</f>
        <v>7129433.085785999</v>
      </c>
      <c r="CG37" s="50">
        <f>SUM(CG8:CG36)</f>
        <v>186261.54447780005</v>
      </c>
      <c r="CH37" s="33"/>
      <c r="CI37" s="50">
        <f>SUM(CI8:CI36)</f>
        <v>60972.007</v>
      </c>
      <c r="CJ37" s="50">
        <f>SUM(CJ8:CJ36)</f>
        <v>20395.928746</v>
      </c>
      <c r="CK37" s="50">
        <f>SUM(CK8:CK36)</f>
        <v>81367.935746</v>
      </c>
      <c r="CL37" s="50">
        <f>SUM(CL8:CL36)</f>
        <v>2125.7955858000005</v>
      </c>
      <c r="CM37" s="33"/>
      <c r="CN37" s="50">
        <f>SUM(CN8:CN36)</f>
        <v>7448198.586</v>
      </c>
      <c r="CO37" s="50">
        <f>SUM(CO8:CO36)</f>
        <v>2491519.225308001</v>
      </c>
      <c r="CP37" s="50">
        <f>SUM(CP8:CP36)</f>
        <v>9939717.811308</v>
      </c>
      <c r="CQ37" s="50">
        <f>SUM(CQ8:CQ36)</f>
        <v>259682.24526840012</v>
      </c>
      <c r="CR37" s="33"/>
      <c r="CS37" s="50">
        <f>SUM(CS8:CS36)</f>
        <v>71834.45</v>
      </c>
      <c r="CT37" s="50">
        <f>SUM(CT8:CT36)</f>
        <v>24029.5571</v>
      </c>
      <c r="CU37" s="50">
        <f>SUM(CU8:CU36)</f>
        <v>95864.00709999999</v>
      </c>
      <c r="CV37" s="50">
        <f>SUM(CV8:CV36)</f>
        <v>2504.5158300000016</v>
      </c>
      <c r="CW37" s="33"/>
      <c r="CX37" s="50">
        <f>SUM(CX8:CX36)</f>
        <v>49686.61350000001</v>
      </c>
      <c r="CY37" s="50">
        <f>SUM(CY8:CY36)</f>
        <v>16620.817952999998</v>
      </c>
      <c r="CZ37" s="50">
        <f>SUM(CZ8:CZ36)</f>
        <v>66307.43145300001</v>
      </c>
      <c r="DA37" s="50">
        <f>SUM(DA8:DA36)</f>
        <v>1732.3291269000015</v>
      </c>
      <c r="DB37" s="33"/>
      <c r="DC37" s="50">
        <f>SUM(DC8:DC36)</f>
        <v>30640.413999999997</v>
      </c>
      <c r="DD37" s="50">
        <f>SUM(DD8:DD36)</f>
        <v>10249.616692</v>
      </c>
      <c r="DE37" s="50">
        <f>SUM(DE8:DE36)</f>
        <v>40890.030691999986</v>
      </c>
      <c r="DF37" s="50">
        <f>SUM(DF8:DF36)</f>
        <v>1068.2813315999997</v>
      </c>
      <c r="DG37" s="33"/>
      <c r="DH37" s="50">
        <f>SUM(DH8:DH36)</f>
        <v>765.3389999999998</v>
      </c>
      <c r="DI37" s="50">
        <f>SUM(DI8:DI36)</f>
        <v>256.0158419999999</v>
      </c>
      <c r="DJ37" s="50">
        <f>SUM(DJ8:DJ36)</f>
        <v>1021.3548419999998</v>
      </c>
      <c r="DK37" s="50">
        <f>SUM(DK8:DK36)</f>
        <v>26.683626600000007</v>
      </c>
      <c r="DL37" s="33"/>
      <c r="DM37" s="50">
        <f>SUM(DM8:DM36)</f>
        <v>188602.35549999998</v>
      </c>
      <c r="DN37" s="50">
        <f>SUM(DN8:DN36)</f>
        <v>63089.939029</v>
      </c>
      <c r="DO37" s="50">
        <f>SUM(DO8:DO36)</f>
        <v>251692.29452900004</v>
      </c>
      <c r="DP37" s="50">
        <f>SUM(DP8:DP36)</f>
        <v>6575.641421700002</v>
      </c>
      <c r="DQ37" s="33"/>
      <c r="DR37" s="50">
        <f>SUM(DR8:DR36)</f>
        <v>453550.6330000001</v>
      </c>
      <c r="DS37" s="50">
        <f>SUM(DS8:DS36)</f>
        <v>151718.58117400005</v>
      </c>
      <c r="DT37" s="50">
        <f>SUM(DT8:DT36)</f>
        <v>605269.2141740002</v>
      </c>
      <c r="DU37" s="50">
        <f>SUM(DU8:DU36)</f>
        <v>15813.091630199995</v>
      </c>
      <c r="DV37" s="33"/>
      <c r="DW37" s="50">
        <f>SUM(DW8:DW36)</f>
        <v>129355.718</v>
      </c>
      <c r="DX37" s="50">
        <f>SUM(DX8:DX36)</f>
        <v>43271.16880399999</v>
      </c>
      <c r="DY37" s="50">
        <f>SUM(DY8:DY36)</f>
        <v>172626.88680399998</v>
      </c>
      <c r="DZ37" s="50">
        <f>SUM(DZ8:DZ36)</f>
        <v>4510.0010292</v>
      </c>
    </row>
    <row r="38" ht="13.5" thickTop="1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K59" s="33"/>
    </row>
    <row r="60" ht="12.75">
      <c r="K60" s="33"/>
    </row>
    <row r="61" ht="12.75"/>
    <row r="62" ht="12.75"/>
    <row r="63" ht="12.75"/>
    <row r="64" ht="12.75"/>
    <row r="65" spans="1:131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</row>
    <row r="66" spans="1:131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</row>
    <row r="67" spans="1:131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</row>
    <row r="68" spans="1:131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</row>
    <row r="69" spans="1:131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</row>
    <row r="70" spans="1:131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</row>
    <row r="71" spans="1:131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</row>
    <row r="72" spans="1:131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</row>
    <row r="73" spans="1:131" ht="12.75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</row>
    <row r="74" spans="1:131" ht="12.75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</row>
    <row r="75" spans="1:131" ht="12.75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</row>
    <row r="76" spans="1:131" ht="12.75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</row>
    <row r="77" spans="1:131" ht="12.75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</row>
  </sheetData>
  <sheetProtection/>
  <printOptions/>
  <pageMargins left="0.5" right="0" top="0" bottom="0.25" header="0.25" footer="0.25"/>
  <pageSetup horizontalDpi="600" verticalDpi="600" orientation="landscape" scale="87"/>
  <headerFooter alignWithMargins="0">
    <oddFooter>&amp;CPage &amp;P of &amp;N&amp;R&amp;D</oddFooter>
  </headerFooter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S64"/>
  <sheetViews>
    <sheetView tabSelected="1" zoomScale="142" zoomScaleNormal="142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1" sqref="D11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5" customWidth="1"/>
    <col min="7" max="7" width="14.421875" style="35" customWidth="1"/>
    <col min="8" max="8" width="3.7109375" style="33" customWidth="1"/>
    <col min="9" max="13" width="13.7109375" style="33" customWidth="1"/>
    <col min="14" max="14" width="3.7109375" style="33" customWidth="1"/>
    <col min="15" max="19" width="13.7109375" style="0" customWidth="1"/>
    <col min="20" max="20" width="3.7109375" style="33" customWidth="1"/>
    <col min="21" max="25" width="13.7109375" style="0" customWidth="1"/>
    <col min="26" max="26" width="3.7109375" style="33" customWidth="1"/>
    <col min="27" max="31" width="13.7109375" style="0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0" customWidth="1"/>
    <col min="44" max="44" width="3.7109375" style="33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2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2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9" width="13.7109375" style="20" customWidth="1"/>
    <col min="170" max="170" width="3.7109375" style="20" customWidth="1"/>
    <col min="171" max="173" width="13.7109375" style="20" customWidth="1"/>
    <col min="174" max="174" width="3.7109375" style="0" customWidth="1"/>
  </cols>
  <sheetData>
    <row r="1" spans="1:175" ht="12.75">
      <c r="A1" s="43"/>
      <c r="B1" s="30"/>
      <c r="C1" s="44"/>
      <c r="D1" s="44"/>
      <c r="I1" s="44"/>
      <c r="O1" s="44" t="s">
        <v>139</v>
      </c>
      <c r="U1" s="44"/>
      <c r="AA1" s="44"/>
      <c r="AG1" s="44" t="s">
        <v>139</v>
      </c>
      <c r="AM1" s="44"/>
      <c r="AS1" s="44"/>
      <c r="AY1" s="44" t="s">
        <v>139</v>
      </c>
      <c r="BK1" s="44"/>
      <c r="BQ1" s="44" t="s">
        <v>139</v>
      </c>
      <c r="CC1" s="44"/>
      <c r="CI1" s="44" t="s">
        <v>139</v>
      </c>
      <c r="CO1" s="44"/>
      <c r="DA1" s="44" t="s">
        <v>139</v>
      </c>
      <c r="DG1" s="44"/>
      <c r="DS1" s="44" t="s">
        <v>139</v>
      </c>
      <c r="EK1" s="44" t="s">
        <v>139</v>
      </c>
      <c r="EQ1" s="44"/>
      <c r="FC1" s="44" t="s">
        <v>139</v>
      </c>
      <c r="FI1" s="44"/>
      <c r="FS1" s="44" t="s">
        <v>139</v>
      </c>
    </row>
    <row r="2" spans="1:175" ht="12.75">
      <c r="A2" s="43"/>
      <c r="B2" s="30"/>
      <c r="C2" s="44"/>
      <c r="D2" s="44"/>
      <c r="I2" s="44"/>
      <c r="O2" s="42" t="s">
        <v>140</v>
      </c>
      <c r="U2" s="44"/>
      <c r="AA2" s="44"/>
      <c r="AG2" s="42" t="s">
        <v>140</v>
      </c>
      <c r="AM2" s="44"/>
      <c r="AS2" s="44"/>
      <c r="AY2" s="42" t="s">
        <v>140</v>
      </c>
      <c r="BK2" s="44"/>
      <c r="BQ2" s="42" t="s">
        <v>140</v>
      </c>
      <c r="CC2" s="44"/>
      <c r="CI2" s="42" t="s">
        <v>140</v>
      </c>
      <c r="CO2" s="44"/>
      <c r="DA2" s="42" t="s">
        <v>140</v>
      </c>
      <c r="DG2" s="44"/>
      <c r="DS2" s="42" t="s">
        <v>140</v>
      </c>
      <c r="EK2" s="42" t="s">
        <v>140</v>
      </c>
      <c r="EQ2" s="44"/>
      <c r="FC2" s="42" t="s">
        <v>140</v>
      </c>
      <c r="FI2" s="44"/>
      <c r="FS2" s="42" t="s">
        <v>140</v>
      </c>
    </row>
    <row r="3" spans="1:175" ht="12.75">
      <c r="A3" s="43"/>
      <c r="B3" s="30"/>
      <c r="C3" s="42"/>
      <c r="D3" s="42"/>
      <c r="I3" s="44"/>
      <c r="O3" s="44" t="s">
        <v>152</v>
      </c>
      <c r="P3" s="12"/>
      <c r="U3" s="44"/>
      <c r="AA3" s="44"/>
      <c r="AG3" s="44" t="str">
        <f>O3</f>
        <v>2009 Series A &amp; B 2009 Bond refinanced on 2016B</v>
      </c>
      <c r="AM3" s="44"/>
      <c r="AS3" s="44"/>
      <c r="AY3" s="44" t="str">
        <f>AG3</f>
        <v>2009 Series A &amp; B 2009 Bond refinanced on 2016B</v>
      </c>
      <c r="BK3" s="44"/>
      <c r="BQ3" s="44" t="str">
        <f>AY3</f>
        <v>2009 Series A &amp; B 2009 Bond refinanced on 2016B</v>
      </c>
      <c r="CC3" s="44"/>
      <c r="CI3" s="44" t="str">
        <f>BQ3</f>
        <v>2009 Series A &amp; B 2009 Bond refinanced on 2016B</v>
      </c>
      <c r="CO3" s="44"/>
      <c r="DA3" s="44" t="s">
        <v>138</v>
      </c>
      <c r="DG3" s="44"/>
      <c r="DS3" s="44" t="s">
        <v>138</v>
      </c>
      <c r="EK3" s="44" t="s">
        <v>138</v>
      </c>
      <c r="EQ3" s="44"/>
      <c r="FC3" s="44" t="s">
        <v>138</v>
      </c>
      <c r="FI3" s="44"/>
      <c r="FS3" s="44" t="s">
        <v>138</v>
      </c>
    </row>
    <row r="4" spans="1:4" ht="12.75">
      <c r="A4" s="43"/>
      <c r="B4" s="30"/>
      <c r="C4" s="44"/>
      <c r="D4" s="44"/>
    </row>
    <row r="5" spans="1:173" ht="12.75">
      <c r="A5" s="21" t="s">
        <v>9</v>
      </c>
      <c r="C5" s="47" t="s">
        <v>153</v>
      </c>
      <c r="D5" s="48"/>
      <c r="E5" s="49"/>
      <c r="F5" s="49"/>
      <c r="G5" s="40"/>
      <c r="I5" s="36" t="s">
        <v>82</v>
      </c>
      <c r="J5" s="70"/>
      <c r="K5" s="38"/>
      <c r="L5" s="49"/>
      <c r="M5" s="40"/>
      <c r="O5" s="36" t="s">
        <v>83</v>
      </c>
      <c r="P5" s="37"/>
      <c r="Q5" s="38"/>
      <c r="R5" s="49"/>
      <c r="S5" s="40"/>
      <c r="U5" s="22" t="s">
        <v>69</v>
      </c>
      <c r="V5" s="23"/>
      <c r="W5" s="24"/>
      <c r="X5" s="49"/>
      <c r="Y5" s="40"/>
      <c r="AA5" s="22" t="s">
        <v>46</v>
      </c>
      <c r="AB5" s="23"/>
      <c r="AC5" s="24"/>
      <c r="AD5" s="49"/>
      <c r="AE5" s="40"/>
      <c r="AG5" s="22" t="s">
        <v>70</v>
      </c>
      <c r="AH5" s="23"/>
      <c r="AI5" s="24"/>
      <c r="AJ5" s="49"/>
      <c r="AK5" s="40"/>
      <c r="AM5" s="22" t="s">
        <v>51</v>
      </c>
      <c r="AN5" s="23"/>
      <c r="AO5" s="24"/>
      <c r="AP5" s="49"/>
      <c r="AQ5" s="40"/>
      <c r="AS5" s="22" t="s">
        <v>27</v>
      </c>
      <c r="AT5" s="23"/>
      <c r="AU5" s="24"/>
      <c r="AV5" s="49"/>
      <c r="AW5" s="40"/>
      <c r="AY5" s="22" t="s">
        <v>55</v>
      </c>
      <c r="AZ5" s="23"/>
      <c r="BA5" s="24"/>
      <c r="BB5" s="49"/>
      <c r="BC5" s="40"/>
      <c r="BE5" s="22" t="s">
        <v>71</v>
      </c>
      <c r="BF5" s="23"/>
      <c r="BG5" s="24"/>
      <c r="BH5" s="49"/>
      <c r="BI5" s="40"/>
      <c r="BK5" s="22" t="s">
        <v>78</v>
      </c>
      <c r="BL5" s="23"/>
      <c r="BM5" s="24"/>
      <c r="BN5" s="49"/>
      <c r="BO5" s="40"/>
      <c r="BQ5" s="22" t="s">
        <v>28</v>
      </c>
      <c r="BR5" s="23"/>
      <c r="BS5" s="24"/>
      <c r="BT5" s="49"/>
      <c r="BU5" s="40"/>
      <c r="BW5" s="22" t="s">
        <v>133</v>
      </c>
      <c r="BX5" s="23"/>
      <c r="BY5" s="24"/>
      <c r="BZ5" s="49"/>
      <c r="CA5" s="40"/>
      <c r="CC5" s="22" t="s">
        <v>113</v>
      </c>
      <c r="CD5" s="23"/>
      <c r="CE5" s="24"/>
      <c r="CF5" s="49"/>
      <c r="CG5" s="40"/>
      <c r="CI5" s="22" t="s">
        <v>134</v>
      </c>
      <c r="CJ5" s="23"/>
      <c r="CK5" s="24"/>
      <c r="CL5" s="49"/>
      <c r="CM5" s="40"/>
      <c r="CO5" s="22" t="s">
        <v>47</v>
      </c>
      <c r="CP5" s="23"/>
      <c r="CQ5" s="24"/>
      <c r="CR5" s="49"/>
      <c r="CS5" s="40"/>
      <c r="CU5" s="22" t="s">
        <v>48</v>
      </c>
      <c r="CV5" s="23"/>
      <c r="CW5" s="24"/>
      <c r="CX5" s="49"/>
      <c r="CY5" s="40"/>
      <c r="DA5" s="22" t="s">
        <v>49</v>
      </c>
      <c r="DB5" s="23"/>
      <c r="DC5" s="24"/>
      <c r="DD5" s="49"/>
      <c r="DE5" s="40"/>
      <c r="DG5" s="22" t="s">
        <v>72</v>
      </c>
      <c r="DH5" s="23"/>
      <c r="DI5" s="24"/>
      <c r="DJ5" s="49"/>
      <c r="DK5" s="40"/>
      <c r="DM5" s="22" t="s">
        <v>50</v>
      </c>
      <c r="DN5" s="23"/>
      <c r="DO5" s="24"/>
      <c r="DP5" s="49"/>
      <c r="DQ5" s="40"/>
      <c r="DS5" s="22" t="s">
        <v>135</v>
      </c>
      <c r="DT5" s="23"/>
      <c r="DU5" s="24"/>
      <c r="DV5" s="49"/>
      <c r="DW5" s="40"/>
      <c r="DY5" s="57" t="s">
        <v>136</v>
      </c>
      <c r="DZ5" s="23"/>
      <c r="EA5" s="24"/>
      <c r="EB5" s="49"/>
      <c r="EC5" s="40"/>
      <c r="EE5" s="22" t="s">
        <v>137</v>
      </c>
      <c r="EF5" s="23"/>
      <c r="EG5" s="24"/>
      <c r="EH5" s="49"/>
      <c r="EI5" s="40"/>
      <c r="EK5" s="22" t="s">
        <v>31</v>
      </c>
      <c r="EL5" s="23"/>
      <c r="EM5" s="24"/>
      <c r="EN5" s="49"/>
      <c r="EO5" s="40"/>
      <c r="EQ5" s="22" t="s">
        <v>32</v>
      </c>
      <c r="ER5" s="23"/>
      <c r="ES5" s="24"/>
      <c r="ET5" s="49"/>
      <c r="EU5" s="40"/>
      <c r="EW5" s="22" t="s">
        <v>56</v>
      </c>
      <c r="EX5" s="23"/>
      <c r="EY5" s="24"/>
      <c r="EZ5" s="49"/>
      <c r="FA5" s="40"/>
      <c r="FB5" s="65"/>
      <c r="FC5" s="22" t="s">
        <v>36</v>
      </c>
      <c r="FD5" s="23"/>
      <c r="FE5" s="24"/>
      <c r="FF5" s="49"/>
      <c r="FG5" s="40"/>
      <c r="FI5" s="22" t="s">
        <v>112</v>
      </c>
      <c r="FJ5" s="23"/>
      <c r="FK5" s="24"/>
      <c r="FL5" s="49"/>
      <c r="FM5" s="40"/>
      <c r="FO5" s="57" t="s">
        <v>13</v>
      </c>
      <c r="FP5" s="23"/>
      <c r="FQ5" s="24"/>
    </row>
    <row r="6" spans="1:173" s="12" customFormat="1" ht="12.75">
      <c r="A6" s="45" t="s">
        <v>10</v>
      </c>
      <c r="C6" s="37"/>
      <c r="D6" s="37"/>
      <c r="E6" s="38"/>
      <c r="F6" s="80" t="s">
        <v>142</v>
      </c>
      <c r="G6" s="40" t="s">
        <v>142</v>
      </c>
      <c r="H6" s="33"/>
      <c r="I6" s="69"/>
      <c r="J6" s="64">
        <v>0.3215535</v>
      </c>
      <c r="K6" s="74"/>
      <c r="L6" s="80" t="s">
        <v>142</v>
      </c>
      <c r="M6" s="40" t="s">
        <v>142</v>
      </c>
      <c r="N6" s="33"/>
      <c r="O6" s="69"/>
      <c r="P6" s="73">
        <f>V6+AB6+AH6+AN6+AT6+AZ6+BF6+BL6+BR6+CD6+CP6+CV6+DB6+DH6+DN6+EL6+ER6+EX6+FD6+FJ6+FP6+BX6+CJ6+DT6+DZ6+EF6</f>
        <v>0.6784465000000001</v>
      </c>
      <c r="Q6" s="74"/>
      <c r="R6" s="80" t="s">
        <v>142</v>
      </c>
      <c r="S6" s="40" t="s">
        <v>142</v>
      </c>
      <c r="T6" s="33"/>
      <c r="U6" s="72"/>
      <c r="V6" s="32">
        <v>0.0550165</v>
      </c>
      <c r="W6" s="74"/>
      <c r="X6" s="80" t="s">
        <v>142</v>
      </c>
      <c r="Y6" s="40" t="s">
        <v>142</v>
      </c>
      <c r="Z6" s="33"/>
      <c r="AA6" s="72"/>
      <c r="AB6" s="32">
        <v>0.0671633</v>
      </c>
      <c r="AC6" s="74"/>
      <c r="AD6" s="80" t="s">
        <v>142</v>
      </c>
      <c r="AE6" s="40" t="s">
        <v>142</v>
      </c>
      <c r="AF6" s="33"/>
      <c r="AG6" s="72"/>
      <c r="AH6" s="32">
        <v>0.0002459</v>
      </c>
      <c r="AI6" s="74"/>
      <c r="AJ6" s="80" t="s">
        <v>142</v>
      </c>
      <c r="AK6" s="40" t="s">
        <v>142</v>
      </c>
      <c r="AL6" s="33"/>
      <c r="AM6" s="72"/>
      <c r="AN6" s="32">
        <v>0.0145161</v>
      </c>
      <c r="AO6" s="74"/>
      <c r="AP6" s="80" t="s">
        <v>142</v>
      </c>
      <c r="AQ6" s="40" t="s">
        <v>142</v>
      </c>
      <c r="AR6" s="33"/>
      <c r="AS6" s="72"/>
      <c r="AT6" s="32">
        <v>0.0667925</v>
      </c>
      <c r="AU6" s="74"/>
      <c r="AV6" s="80" t="s">
        <v>142</v>
      </c>
      <c r="AW6" s="40" t="s">
        <v>142</v>
      </c>
      <c r="AY6" s="72"/>
      <c r="AZ6" s="32">
        <v>0.0105296</v>
      </c>
      <c r="BA6" s="74"/>
      <c r="BB6" s="80" t="s">
        <v>142</v>
      </c>
      <c r="BC6" s="40" t="s">
        <v>142</v>
      </c>
      <c r="BE6" s="72"/>
      <c r="BF6" s="32">
        <v>0.0005849</v>
      </c>
      <c r="BG6" s="74"/>
      <c r="BH6" s="80" t="s">
        <v>142</v>
      </c>
      <c r="BI6" s="40" t="s">
        <v>142</v>
      </c>
      <c r="BK6" s="72"/>
      <c r="BL6" s="32">
        <v>0.0067373</v>
      </c>
      <c r="BM6" s="74"/>
      <c r="BN6" s="80" t="s">
        <v>142</v>
      </c>
      <c r="BO6" s="40" t="s">
        <v>142</v>
      </c>
      <c r="BQ6" s="72"/>
      <c r="BR6" s="32">
        <v>0.0094186</v>
      </c>
      <c r="BS6" s="74"/>
      <c r="BT6" s="80" t="s">
        <v>142</v>
      </c>
      <c r="BU6" s="40" t="s">
        <v>142</v>
      </c>
      <c r="BW6" s="72"/>
      <c r="BX6" s="32">
        <v>0.0013176</v>
      </c>
      <c r="BY6" s="74"/>
      <c r="BZ6" s="80" t="s">
        <v>142</v>
      </c>
      <c r="CA6" s="40" t="s">
        <v>142</v>
      </c>
      <c r="CC6" s="72"/>
      <c r="CD6" s="32">
        <v>0.0068448</v>
      </c>
      <c r="CE6" s="74"/>
      <c r="CF6" s="80" t="s">
        <v>142</v>
      </c>
      <c r="CG6" s="40" t="s">
        <v>142</v>
      </c>
      <c r="CI6" s="72"/>
      <c r="CJ6" s="32">
        <v>0.000389</v>
      </c>
      <c r="CK6" s="74"/>
      <c r="CL6" s="80" t="s">
        <v>142</v>
      </c>
      <c r="CM6" s="40" t="s">
        <v>142</v>
      </c>
      <c r="CO6" s="72"/>
      <c r="CP6" s="32">
        <v>0.0013749</v>
      </c>
      <c r="CQ6" s="74"/>
      <c r="CR6" s="80" t="s">
        <v>142</v>
      </c>
      <c r="CS6" s="40" t="s">
        <v>142</v>
      </c>
      <c r="CU6" s="72"/>
      <c r="CV6" s="32">
        <v>0.0049977</v>
      </c>
      <c r="CW6" s="74"/>
      <c r="CX6" s="80" t="s">
        <v>142</v>
      </c>
      <c r="CY6" s="40" t="s">
        <v>142</v>
      </c>
      <c r="DA6" s="72"/>
      <c r="DB6" s="32">
        <v>0.0341296</v>
      </c>
      <c r="DC6" s="74"/>
      <c r="DD6" s="80" t="s">
        <v>142</v>
      </c>
      <c r="DE6" s="40" t="s">
        <v>142</v>
      </c>
      <c r="DG6" s="72"/>
      <c r="DH6" s="32">
        <v>0.1412511</v>
      </c>
      <c r="DI6" s="74"/>
      <c r="DJ6" s="80" t="s">
        <v>142</v>
      </c>
      <c r="DK6" s="40" t="s">
        <v>142</v>
      </c>
      <c r="DM6" s="72"/>
      <c r="DN6" s="32">
        <v>0.0259668</v>
      </c>
      <c r="DO6" s="74"/>
      <c r="DP6" s="80" t="s">
        <v>142</v>
      </c>
      <c r="DQ6" s="40" t="s">
        <v>142</v>
      </c>
      <c r="DS6" s="72"/>
      <c r="DT6" s="32">
        <v>0.0889019</v>
      </c>
      <c r="DU6" s="74"/>
      <c r="DV6" s="80" t="s">
        <v>142</v>
      </c>
      <c r="DW6" s="40" t="s">
        <v>142</v>
      </c>
      <c r="DY6" s="72"/>
      <c r="DZ6" s="32">
        <v>0.0189545</v>
      </c>
      <c r="EA6" s="74"/>
      <c r="EB6" s="80" t="s">
        <v>142</v>
      </c>
      <c r="EC6" s="40" t="s">
        <v>142</v>
      </c>
      <c r="EE6" s="72"/>
      <c r="EF6" s="32">
        <v>0.0015442</v>
      </c>
      <c r="EG6" s="74"/>
      <c r="EH6" s="80" t="s">
        <v>142</v>
      </c>
      <c r="EI6" s="40" t="s">
        <v>142</v>
      </c>
      <c r="EK6" s="72"/>
      <c r="EL6" s="32">
        <v>0.0018417</v>
      </c>
      <c r="EM6" s="74"/>
      <c r="EN6" s="80" t="s">
        <v>142</v>
      </c>
      <c r="EO6" s="40" t="s">
        <v>142</v>
      </c>
      <c r="EQ6" s="72"/>
      <c r="ER6" s="32">
        <v>0.0037562</v>
      </c>
      <c r="ES6" s="74"/>
      <c r="ET6" s="80" t="s">
        <v>142</v>
      </c>
      <c r="EU6" s="40" t="s">
        <v>142</v>
      </c>
      <c r="EW6" s="72"/>
      <c r="EX6" s="32">
        <v>0.1035336</v>
      </c>
      <c r="EY6" s="74"/>
      <c r="EZ6" s="80" t="s">
        <v>142</v>
      </c>
      <c r="FA6" s="40" t="s">
        <v>142</v>
      </c>
      <c r="FB6" s="28"/>
      <c r="FC6" s="72"/>
      <c r="FD6" s="32">
        <v>0.004021</v>
      </c>
      <c r="FE6" s="74"/>
      <c r="FF6" s="80" t="s">
        <v>142</v>
      </c>
      <c r="FG6" s="40" t="s">
        <v>142</v>
      </c>
      <c r="FI6" s="72"/>
      <c r="FJ6" s="32">
        <v>0.0086172</v>
      </c>
      <c r="FK6" s="74"/>
      <c r="FL6" s="80" t="s">
        <v>142</v>
      </c>
      <c r="FM6" s="40" t="s">
        <v>142</v>
      </c>
      <c r="FO6" s="72"/>
      <c r="FP6" s="32"/>
      <c r="FQ6" s="46"/>
    </row>
    <row r="7" spans="1:173" ht="12.75">
      <c r="A7" s="25"/>
      <c r="C7" s="40" t="s">
        <v>11</v>
      </c>
      <c r="D7" s="40" t="s">
        <v>12</v>
      </c>
      <c r="E7" s="40" t="s">
        <v>4</v>
      </c>
      <c r="F7" s="40" t="s">
        <v>143</v>
      </c>
      <c r="G7" s="40" t="s">
        <v>151</v>
      </c>
      <c r="I7" s="40" t="s">
        <v>11</v>
      </c>
      <c r="J7" s="40" t="s">
        <v>12</v>
      </c>
      <c r="K7" s="40" t="s">
        <v>4</v>
      </c>
      <c r="L7" s="40" t="s">
        <v>143</v>
      </c>
      <c r="M7" s="40" t="s">
        <v>151</v>
      </c>
      <c r="O7" s="40" t="s">
        <v>11</v>
      </c>
      <c r="P7" s="40" t="s">
        <v>12</v>
      </c>
      <c r="Q7" s="40" t="s">
        <v>4</v>
      </c>
      <c r="R7" s="40" t="s">
        <v>143</v>
      </c>
      <c r="S7" s="40" t="s">
        <v>151</v>
      </c>
      <c r="U7" s="26" t="s">
        <v>11</v>
      </c>
      <c r="V7" s="26" t="s">
        <v>12</v>
      </c>
      <c r="W7" s="26" t="s">
        <v>4</v>
      </c>
      <c r="X7" s="40" t="s">
        <v>143</v>
      </c>
      <c r="Y7" s="40" t="s">
        <v>151</v>
      </c>
      <c r="AA7" s="26" t="s">
        <v>11</v>
      </c>
      <c r="AB7" s="26" t="s">
        <v>12</v>
      </c>
      <c r="AC7" s="26" t="s">
        <v>4</v>
      </c>
      <c r="AD7" s="40" t="s">
        <v>143</v>
      </c>
      <c r="AE7" s="40" t="s">
        <v>151</v>
      </c>
      <c r="AG7" s="26" t="s">
        <v>11</v>
      </c>
      <c r="AH7" s="26" t="s">
        <v>12</v>
      </c>
      <c r="AI7" s="26" t="s">
        <v>4</v>
      </c>
      <c r="AJ7" s="40" t="s">
        <v>143</v>
      </c>
      <c r="AK7" s="40" t="s">
        <v>151</v>
      </c>
      <c r="AM7" s="26" t="s">
        <v>11</v>
      </c>
      <c r="AN7" s="26" t="s">
        <v>12</v>
      </c>
      <c r="AO7" s="26" t="s">
        <v>4</v>
      </c>
      <c r="AP7" s="40" t="s">
        <v>143</v>
      </c>
      <c r="AQ7" s="40" t="s">
        <v>151</v>
      </c>
      <c r="AS7" s="26" t="s">
        <v>11</v>
      </c>
      <c r="AT7" s="26" t="s">
        <v>12</v>
      </c>
      <c r="AU7" s="26" t="s">
        <v>4</v>
      </c>
      <c r="AV7" s="40" t="s">
        <v>143</v>
      </c>
      <c r="AW7" s="40" t="s">
        <v>151</v>
      </c>
      <c r="AY7" s="26" t="s">
        <v>11</v>
      </c>
      <c r="AZ7" s="26" t="s">
        <v>12</v>
      </c>
      <c r="BA7" s="26" t="s">
        <v>4</v>
      </c>
      <c r="BB7" s="40" t="s">
        <v>143</v>
      </c>
      <c r="BC7" s="40" t="s">
        <v>151</v>
      </c>
      <c r="BE7" s="26" t="s">
        <v>11</v>
      </c>
      <c r="BF7" s="26" t="s">
        <v>12</v>
      </c>
      <c r="BG7" s="26" t="s">
        <v>4</v>
      </c>
      <c r="BH7" s="40" t="s">
        <v>143</v>
      </c>
      <c r="BI7" s="40" t="s">
        <v>151</v>
      </c>
      <c r="BK7" s="26" t="s">
        <v>11</v>
      </c>
      <c r="BL7" s="26" t="s">
        <v>12</v>
      </c>
      <c r="BM7" s="26" t="s">
        <v>4</v>
      </c>
      <c r="BN7" s="40" t="s">
        <v>143</v>
      </c>
      <c r="BO7" s="40" t="s">
        <v>151</v>
      </c>
      <c r="BQ7" s="26" t="s">
        <v>11</v>
      </c>
      <c r="BR7" s="26" t="s">
        <v>12</v>
      </c>
      <c r="BS7" s="26" t="s">
        <v>4</v>
      </c>
      <c r="BT7" s="40" t="s">
        <v>143</v>
      </c>
      <c r="BU7" s="40" t="s">
        <v>151</v>
      </c>
      <c r="BW7" s="26" t="s">
        <v>11</v>
      </c>
      <c r="BX7" s="26" t="s">
        <v>12</v>
      </c>
      <c r="BY7" s="26" t="s">
        <v>4</v>
      </c>
      <c r="BZ7" s="40" t="s">
        <v>143</v>
      </c>
      <c r="CA7" s="40" t="s">
        <v>151</v>
      </c>
      <c r="CC7" s="26" t="s">
        <v>11</v>
      </c>
      <c r="CD7" s="26" t="s">
        <v>12</v>
      </c>
      <c r="CE7" s="26" t="s">
        <v>4</v>
      </c>
      <c r="CF7" s="40" t="s">
        <v>143</v>
      </c>
      <c r="CG7" s="40" t="s">
        <v>151</v>
      </c>
      <c r="CI7" s="26" t="s">
        <v>11</v>
      </c>
      <c r="CJ7" s="26" t="s">
        <v>12</v>
      </c>
      <c r="CK7" s="26" t="s">
        <v>4</v>
      </c>
      <c r="CL7" s="40" t="s">
        <v>143</v>
      </c>
      <c r="CM7" s="40" t="s">
        <v>151</v>
      </c>
      <c r="CO7" s="26" t="s">
        <v>11</v>
      </c>
      <c r="CP7" s="26" t="s">
        <v>12</v>
      </c>
      <c r="CQ7" s="26" t="s">
        <v>4</v>
      </c>
      <c r="CR7" s="40" t="s">
        <v>143</v>
      </c>
      <c r="CS7" s="40" t="s">
        <v>151</v>
      </c>
      <c r="CU7" s="26" t="s">
        <v>11</v>
      </c>
      <c r="CV7" s="26" t="s">
        <v>12</v>
      </c>
      <c r="CW7" s="26" t="s">
        <v>4</v>
      </c>
      <c r="CX7" s="40" t="s">
        <v>143</v>
      </c>
      <c r="CY7" s="40" t="s">
        <v>151</v>
      </c>
      <c r="DA7" s="26" t="s">
        <v>11</v>
      </c>
      <c r="DB7" s="26" t="s">
        <v>12</v>
      </c>
      <c r="DC7" s="26" t="s">
        <v>4</v>
      </c>
      <c r="DD7" s="40" t="s">
        <v>143</v>
      </c>
      <c r="DE7" s="40" t="s">
        <v>151</v>
      </c>
      <c r="DG7" s="26" t="s">
        <v>11</v>
      </c>
      <c r="DH7" s="26" t="s">
        <v>12</v>
      </c>
      <c r="DI7" s="26" t="s">
        <v>4</v>
      </c>
      <c r="DJ7" s="40" t="s">
        <v>143</v>
      </c>
      <c r="DK7" s="40" t="s">
        <v>151</v>
      </c>
      <c r="DM7" s="26" t="s">
        <v>11</v>
      </c>
      <c r="DN7" s="26" t="s">
        <v>12</v>
      </c>
      <c r="DO7" s="26" t="s">
        <v>4</v>
      </c>
      <c r="DP7" s="40" t="s">
        <v>143</v>
      </c>
      <c r="DQ7" s="40" t="s">
        <v>151</v>
      </c>
      <c r="DS7" s="26" t="s">
        <v>11</v>
      </c>
      <c r="DT7" s="26" t="s">
        <v>12</v>
      </c>
      <c r="DU7" s="26" t="s">
        <v>4</v>
      </c>
      <c r="DV7" s="40" t="s">
        <v>143</v>
      </c>
      <c r="DW7" s="40" t="s">
        <v>151</v>
      </c>
      <c r="DY7" s="26" t="s">
        <v>11</v>
      </c>
      <c r="DZ7" s="26" t="s">
        <v>12</v>
      </c>
      <c r="EA7" s="26" t="s">
        <v>4</v>
      </c>
      <c r="EB7" s="40" t="s">
        <v>143</v>
      </c>
      <c r="EC7" s="40" t="s">
        <v>151</v>
      </c>
      <c r="EE7" s="26" t="s">
        <v>11</v>
      </c>
      <c r="EF7" s="26" t="s">
        <v>12</v>
      </c>
      <c r="EG7" s="26" t="s">
        <v>4</v>
      </c>
      <c r="EH7" s="40" t="s">
        <v>143</v>
      </c>
      <c r="EI7" s="40" t="s">
        <v>151</v>
      </c>
      <c r="EK7" s="26" t="s">
        <v>11</v>
      </c>
      <c r="EL7" s="26" t="s">
        <v>12</v>
      </c>
      <c r="EM7" s="26" t="s">
        <v>4</v>
      </c>
      <c r="EN7" s="40" t="s">
        <v>143</v>
      </c>
      <c r="EO7" s="40" t="s">
        <v>151</v>
      </c>
      <c r="EQ7" s="26" t="s">
        <v>11</v>
      </c>
      <c r="ER7" s="26" t="s">
        <v>12</v>
      </c>
      <c r="ES7" s="26" t="s">
        <v>4</v>
      </c>
      <c r="ET7" s="40" t="s">
        <v>143</v>
      </c>
      <c r="EU7" s="40" t="s">
        <v>151</v>
      </c>
      <c r="EW7" s="26" t="s">
        <v>11</v>
      </c>
      <c r="EX7" s="26" t="s">
        <v>12</v>
      </c>
      <c r="EY7" s="26" t="s">
        <v>4</v>
      </c>
      <c r="EZ7" s="40" t="s">
        <v>143</v>
      </c>
      <c r="FA7" s="40" t="s">
        <v>151</v>
      </c>
      <c r="FB7" s="66"/>
      <c r="FC7" s="26" t="s">
        <v>11</v>
      </c>
      <c r="FD7" s="26" t="s">
        <v>12</v>
      </c>
      <c r="FE7" s="26" t="s">
        <v>4</v>
      </c>
      <c r="FF7" s="40" t="s">
        <v>143</v>
      </c>
      <c r="FG7" s="40" t="s">
        <v>151</v>
      </c>
      <c r="FI7" s="26" t="s">
        <v>11</v>
      </c>
      <c r="FJ7" s="26" t="s">
        <v>12</v>
      </c>
      <c r="FK7" s="26" t="s">
        <v>4</v>
      </c>
      <c r="FL7" s="40" t="s">
        <v>143</v>
      </c>
      <c r="FM7" s="40" t="s">
        <v>151</v>
      </c>
      <c r="FO7" s="26" t="s">
        <v>11</v>
      </c>
      <c r="FP7" s="26" t="s">
        <v>12</v>
      </c>
      <c r="FQ7" s="26" t="s">
        <v>4</v>
      </c>
    </row>
    <row r="8" spans="1:173" ht="12.75">
      <c r="A8" s="19">
        <v>42278</v>
      </c>
      <c r="E8" s="35">
        <f aca="true" t="shared" si="0" ref="E8:E35">C8+D8</f>
        <v>0</v>
      </c>
      <c r="I8" s="51"/>
      <c r="J8" s="51"/>
      <c r="K8" s="51">
        <f>I8+J8</f>
        <v>0</v>
      </c>
      <c r="L8" s="51">
        <f>'2016B Academic'!L8</f>
        <v>0</v>
      </c>
      <c r="M8" s="35"/>
      <c r="O8" s="51"/>
      <c r="P8" s="41">
        <f aca="true" t="shared" si="1" ref="P8:P35">V8+AB8+AH8+AN8+AT8+AZ8+BF8+BL8+BR8+CD8+CP8+CV8+DB8+DH8+DN8+EL8+ER8+EX8+FD8+FJ8+FP8+BX8+CJ8+DT8+DZ8+EF8</f>
        <v>0</v>
      </c>
      <c r="Q8" s="33">
        <f aca="true" t="shared" si="2" ref="Q8:Q35">O8+P8</f>
        <v>0</v>
      </c>
      <c r="R8" s="41">
        <f aca="true" t="shared" si="3" ref="R8:S35">X8+AD8+AJ8+AP8+AV8+BB8+BH8+BN8+BT8+CF8+CR8+CX8+DD8+DJ8+DP8+EN8+ET8+EZ8+FF8+FL8+FR8+BZ8+CL8+DV8+EB8+EH8</f>
        <v>0</v>
      </c>
      <c r="S8" s="35"/>
      <c r="U8" s="65"/>
      <c r="V8" s="65">
        <f aca="true" t="shared" si="4" ref="V8:V35">D8*$V$6</f>
        <v>0</v>
      </c>
      <c r="W8" s="20">
        <f aca="true" t="shared" si="5" ref="W8:W35">U8+V8</f>
        <v>0</v>
      </c>
      <c r="X8" s="65">
        <f aca="true" t="shared" si="6" ref="X8:X35">V$6*$F8</f>
        <v>0</v>
      </c>
      <c r="Y8" s="65"/>
      <c r="AA8" s="65"/>
      <c r="AB8" s="65">
        <f aca="true" t="shared" si="7" ref="AB8:AB35">D8*$AB$6</f>
        <v>0</v>
      </c>
      <c r="AC8" s="20">
        <f aca="true" t="shared" si="8" ref="AC8:AC35">AA8+AB8</f>
        <v>0</v>
      </c>
      <c r="AD8" s="65">
        <f aca="true" t="shared" si="9" ref="AD8:AD35">AB$6*$F8</f>
        <v>0</v>
      </c>
      <c r="AE8" s="65"/>
      <c r="AH8" s="33">
        <f aca="true" t="shared" si="10" ref="AH8:AH35">D8*$AH$6</f>
        <v>0</v>
      </c>
      <c r="AI8" s="33">
        <f aca="true" t="shared" si="11" ref="AI8:AI35">AG8+AH8</f>
        <v>0</v>
      </c>
      <c r="AJ8" s="65">
        <f aca="true" t="shared" si="12" ref="AJ8:AJ35">AH$6*$F8</f>
        <v>0</v>
      </c>
      <c r="AK8" s="65"/>
      <c r="AM8" s="65"/>
      <c r="AN8" s="65">
        <f aca="true" t="shared" si="13" ref="AN8:AN35">D8*$AN$6</f>
        <v>0</v>
      </c>
      <c r="AO8" s="20">
        <f aca="true" t="shared" si="14" ref="AO8:AO35">AM8+AN8</f>
        <v>0</v>
      </c>
      <c r="AP8" s="65">
        <f aca="true" t="shared" si="15" ref="AP8:AP35">AN$6*$F8</f>
        <v>0</v>
      </c>
      <c r="AQ8" s="65"/>
      <c r="AS8" s="65"/>
      <c r="AT8" s="65">
        <f aca="true" t="shared" si="16" ref="AT8:AT35">D8*$AT$6</f>
        <v>0</v>
      </c>
      <c r="AU8" s="20">
        <f aca="true" t="shared" si="17" ref="AU8:AU35">AS8+AT8</f>
        <v>0</v>
      </c>
      <c r="AV8" s="65">
        <f aca="true" t="shared" si="18" ref="AV8:AV35">AT$6*$F8</f>
        <v>0</v>
      </c>
      <c r="AW8" s="65"/>
      <c r="AX8" s="33"/>
      <c r="AY8" s="65"/>
      <c r="AZ8" s="65">
        <f aca="true" t="shared" si="19" ref="AZ8:AZ35">D8*$AZ$6</f>
        <v>0</v>
      </c>
      <c r="BA8" s="20">
        <f aca="true" t="shared" si="20" ref="BA8:BA35">AY8+AZ8</f>
        <v>0</v>
      </c>
      <c r="BB8" s="65">
        <f aca="true" t="shared" si="21" ref="BB8:BB35">AZ$6*$F8</f>
        <v>0</v>
      </c>
      <c r="BC8" s="65"/>
      <c r="BD8" s="33"/>
      <c r="BE8" s="51"/>
      <c r="BF8" s="51">
        <f aca="true" t="shared" si="22" ref="BF8:BF35">D8*$BF$6</f>
        <v>0</v>
      </c>
      <c r="BG8" s="33">
        <f aca="true" t="shared" si="23" ref="BG8:BG35">BE8+BF8</f>
        <v>0</v>
      </c>
      <c r="BH8" s="65">
        <f aca="true" t="shared" si="24" ref="BH8:BH35">BF$6*$F8</f>
        <v>0</v>
      </c>
      <c r="BI8" s="65"/>
      <c r="BJ8" s="33"/>
      <c r="BK8" s="33"/>
      <c r="BL8" s="33">
        <f aca="true" t="shared" si="25" ref="BL8:BL35">D8*$BL$6</f>
        <v>0</v>
      </c>
      <c r="BM8" s="33">
        <f aca="true" t="shared" si="26" ref="BM8:BM35">BK8+BL8</f>
        <v>0</v>
      </c>
      <c r="BN8" s="65">
        <f aca="true" t="shared" si="27" ref="BN8:BN35">BL$6*$F8</f>
        <v>0</v>
      </c>
      <c r="BO8" s="65"/>
      <c r="BP8" s="33"/>
      <c r="BQ8" s="51"/>
      <c r="BR8" s="51">
        <f aca="true" t="shared" si="28" ref="BR8:BR35">D8*$BR$6</f>
        <v>0</v>
      </c>
      <c r="BS8" s="33">
        <f aca="true" t="shared" si="29" ref="BS8:BS35">BQ8+BR8</f>
        <v>0</v>
      </c>
      <c r="BT8" s="65">
        <f aca="true" t="shared" si="30" ref="BT8:BT35">BR$6*$F8</f>
        <v>0</v>
      </c>
      <c r="BU8" s="65"/>
      <c r="BV8" s="33"/>
      <c r="BW8" s="51"/>
      <c r="BX8" s="51">
        <f aca="true" t="shared" si="31" ref="BX8:BX35">D8*$BX$6</f>
        <v>0</v>
      </c>
      <c r="BY8" s="33">
        <f aca="true" t="shared" si="32" ref="BY8:BY35">BW8+BX8</f>
        <v>0</v>
      </c>
      <c r="BZ8" s="65">
        <f aca="true" t="shared" si="33" ref="BZ8:BZ35">BX$6*$F8</f>
        <v>0</v>
      </c>
      <c r="CA8" s="65"/>
      <c r="CB8" s="33"/>
      <c r="CC8" s="51"/>
      <c r="CD8" s="51">
        <f aca="true" t="shared" si="34" ref="CD8:CD35">D8*$CD$6</f>
        <v>0</v>
      </c>
      <c r="CE8" s="33">
        <f aca="true" t="shared" si="35" ref="CE8:CE35">CC8+CD8</f>
        <v>0</v>
      </c>
      <c r="CF8" s="65">
        <f aca="true" t="shared" si="36" ref="CF8:CF35">CD$6*$F8</f>
        <v>0</v>
      </c>
      <c r="CG8" s="65"/>
      <c r="CH8" s="33"/>
      <c r="CI8" s="51"/>
      <c r="CJ8" s="51">
        <f aca="true" t="shared" si="37" ref="CJ8:CJ35">D8*$CJ$6</f>
        <v>0</v>
      </c>
      <c r="CK8" s="33">
        <f aca="true" t="shared" si="38" ref="CK8:CK35">CI8+CJ8</f>
        <v>0</v>
      </c>
      <c r="CL8" s="65">
        <f aca="true" t="shared" si="39" ref="CL8:CL35">CJ$6*$F8</f>
        <v>0</v>
      </c>
      <c r="CM8" s="65"/>
      <c r="CN8" s="33"/>
      <c r="CO8" s="51"/>
      <c r="CP8" s="51">
        <f aca="true" t="shared" si="40" ref="CP8:CP35">D8*$CP$6</f>
        <v>0</v>
      </c>
      <c r="CQ8" s="33">
        <f aca="true" t="shared" si="41" ref="CQ8:CQ35">CO8+CP8</f>
        <v>0</v>
      </c>
      <c r="CR8" s="65">
        <f aca="true" t="shared" si="42" ref="CR8:CR35">CP$6*$F8</f>
        <v>0</v>
      </c>
      <c r="CS8" s="65"/>
      <c r="CT8" s="33"/>
      <c r="CU8" s="33"/>
      <c r="CV8" s="33">
        <f aca="true" t="shared" si="43" ref="CV8:CV35">D8*$CV$6</f>
        <v>0</v>
      </c>
      <c r="CW8" s="33">
        <f aca="true" t="shared" si="44" ref="CW8:CW35">CU8+CV8</f>
        <v>0</v>
      </c>
      <c r="CX8" s="65">
        <f aca="true" t="shared" si="45" ref="CX8:CX35">CV$6*$F8</f>
        <v>0</v>
      </c>
      <c r="CY8" s="65"/>
      <c r="CZ8" s="33"/>
      <c r="DA8" s="51"/>
      <c r="DB8" s="51">
        <f aca="true" t="shared" si="46" ref="DB8:DB35">D8*$DB$6</f>
        <v>0</v>
      </c>
      <c r="DC8" s="33">
        <f aca="true" t="shared" si="47" ref="DC8:DC35">DA8+DB8</f>
        <v>0</v>
      </c>
      <c r="DD8" s="65">
        <f aca="true" t="shared" si="48" ref="DD8:DD35">DB$6*$F8</f>
        <v>0</v>
      </c>
      <c r="DE8" s="65"/>
      <c r="DF8" s="33"/>
      <c r="DG8" s="51"/>
      <c r="DH8" s="51">
        <f aca="true" t="shared" si="49" ref="DH8:DH35">D8*$DH$6</f>
        <v>0</v>
      </c>
      <c r="DI8" s="33">
        <f aca="true" t="shared" si="50" ref="DI8:DI35">DG8+DH8</f>
        <v>0</v>
      </c>
      <c r="DJ8" s="65">
        <f aca="true" t="shared" si="51" ref="DJ8:DJ35">DH$6*$F8</f>
        <v>0</v>
      </c>
      <c r="DK8" s="65"/>
      <c r="DL8" s="33"/>
      <c r="DM8" s="51"/>
      <c r="DN8" s="51">
        <f aca="true" t="shared" si="52" ref="DN8:DN35">D8*$DN$6</f>
        <v>0</v>
      </c>
      <c r="DO8" s="33">
        <f aca="true" t="shared" si="53" ref="DO8:DO35">DM8+DN8</f>
        <v>0</v>
      </c>
      <c r="DP8" s="65">
        <f aca="true" t="shared" si="54" ref="DP8:DP35">DN$6*$F8</f>
        <v>0</v>
      </c>
      <c r="DQ8" s="65"/>
      <c r="DR8" s="33"/>
      <c r="DS8" s="51"/>
      <c r="DT8" s="51">
        <f aca="true" t="shared" si="55" ref="DT8:DT35">D8*$DT$6</f>
        <v>0</v>
      </c>
      <c r="DU8" s="33">
        <f aca="true" t="shared" si="56" ref="DU8:DU35">DS8+DT8</f>
        <v>0</v>
      </c>
      <c r="DV8" s="65">
        <f aca="true" t="shared" si="57" ref="DV8:DV35">DT$6*$F8</f>
        <v>0</v>
      </c>
      <c r="DW8" s="65"/>
      <c r="DX8" s="33"/>
      <c r="DY8" s="51"/>
      <c r="DZ8" s="51">
        <f aca="true" t="shared" si="58" ref="DZ8:DZ35">D8*$DZ$6</f>
        <v>0</v>
      </c>
      <c r="EA8" s="33">
        <f aca="true" t="shared" si="59" ref="EA8:EA35">DY8+DZ8</f>
        <v>0</v>
      </c>
      <c r="EB8" s="65">
        <f aca="true" t="shared" si="60" ref="EB8:EB35">DZ$6*$F8</f>
        <v>0</v>
      </c>
      <c r="EC8" s="65"/>
      <c r="ED8" s="33"/>
      <c r="EE8" s="51"/>
      <c r="EF8" s="51">
        <f aca="true" t="shared" si="61" ref="EF8:EF35">D8*$EF$6</f>
        <v>0</v>
      </c>
      <c r="EG8" s="33">
        <f aca="true" t="shared" si="62" ref="EG8:EG35">EE8+EF8</f>
        <v>0</v>
      </c>
      <c r="EH8" s="65">
        <f aca="true" t="shared" si="63" ref="EH8:EH35">EF$6*$F8</f>
        <v>0</v>
      </c>
      <c r="EI8" s="65"/>
      <c r="EJ8" s="33"/>
      <c r="EK8" s="51"/>
      <c r="EL8" s="51">
        <f aca="true" t="shared" si="64" ref="EL8:EL35">D8*$EL$6</f>
        <v>0</v>
      </c>
      <c r="EM8" s="33">
        <f aca="true" t="shared" si="65" ref="EM8:EM35">EK8+EL8</f>
        <v>0</v>
      </c>
      <c r="EN8" s="65">
        <f aca="true" t="shared" si="66" ref="EN8:EN35">EL$6*$F8</f>
        <v>0</v>
      </c>
      <c r="EO8" s="65"/>
      <c r="EP8" s="33"/>
      <c r="EQ8" s="51"/>
      <c r="ER8" s="51">
        <f aca="true" t="shared" si="67" ref="ER8:ER35">D8*$ER$6</f>
        <v>0</v>
      </c>
      <c r="ES8" s="33">
        <f aca="true" t="shared" si="68" ref="ES8:ES35">EQ8+ER8</f>
        <v>0</v>
      </c>
      <c r="ET8" s="65">
        <f aca="true" t="shared" si="69" ref="ET8:ET35">ER$6*$F8</f>
        <v>0</v>
      </c>
      <c r="EU8" s="65"/>
      <c r="EV8" s="33"/>
      <c r="EW8" s="51"/>
      <c r="EX8" s="51">
        <f aca="true" t="shared" si="70" ref="EX8:EX35">D8*$EX$6</f>
        <v>0</v>
      </c>
      <c r="EY8" s="33">
        <f aca="true" t="shared" si="71" ref="EY8:EY35">EW8+EX8</f>
        <v>0</v>
      </c>
      <c r="EZ8" s="65">
        <f aca="true" t="shared" si="72" ref="EZ8:EZ35">EX$6*$F8</f>
        <v>0</v>
      </c>
      <c r="FA8" s="65"/>
      <c r="FB8" s="33"/>
      <c r="FC8" s="33"/>
      <c r="FD8" s="33">
        <f aca="true" t="shared" si="73" ref="FD8:FD35">D8*$FD$6</f>
        <v>0</v>
      </c>
      <c r="FE8" s="33">
        <f aca="true" t="shared" si="74" ref="FE8:FE35">FC8+FD8</f>
        <v>0</v>
      </c>
      <c r="FF8" s="65">
        <f aca="true" t="shared" si="75" ref="FF8:FF35">FD$6*$F8</f>
        <v>0</v>
      </c>
      <c r="FG8" s="65"/>
      <c r="FH8" s="33"/>
      <c r="FI8" s="51"/>
      <c r="FJ8" s="51">
        <f aca="true" t="shared" si="76" ref="FJ8:FJ35">D8*$FJ$6</f>
        <v>0</v>
      </c>
      <c r="FK8" s="33">
        <f aca="true" t="shared" si="77" ref="FK8:FK35">FI8+FJ8</f>
        <v>0</v>
      </c>
      <c r="FL8" s="65">
        <f aca="true" t="shared" si="78" ref="FL8:FL35">FJ$6*$F8</f>
        <v>0</v>
      </c>
      <c r="FM8" s="65"/>
      <c r="FN8" s="33"/>
      <c r="FO8" s="33"/>
      <c r="FP8" s="33"/>
      <c r="FQ8" s="33"/>
    </row>
    <row r="9" spans="1:173" ht="12.75">
      <c r="A9" s="19">
        <v>42461</v>
      </c>
      <c r="E9" s="35">
        <f t="shared" si="0"/>
        <v>0</v>
      </c>
      <c r="I9" s="51"/>
      <c r="J9" s="51"/>
      <c r="K9" s="51">
        <f aca="true" t="shared" si="79" ref="K9:K35">I9+J9</f>
        <v>0</v>
      </c>
      <c r="L9" s="51">
        <f>'2016B Academic'!L9</f>
        <v>0</v>
      </c>
      <c r="M9" s="35"/>
      <c r="O9" s="51">
        <f>U9+AA9+AG9+AM9+AS9+AY9+BE9+BK9+BQ9+CC9+CO9+CU9+DA9+DG9+DM9+EK9+EQ9+EW9+FC9+FI9+FO9+BW9+CI9+DS9+DY9+EE9</f>
        <v>0</v>
      </c>
      <c r="P9" s="41">
        <f t="shared" si="1"/>
        <v>0</v>
      </c>
      <c r="Q9" s="33">
        <f t="shared" si="2"/>
        <v>0</v>
      </c>
      <c r="R9" s="41">
        <f t="shared" si="3"/>
        <v>0</v>
      </c>
      <c r="S9" s="35"/>
      <c r="U9" s="65">
        <f aca="true" t="shared" si="80" ref="U9:U35">C9*$V$6</f>
        <v>0</v>
      </c>
      <c r="V9" s="65">
        <f t="shared" si="4"/>
        <v>0</v>
      </c>
      <c r="W9" s="20">
        <f t="shared" si="5"/>
        <v>0</v>
      </c>
      <c r="X9" s="65">
        <f t="shared" si="6"/>
        <v>0</v>
      </c>
      <c r="Y9" s="65"/>
      <c r="AA9" s="65">
        <f aca="true" t="shared" si="81" ref="AA9:AA35">C9*$AB$6</f>
        <v>0</v>
      </c>
      <c r="AB9" s="65">
        <f t="shared" si="7"/>
        <v>0</v>
      </c>
      <c r="AC9" s="20">
        <f t="shared" si="8"/>
        <v>0</v>
      </c>
      <c r="AD9" s="65">
        <f t="shared" si="9"/>
        <v>0</v>
      </c>
      <c r="AE9" s="65"/>
      <c r="AG9" s="33">
        <f aca="true" t="shared" si="82" ref="AG9:AG35">C9*$AH$6</f>
        <v>0</v>
      </c>
      <c r="AH9" s="33">
        <f t="shared" si="10"/>
        <v>0</v>
      </c>
      <c r="AI9" s="33">
        <f t="shared" si="11"/>
        <v>0</v>
      </c>
      <c r="AJ9" s="65">
        <f t="shared" si="12"/>
        <v>0</v>
      </c>
      <c r="AK9" s="65"/>
      <c r="AM9" s="65">
        <f aca="true" t="shared" si="83" ref="AM9:AM35">C9*$AN$6</f>
        <v>0</v>
      </c>
      <c r="AN9" s="65">
        <f t="shared" si="13"/>
        <v>0</v>
      </c>
      <c r="AO9" s="20">
        <f t="shared" si="14"/>
        <v>0</v>
      </c>
      <c r="AP9" s="65">
        <f t="shared" si="15"/>
        <v>0</v>
      </c>
      <c r="AQ9" s="65"/>
      <c r="AS9" s="65">
        <f aca="true" t="shared" si="84" ref="AS9:AS35">C9*$AT$6</f>
        <v>0</v>
      </c>
      <c r="AT9" s="65">
        <f t="shared" si="16"/>
        <v>0</v>
      </c>
      <c r="AU9" s="20">
        <f t="shared" si="17"/>
        <v>0</v>
      </c>
      <c r="AV9" s="65">
        <f t="shared" si="18"/>
        <v>0</v>
      </c>
      <c r="AW9" s="65"/>
      <c r="AX9" s="33"/>
      <c r="AY9" s="65">
        <f aca="true" t="shared" si="85" ref="AY9:AY35">C9*$AZ$6</f>
        <v>0</v>
      </c>
      <c r="AZ9" s="65">
        <f t="shared" si="19"/>
        <v>0</v>
      </c>
      <c r="BA9" s="20">
        <f t="shared" si="20"/>
        <v>0</v>
      </c>
      <c r="BB9" s="65">
        <f t="shared" si="21"/>
        <v>0</v>
      </c>
      <c r="BC9" s="65"/>
      <c r="BD9" s="33"/>
      <c r="BE9" s="51">
        <f aca="true" t="shared" si="86" ref="BE9:BE35">C9*$BF$6</f>
        <v>0</v>
      </c>
      <c r="BF9" s="51">
        <f t="shared" si="22"/>
        <v>0</v>
      </c>
      <c r="BG9" s="33">
        <f t="shared" si="23"/>
        <v>0</v>
      </c>
      <c r="BH9" s="65">
        <f t="shared" si="24"/>
        <v>0</v>
      </c>
      <c r="BI9" s="65"/>
      <c r="BJ9" s="33"/>
      <c r="BK9" s="33">
        <f aca="true" t="shared" si="87" ref="BK9:BK35">C9*$BL$6</f>
        <v>0</v>
      </c>
      <c r="BL9" s="33">
        <f t="shared" si="25"/>
        <v>0</v>
      </c>
      <c r="BM9" s="33">
        <f t="shared" si="26"/>
        <v>0</v>
      </c>
      <c r="BN9" s="65">
        <f t="shared" si="27"/>
        <v>0</v>
      </c>
      <c r="BO9" s="65"/>
      <c r="BP9" s="33"/>
      <c r="BQ9" s="51">
        <f aca="true" t="shared" si="88" ref="BQ9:BQ35">C9*$BR$6</f>
        <v>0</v>
      </c>
      <c r="BR9" s="51">
        <f t="shared" si="28"/>
        <v>0</v>
      </c>
      <c r="BS9" s="33">
        <f t="shared" si="29"/>
        <v>0</v>
      </c>
      <c r="BT9" s="65">
        <f t="shared" si="30"/>
        <v>0</v>
      </c>
      <c r="BU9" s="65"/>
      <c r="BV9" s="33"/>
      <c r="BW9" s="51">
        <f aca="true" t="shared" si="89" ref="BW9:BW35">C9*$BX$6</f>
        <v>0</v>
      </c>
      <c r="BX9" s="51">
        <f t="shared" si="31"/>
        <v>0</v>
      </c>
      <c r="BY9" s="33">
        <f t="shared" si="32"/>
        <v>0</v>
      </c>
      <c r="BZ9" s="65">
        <f t="shared" si="33"/>
        <v>0</v>
      </c>
      <c r="CA9" s="65"/>
      <c r="CB9" s="33"/>
      <c r="CC9" s="51">
        <f aca="true" t="shared" si="90" ref="CC9:CC35">C9*$CD$6</f>
        <v>0</v>
      </c>
      <c r="CD9" s="51">
        <f t="shared" si="34"/>
        <v>0</v>
      </c>
      <c r="CE9" s="33">
        <f t="shared" si="35"/>
        <v>0</v>
      </c>
      <c r="CF9" s="65">
        <f t="shared" si="36"/>
        <v>0</v>
      </c>
      <c r="CG9" s="65"/>
      <c r="CH9" s="33"/>
      <c r="CI9" s="51">
        <f aca="true" t="shared" si="91" ref="CI9:CI35">C9*$CJ$6</f>
        <v>0</v>
      </c>
      <c r="CJ9" s="51">
        <f t="shared" si="37"/>
        <v>0</v>
      </c>
      <c r="CK9" s="33">
        <f t="shared" si="38"/>
        <v>0</v>
      </c>
      <c r="CL9" s="65">
        <f t="shared" si="39"/>
        <v>0</v>
      </c>
      <c r="CM9" s="65"/>
      <c r="CN9" s="33"/>
      <c r="CO9" s="51">
        <f aca="true" t="shared" si="92" ref="CO9:CO35">C9*$CP$6</f>
        <v>0</v>
      </c>
      <c r="CP9" s="51">
        <f t="shared" si="40"/>
        <v>0</v>
      </c>
      <c r="CQ9" s="33">
        <f t="shared" si="41"/>
        <v>0</v>
      </c>
      <c r="CR9" s="65">
        <f t="shared" si="42"/>
        <v>0</v>
      </c>
      <c r="CS9" s="65"/>
      <c r="CT9" s="33"/>
      <c r="CU9" s="33">
        <f aca="true" t="shared" si="93" ref="CU9:CU35">C9*$CV$6</f>
        <v>0</v>
      </c>
      <c r="CV9" s="33">
        <f t="shared" si="43"/>
        <v>0</v>
      </c>
      <c r="CW9" s="33">
        <f t="shared" si="44"/>
        <v>0</v>
      </c>
      <c r="CX9" s="65">
        <f t="shared" si="45"/>
        <v>0</v>
      </c>
      <c r="CY9" s="65"/>
      <c r="CZ9" s="33"/>
      <c r="DA9" s="51">
        <f aca="true" t="shared" si="94" ref="DA9:DA35">C9*$DB$6</f>
        <v>0</v>
      </c>
      <c r="DB9" s="51">
        <f t="shared" si="46"/>
        <v>0</v>
      </c>
      <c r="DC9" s="33">
        <f t="shared" si="47"/>
        <v>0</v>
      </c>
      <c r="DD9" s="65">
        <f t="shared" si="48"/>
        <v>0</v>
      </c>
      <c r="DE9" s="65"/>
      <c r="DF9" s="33"/>
      <c r="DG9" s="51">
        <f aca="true" t="shared" si="95" ref="DG9:DG35">C9*$DH$6</f>
        <v>0</v>
      </c>
      <c r="DH9" s="51">
        <f t="shared" si="49"/>
        <v>0</v>
      </c>
      <c r="DI9" s="33">
        <f t="shared" si="50"/>
        <v>0</v>
      </c>
      <c r="DJ9" s="65">
        <f t="shared" si="51"/>
        <v>0</v>
      </c>
      <c r="DK9" s="65"/>
      <c r="DL9" s="33"/>
      <c r="DM9" s="51">
        <f aca="true" t="shared" si="96" ref="DM9:DM35">C9*$DN$6</f>
        <v>0</v>
      </c>
      <c r="DN9" s="51">
        <f t="shared" si="52"/>
        <v>0</v>
      </c>
      <c r="DO9" s="33">
        <f t="shared" si="53"/>
        <v>0</v>
      </c>
      <c r="DP9" s="65">
        <f t="shared" si="54"/>
        <v>0</v>
      </c>
      <c r="DQ9" s="65"/>
      <c r="DR9" s="33"/>
      <c r="DS9" s="51">
        <f aca="true" t="shared" si="97" ref="DS9:DS35">C9*$DT$6</f>
        <v>0</v>
      </c>
      <c r="DT9" s="51">
        <f t="shared" si="55"/>
        <v>0</v>
      </c>
      <c r="DU9" s="33">
        <f t="shared" si="56"/>
        <v>0</v>
      </c>
      <c r="DV9" s="65">
        <f t="shared" si="57"/>
        <v>0</v>
      </c>
      <c r="DW9" s="65"/>
      <c r="DX9" s="33"/>
      <c r="DY9" s="51">
        <f aca="true" t="shared" si="98" ref="DY9:DY35">C9*$DZ$6</f>
        <v>0</v>
      </c>
      <c r="DZ9" s="51">
        <f t="shared" si="58"/>
        <v>0</v>
      </c>
      <c r="EA9" s="33">
        <f t="shared" si="59"/>
        <v>0</v>
      </c>
      <c r="EB9" s="65">
        <f t="shared" si="60"/>
        <v>0</v>
      </c>
      <c r="EC9" s="65"/>
      <c r="ED9" s="33"/>
      <c r="EE9" s="51">
        <f aca="true" t="shared" si="99" ref="EE9:EE35">C9*$EF$6</f>
        <v>0</v>
      </c>
      <c r="EF9" s="51">
        <f t="shared" si="61"/>
        <v>0</v>
      </c>
      <c r="EG9" s="33">
        <f t="shared" si="62"/>
        <v>0</v>
      </c>
      <c r="EH9" s="65">
        <f t="shared" si="63"/>
        <v>0</v>
      </c>
      <c r="EI9" s="65"/>
      <c r="EJ9" s="33"/>
      <c r="EK9" s="51">
        <f aca="true" t="shared" si="100" ref="EK9:EK35">C9*$EL$6</f>
        <v>0</v>
      </c>
      <c r="EL9" s="51">
        <f t="shared" si="64"/>
        <v>0</v>
      </c>
      <c r="EM9" s="33">
        <f t="shared" si="65"/>
        <v>0</v>
      </c>
      <c r="EN9" s="65">
        <f t="shared" si="66"/>
        <v>0</v>
      </c>
      <c r="EO9" s="65"/>
      <c r="EP9" s="33"/>
      <c r="EQ9" s="51">
        <f aca="true" t="shared" si="101" ref="EQ9:EQ35">C9*$ER$6</f>
        <v>0</v>
      </c>
      <c r="ER9" s="51">
        <f t="shared" si="67"/>
        <v>0</v>
      </c>
      <c r="ES9" s="33">
        <f t="shared" si="68"/>
        <v>0</v>
      </c>
      <c r="ET9" s="65">
        <f t="shared" si="69"/>
        <v>0</v>
      </c>
      <c r="EU9" s="65"/>
      <c r="EV9" s="33"/>
      <c r="EW9" s="51">
        <f aca="true" t="shared" si="102" ref="EW9:EW35">C9*$EX$6</f>
        <v>0</v>
      </c>
      <c r="EX9" s="51">
        <f t="shared" si="70"/>
        <v>0</v>
      </c>
      <c r="EY9" s="33">
        <f t="shared" si="71"/>
        <v>0</v>
      </c>
      <c r="EZ9" s="65">
        <f t="shared" si="72"/>
        <v>0</v>
      </c>
      <c r="FA9" s="65"/>
      <c r="FB9" s="33"/>
      <c r="FC9" s="33">
        <f aca="true" t="shared" si="103" ref="FC9:FC35">C9*$FD$6</f>
        <v>0</v>
      </c>
      <c r="FD9" s="33">
        <f t="shared" si="73"/>
        <v>0</v>
      </c>
      <c r="FE9" s="33">
        <f t="shared" si="74"/>
        <v>0</v>
      </c>
      <c r="FF9" s="65">
        <f t="shared" si="75"/>
        <v>0</v>
      </c>
      <c r="FG9" s="65"/>
      <c r="FH9" s="33"/>
      <c r="FI9" s="51">
        <f aca="true" t="shared" si="104" ref="FI9:FI35">C9*$FJ$6</f>
        <v>0</v>
      </c>
      <c r="FJ9" s="51">
        <f t="shared" si="76"/>
        <v>0</v>
      </c>
      <c r="FK9" s="33">
        <f t="shared" si="77"/>
        <v>0</v>
      </c>
      <c r="FL9" s="65">
        <f t="shared" si="78"/>
        <v>0</v>
      </c>
      <c r="FM9" s="65"/>
      <c r="FN9" s="33"/>
      <c r="FO9" s="33"/>
      <c r="FP9" s="33"/>
      <c r="FQ9" s="33"/>
    </row>
    <row r="10" spans="1:173" ht="12.75">
      <c r="A10" s="19">
        <v>42644</v>
      </c>
      <c r="D10" s="35">
        <v>250937</v>
      </c>
      <c r="E10" s="35">
        <f t="shared" si="0"/>
        <v>250937</v>
      </c>
      <c r="F10" s="35">
        <f>167518+3</f>
        <v>167521</v>
      </c>
      <c r="G10" s="35">
        <v>90321</v>
      </c>
      <c r="I10" s="51">
        <f>'2016B Academic'!I10</f>
        <v>0</v>
      </c>
      <c r="J10" s="51">
        <f>'2016B Academic'!J10</f>
        <v>80689.67062949999</v>
      </c>
      <c r="K10" s="51">
        <f t="shared" si="79"/>
        <v>80689.67062949999</v>
      </c>
      <c r="L10" s="51">
        <f>'2016B Academic'!L10</f>
        <v>53866.963873500004</v>
      </c>
      <c r="M10" s="51">
        <f>'2016B Academic'!M10</f>
        <v>29043.0336735</v>
      </c>
      <c r="O10" s="51"/>
      <c r="P10" s="41">
        <f t="shared" si="1"/>
        <v>170247.32937050003</v>
      </c>
      <c r="Q10" s="33">
        <f t="shared" si="2"/>
        <v>170247.32937050003</v>
      </c>
      <c r="R10" s="41">
        <f t="shared" si="3"/>
        <v>113654.03612649998</v>
      </c>
      <c r="S10" s="41">
        <f t="shared" si="3"/>
        <v>61277.9663265</v>
      </c>
      <c r="U10" s="65"/>
      <c r="V10" s="65">
        <f t="shared" si="4"/>
        <v>13805.6754605</v>
      </c>
      <c r="W10" s="20">
        <f t="shared" si="5"/>
        <v>13805.6754605</v>
      </c>
      <c r="X10" s="65">
        <f t="shared" si="6"/>
        <v>9216.4190965</v>
      </c>
      <c r="Y10" s="65">
        <f>V$6*$G10</f>
        <v>4969.1452965</v>
      </c>
      <c r="AA10" s="65"/>
      <c r="AB10" s="65">
        <f t="shared" si="7"/>
        <v>16853.7570121</v>
      </c>
      <c r="AC10" s="20">
        <f t="shared" si="8"/>
        <v>16853.7570121</v>
      </c>
      <c r="AD10" s="65">
        <f t="shared" si="9"/>
        <v>11251.2631793</v>
      </c>
      <c r="AE10" s="65">
        <f>AB$6*$G10</f>
        <v>6066.2564193</v>
      </c>
      <c r="AH10" s="33">
        <f t="shared" si="10"/>
        <v>61.7054083</v>
      </c>
      <c r="AI10" s="33">
        <f t="shared" si="11"/>
        <v>61.7054083</v>
      </c>
      <c r="AJ10" s="65">
        <f t="shared" si="12"/>
        <v>41.1934139</v>
      </c>
      <c r="AK10" s="65">
        <f>AH$6*$G10</f>
        <v>22.209933900000003</v>
      </c>
      <c r="AM10" s="65"/>
      <c r="AN10" s="65">
        <f t="shared" si="13"/>
        <v>3642.6265857000003</v>
      </c>
      <c r="AO10" s="20">
        <f t="shared" si="14"/>
        <v>3642.6265857000003</v>
      </c>
      <c r="AP10" s="65">
        <f t="shared" si="15"/>
        <v>2431.7515881</v>
      </c>
      <c r="AQ10" s="65">
        <f>AN$6*$G10</f>
        <v>1311.1086681000002</v>
      </c>
      <c r="AS10" s="65"/>
      <c r="AT10" s="65">
        <f t="shared" si="16"/>
        <v>16760.7095725</v>
      </c>
      <c r="AU10" s="20">
        <f t="shared" si="17"/>
        <v>16760.7095725</v>
      </c>
      <c r="AV10" s="65">
        <f t="shared" si="18"/>
        <v>11189.1463925</v>
      </c>
      <c r="AW10" s="65">
        <f>AT$6*$G10</f>
        <v>6032.7653925</v>
      </c>
      <c r="AX10" s="33"/>
      <c r="AY10" s="65"/>
      <c r="AZ10" s="65">
        <f t="shared" si="19"/>
        <v>2642.2662352</v>
      </c>
      <c r="BA10" s="20">
        <f t="shared" si="20"/>
        <v>2642.2662352</v>
      </c>
      <c r="BB10" s="65">
        <f t="shared" si="21"/>
        <v>1763.9291216</v>
      </c>
      <c r="BC10" s="65">
        <f>AZ$6*$G10</f>
        <v>951.0440016</v>
      </c>
      <c r="BD10" s="33"/>
      <c r="BE10" s="51"/>
      <c r="BF10" s="51">
        <f t="shared" si="22"/>
        <v>146.7730513</v>
      </c>
      <c r="BG10" s="33">
        <f t="shared" si="23"/>
        <v>146.7730513</v>
      </c>
      <c r="BH10" s="65">
        <f t="shared" si="24"/>
        <v>97.9830329</v>
      </c>
      <c r="BI10" s="65">
        <f>BF$6*$G10</f>
        <v>52.8287529</v>
      </c>
      <c r="BJ10" s="33"/>
      <c r="BK10" s="33"/>
      <c r="BL10" s="33">
        <f t="shared" si="25"/>
        <v>1690.6378501</v>
      </c>
      <c r="BM10" s="33">
        <f t="shared" si="26"/>
        <v>1690.6378501</v>
      </c>
      <c r="BN10" s="65">
        <f t="shared" si="27"/>
        <v>1128.6392333</v>
      </c>
      <c r="BO10" s="65">
        <f>BL$6*$G10</f>
        <v>608.5196733</v>
      </c>
      <c r="BP10" s="33"/>
      <c r="BQ10" s="51"/>
      <c r="BR10" s="51">
        <f t="shared" si="28"/>
        <v>2363.4752282</v>
      </c>
      <c r="BS10" s="33">
        <f t="shared" si="29"/>
        <v>2363.4752282</v>
      </c>
      <c r="BT10" s="65">
        <f t="shared" si="30"/>
        <v>1577.8132905999998</v>
      </c>
      <c r="BU10" s="65">
        <f>BR$6*$G10</f>
        <v>850.6973705999999</v>
      </c>
      <c r="BV10" s="33"/>
      <c r="BW10" s="51"/>
      <c r="BX10" s="51">
        <f t="shared" si="31"/>
        <v>330.6345912</v>
      </c>
      <c r="BY10" s="33">
        <f t="shared" si="32"/>
        <v>330.6345912</v>
      </c>
      <c r="BZ10" s="65">
        <f t="shared" si="33"/>
        <v>220.72566959999997</v>
      </c>
      <c r="CA10" s="65">
        <f>BX$6*$G10</f>
        <v>119.0069496</v>
      </c>
      <c r="CB10" s="33"/>
      <c r="CC10" s="51"/>
      <c r="CD10" s="51">
        <f t="shared" si="34"/>
        <v>1717.6135775999999</v>
      </c>
      <c r="CE10" s="33">
        <f t="shared" si="35"/>
        <v>1717.6135775999999</v>
      </c>
      <c r="CF10" s="65">
        <f t="shared" si="36"/>
        <v>1146.6477408</v>
      </c>
      <c r="CG10" s="65">
        <f>CD$6*$G10</f>
        <v>618.2291808</v>
      </c>
      <c r="CH10" s="33"/>
      <c r="CI10" s="51"/>
      <c r="CJ10" s="51">
        <f t="shared" si="37"/>
        <v>97.61449300000001</v>
      </c>
      <c r="CK10" s="33">
        <f t="shared" si="38"/>
        <v>97.61449300000001</v>
      </c>
      <c r="CL10" s="65">
        <f t="shared" si="39"/>
        <v>65.16566900000001</v>
      </c>
      <c r="CM10" s="65">
        <f>CJ$6*$G10</f>
        <v>35.134869</v>
      </c>
      <c r="CN10" s="33"/>
      <c r="CO10" s="51"/>
      <c r="CP10" s="51">
        <f t="shared" si="40"/>
        <v>345.0132813</v>
      </c>
      <c r="CQ10" s="33">
        <f t="shared" si="41"/>
        <v>345.0132813</v>
      </c>
      <c r="CR10" s="65">
        <f t="shared" si="42"/>
        <v>230.3246229</v>
      </c>
      <c r="CS10" s="65">
        <f>CP$6*$G10</f>
        <v>124.18234290000001</v>
      </c>
      <c r="CT10" s="33"/>
      <c r="CU10" s="33"/>
      <c r="CV10" s="33">
        <f t="shared" si="43"/>
        <v>1254.1078449</v>
      </c>
      <c r="CW10" s="33">
        <f t="shared" si="44"/>
        <v>1254.1078449</v>
      </c>
      <c r="CX10" s="65">
        <f t="shared" si="45"/>
        <v>837.2197017</v>
      </c>
      <c r="CY10" s="65">
        <f>CV$6*$G10</f>
        <v>451.3972617</v>
      </c>
      <c r="CZ10" s="33"/>
      <c r="DA10" s="51"/>
      <c r="DB10" s="51">
        <f t="shared" si="46"/>
        <v>8564.3794352</v>
      </c>
      <c r="DC10" s="33">
        <f t="shared" si="47"/>
        <v>8564.3794352</v>
      </c>
      <c r="DD10" s="65">
        <f t="shared" si="48"/>
        <v>5717.4247216</v>
      </c>
      <c r="DE10" s="65">
        <f>DB$6*$G10</f>
        <v>3082.6196016000004</v>
      </c>
      <c r="DF10" s="33"/>
      <c r="DG10" s="51"/>
      <c r="DH10" s="51">
        <f t="shared" si="49"/>
        <v>35445.1272807</v>
      </c>
      <c r="DI10" s="33">
        <f t="shared" si="50"/>
        <v>35445.1272807</v>
      </c>
      <c r="DJ10" s="65">
        <f t="shared" si="51"/>
        <v>23662.525523099997</v>
      </c>
      <c r="DK10" s="65">
        <f>DH$6*$G10</f>
        <v>12757.9406031</v>
      </c>
      <c r="DL10" s="33"/>
      <c r="DM10" s="51"/>
      <c r="DN10" s="51">
        <f t="shared" si="52"/>
        <v>6516.0308916</v>
      </c>
      <c r="DO10" s="33">
        <f t="shared" si="53"/>
        <v>6516.0308916</v>
      </c>
      <c r="DP10" s="65">
        <f t="shared" si="54"/>
        <v>4349.9843028000005</v>
      </c>
      <c r="DQ10" s="65">
        <f>DN$6*$G10</f>
        <v>2345.3473428</v>
      </c>
      <c r="DR10" s="33"/>
      <c r="DS10" s="51"/>
      <c r="DT10" s="51">
        <f t="shared" si="55"/>
        <v>22308.776080300002</v>
      </c>
      <c r="DU10" s="33">
        <f t="shared" si="56"/>
        <v>22308.776080300002</v>
      </c>
      <c r="DV10" s="65">
        <f t="shared" si="57"/>
        <v>14892.935189900001</v>
      </c>
      <c r="DW10" s="65">
        <f>DT$6*$G10</f>
        <v>8029.7085099000005</v>
      </c>
      <c r="DX10" s="33"/>
      <c r="DY10" s="51"/>
      <c r="DZ10" s="51">
        <f t="shared" si="58"/>
        <v>4756.3853665</v>
      </c>
      <c r="EA10" s="33">
        <f t="shared" si="59"/>
        <v>4756.3853665</v>
      </c>
      <c r="EB10" s="65">
        <f t="shared" si="60"/>
        <v>3175.2767945</v>
      </c>
      <c r="EC10" s="65">
        <f>DZ$6*$G10</f>
        <v>1711.9893945</v>
      </c>
      <c r="ED10" s="33"/>
      <c r="EE10" s="51"/>
      <c r="EF10" s="51">
        <f t="shared" si="61"/>
        <v>387.4969154</v>
      </c>
      <c r="EG10" s="33">
        <f t="shared" si="62"/>
        <v>387.4969154</v>
      </c>
      <c r="EH10" s="65">
        <f t="shared" si="63"/>
        <v>258.6859282</v>
      </c>
      <c r="EI10" s="65">
        <f>EF$6*$G10</f>
        <v>139.4736882</v>
      </c>
      <c r="EJ10" s="33"/>
      <c r="EK10" s="51"/>
      <c r="EL10" s="51">
        <f t="shared" si="64"/>
        <v>462.15067289999996</v>
      </c>
      <c r="EM10" s="33">
        <f t="shared" si="65"/>
        <v>462.15067289999996</v>
      </c>
      <c r="EN10" s="65">
        <f t="shared" si="66"/>
        <v>308.52342569999996</v>
      </c>
      <c r="EO10" s="65">
        <f>EL$6*$G10</f>
        <v>166.3441857</v>
      </c>
      <c r="EP10" s="33"/>
      <c r="EQ10" s="51"/>
      <c r="ER10" s="51">
        <f t="shared" si="67"/>
        <v>942.5695594</v>
      </c>
      <c r="ES10" s="33">
        <f t="shared" si="68"/>
        <v>942.5695594</v>
      </c>
      <c r="ET10" s="65">
        <f t="shared" si="69"/>
        <v>629.2423802</v>
      </c>
      <c r="EU10" s="65">
        <f>ER$6*$G10</f>
        <v>339.2637402</v>
      </c>
      <c r="EV10" s="33"/>
      <c r="EW10" s="51"/>
      <c r="EX10" s="51">
        <f t="shared" si="70"/>
        <v>25980.4109832</v>
      </c>
      <c r="EY10" s="33">
        <f t="shared" si="71"/>
        <v>25980.4109832</v>
      </c>
      <c r="EZ10" s="65">
        <f t="shared" si="72"/>
        <v>17344.0522056</v>
      </c>
      <c r="FA10" s="65">
        <f>EX$6*$G10</f>
        <v>9351.2582856</v>
      </c>
      <c r="FB10" s="33"/>
      <c r="FC10" s="33"/>
      <c r="FD10" s="33">
        <f t="shared" si="73"/>
        <v>1009.017677</v>
      </c>
      <c r="FE10" s="33">
        <f t="shared" si="74"/>
        <v>1009.017677</v>
      </c>
      <c r="FF10" s="65">
        <f t="shared" si="75"/>
        <v>673.601941</v>
      </c>
      <c r="FG10" s="65">
        <f>FD$6*$G10</f>
        <v>363.180741</v>
      </c>
      <c r="FH10" s="33"/>
      <c r="FI10" s="51"/>
      <c r="FJ10" s="51">
        <f t="shared" si="76"/>
        <v>2162.3743164</v>
      </c>
      <c r="FK10" s="33">
        <f t="shared" si="77"/>
        <v>2162.3743164</v>
      </c>
      <c r="FL10" s="65">
        <f t="shared" si="78"/>
        <v>1443.5619612</v>
      </c>
      <c r="FM10" s="65">
        <f>FJ$6*$G10</f>
        <v>778.3141212</v>
      </c>
      <c r="FN10" s="33"/>
      <c r="FO10" s="33"/>
      <c r="FP10" s="33"/>
      <c r="FQ10" s="33"/>
    </row>
    <row r="11" spans="1:173" ht="12.75">
      <c r="A11" s="19">
        <v>42826</v>
      </c>
      <c r="D11" s="35">
        <v>202550</v>
      </c>
      <c r="E11" s="35">
        <f t="shared" si="0"/>
        <v>202550</v>
      </c>
      <c r="F11" s="35">
        <v>167518</v>
      </c>
      <c r="G11" s="35">
        <v>90321</v>
      </c>
      <c r="I11" s="51">
        <f>'2016B Academic'!I11</f>
        <v>0</v>
      </c>
      <c r="J11" s="51">
        <f>'2016B Academic'!J11</f>
        <v>65130.661425</v>
      </c>
      <c r="K11" s="51">
        <f t="shared" si="79"/>
        <v>65130.661425</v>
      </c>
      <c r="L11" s="51">
        <f>'2016B Academic'!L11</f>
        <v>53865.999213</v>
      </c>
      <c r="M11" s="51">
        <f>'2016B Academic'!M11</f>
        <v>29043.0336735</v>
      </c>
      <c r="O11" s="51">
        <f>U11+AA11+AG11+AM11+AS11+AY11+BE11+BK11+BQ11+CC11+CO11+CU11+DA11+DG11+DM11+EK11+EQ11+EW11+FC11+FI11+FO11+BW11+CI11+DS11+DY11+EE11</f>
        <v>0</v>
      </c>
      <c r="P11" s="41">
        <f t="shared" si="1"/>
        <v>137419.33857500003</v>
      </c>
      <c r="Q11" s="33">
        <f t="shared" si="2"/>
        <v>137419.33857500003</v>
      </c>
      <c r="R11" s="41">
        <f t="shared" si="3"/>
        <v>113652.00078700003</v>
      </c>
      <c r="S11" s="41">
        <f t="shared" si="3"/>
        <v>61277.9663265</v>
      </c>
      <c r="U11" s="65">
        <f t="shared" si="80"/>
        <v>0</v>
      </c>
      <c r="V11" s="65">
        <f t="shared" si="4"/>
        <v>11143.592075</v>
      </c>
      <c r="W11" s="20">
        <f t="shared" si="5"/>
        <v>11143.592075</v>
      </c>
      <c r="X11" s="65">
        <f t="shared" si="6"/>
        <v>9216.254047</v>
      </c>
      <c r="Y11" s="65">
        <f aca="true" t="shared" si="105" ref="Y11:Y21">V$6*$G11</f>
        <v>4969.1452965</v>
      </c>
      <c r="AA11" s="65">
        <f t="shared" si="81"/>
        <v>0</v>
      </c>
      <c r="AB11" s="65">
        <f t="shared" si="7"/>
        <v>13603.926415</v>
      </c>
      <c r="AC11" s="20">
        <f t="shared" si="8"/>
        <v>13603.926415</v>
      </c>
      <c r="AD11" s="65">
        <f t="shared" si="9"/>
        <v>11251.0616894</v>
      </c>
      <c r="AE11" s="65">
        <f aca="true" t="shared" si="106" ref="AE11:AE21">AB$6*$G11</f>
        <v>6066.2564193</v>
      </c>
      <c r="AG11" s="33">
        <f t="shared" si="82"/>
        <v>0</v>
      </c>
      <c r="AH11" s="33">
        <f t="shared" si="10"/>
        <v>49.807045</v>
      </c>
      <c r="AI11" s="33">
        <f t="shared" si="11"/>
        <v>49.807045</v>
      </c>
      <c r="AJ11" s="65">
        <f t="shared" si="12"/>
        <v>41.1926762</v>
      </c>
      <c r="AK11" s="65">
        <f aca="true" t="shared" si="107" ref="AK11:AK21">AH$6*$G11</f>
        <v>22.209933900000003</v>
      </c>
      <c r="AM11" s="65">
        <f t="shared" si="83"/>
        <v>0</v>
      </c>
      <c r="AN11" s="65">
        <f t="shared" si="13"/>
        <v>2940.2360550000003</v>
      </c>
      <c r="AO11" s="20">
        <f t="shared" si="14"/>
        <v>2940.2360550000003</v>
      </c>
      <c r="AP11" s="65">
        <f t="shared" si="15"/>
        <v>2431.7080398000003</v>
      </c>
      <c r="AQ11" s="65">
        <f aca="true" t="shared" si="108" ref="AQ11:AQ21">AN$6*$G11</f>
        <v>1311.1086681000002</v>
      </c>
      <c r="AS11" s="65">
        <f t="shared" si="84"/>
        <v>0</v>
      </c>
      <c r="AT11" s="65">
        <f t="shared" si="16"/>
        <v>13528.820875000001</v>
      </c>
      <c r="AU11" s="20">
        <f t="shared" si="17"/>
        <v>13528.820875000001</v>
      </c>
      <c r="AV11" s="65">
        <f t="shared" si="18"/>
        <v>11188.946015000001</v>
      </c>
      <c r="AW11" s="65">
        <f aca="true" t="shared" si="109" ref="AW11:AW21">AT$6*$G11</f>
        <v>6032.7653925</v>
      </c>
      <c r="AX11" s="33"/>
      <c r="AY11" s="65">
        <f t="shared" si="85"/>
        <v>0</v>
      </c>
      <c r="AZ11" s="65">
        <f t="shared" si="19"/>
        <v>2132.77048</v>
      </c>
      <c r="BA11" s="20">
        <f t="shared" si="20"/>
        <v>2132.77048</v>
      </c>
      <c r="BB11" s="65">
        <f t="shared" si="21"/>
        <v>1763.8975328</v>
      </c>
      <c r="BC11" s="65">
        <f aca="true" t="shared" si="110" ref="BC11:BC21">AZ$6*$G11</f>
        <v>951.0440016</v>
      </c>
      <c r="BD11" s="33"/>
      <c r="BE11" s="51">
        <f t="shared" si="86"/>
        <v>0</v>
      </c>
      <c r="BF11" s="51">
        <f t="shared" si="22"/>
        <v>118.47149499999999</v>
      </c>
      <c r="BG11" s="33">
        <f t="shared" si="23"/>
        <v>118.47149499999999</v>
      </c>
      <c r="BH11" s="65">
        <f t="shared" si="24"/>
        <v>97.98127819999999</v>
      </c>
      <c r="BI11" s="65">
        <f aca="true" t="shared" si="111" ref="BI11:BI21">BF$6*$G11</f>
        <v>52.8287529</v>
      </c>
      <c r="BJ11" s="33"/>
      <c r="BK11" s="33">
        <f t="shared" si="87"/>
        <v>0</v>
      </c>
      <c r="BL11" s="33">
        <f t="shared" si="25"/>
        <v>1364.640115</v>
      </c>
      <c r="BM11" s="33">
        <f t="shared" si="26"/>
        <v>1364.640115</v>
      </c>
      <c r="BN11" s="65">
        <f t="shared" si="27"/>
        <v>1128.6190214</v>
      </c>
      <c r="BO11" s="65">
        <f aca="true" t="shared" si="112" ref="BO11:BO21">BL$6*$G11</f>
        <v>608.5196733</v>
      </c>
      <c r="BP11" s="33"/>
      <c r="BQ11" s="51">
        <f t="shared" si="88"/>
        <v>0</v>
      </c>
      <c r="BR11" s="51">
        <f t="shared" si="28"/>
        <v>1907.73743</v>
      </c>
      <c r="BS11" s="33">
        <f t="shared" si="29"/>
        <v>1907.73743</v>
      </c>
      <c r="BT11" s="65">
        <f t="shared" si="30"/>
        <v>1577.7850348</v>
      </c>
      <c r="BU11" s="65">
        <f aca="true" t="shared" si="113" ref="BU11:BU21">BR$6*$G11</f>
        <v>850.6973705999999</v>
      </c>
      <c r="BV11" s="33"/>
      <c r="BW11" s="51">
        <f t="shared" si="89"/>
        <v>0</v>
      </c>
      <c r="BX11" s="51">
        <f t="shared" si="31"/>
        <v>266.87988</v>
      </c>
      <c r="BY11" s="33">
        <f t="shared" si="32"/>
        <v>266.87988</v>
      </c>
      <c r="BZ11" s="65">
        <f t="shared" si="33"/>
        <v>220.7217168</v>
      </c>
      <c r="CA11" s="65">
        <f aca="true" t="shared" si="114" ref="CA11:CA21">BX$6*$G11</f>
        <v>119.0069496</v>
      </c>
      <c r="CB11" s="33"/>
      <c r="CC11" s="51">
        <f t="shared" si="90"/>
        <v>0</v>
      </c>
      <c r="CD11" s="51">
        <f t="shared" si="34"/>
        <v>1386.41424</v>
      </c>
      <c r="CE11" s="33">
        <f t="shared" si="35"/>
        <v>1386.41424</v>
      </c>
      <c r="CF11" s="65">
        <f t="shared" si="36"/>
        <v>1146.6272064</v>
      </c>
      <c r="CG11" s="65">
        <f aca="true" t="shared" si="115" ref="CG11:CG21">CD$6*$G11</f>
        <v>618.2291808</v>
      </c>
      <c r="CH11" s="33"/>
      <c r="CI11" s="51">
        <f t="shared" si="91"/>
        <v>0</v>
      </c>
      <c r="CJ11" s="51">
        <f t="shared" si="37"/>
        <v>78.79195</v>
      </c>
      <c r="CK11" s="33">
        <f t="shared" si="38"/>
        <v>78.79195</v>
      </c>
      <c r="CL11" s="65">
        <f t="shared" si="39"/>
        <v>65.164502</v>
      </c>
      <c r="CM11" s="65">
        <f aca="true" t="shared" si="116" ref="CM11:CM21">CJ$6*$G11</f>
        <v>35.134869</v>
      </c>
      <c r="CN11" s="33"/>
      <c r="CO11" s="51">
        <f t="shared" si="92"/>
        <v>0</v>
      </c>
      <c r="CP11" s="51">
        <f t="shared" si="40"/>
        <v>278.485995</v>
      </c>
      <c r="CQ11" s="33">
        <f t="shared" si="41"/>
        <v>278.485995</v>
      </c>
      <c r="CR11" s="65">
        <f t="shared" si="42"/>
        <v>230.3204982</v>
      </c>
      <c r="CS11" s="65">
        <f aca="true" t="shared" si="117" ref="CS11:CS21">CP$6*$G11</f>
        <v>124.18234290000001</v>
      </c>
      <c r="CT11" s="33"/>
      <c r="CU11" s="33">
        <f t="shared" si="93"/>
        <v>0</v>
      </c>
      <c r="CV11" s="33">
        <f t="shared" si="43"/>
        <v>1012.284135</v>
      </c>
      <c r="CW11" s="33">
        <f t="shared" si="44"/>
        <v>1012.284135</v>
      </c>
      <c r="CX11" s="65">
        <f t="shared" si="45"/>
        <v>837.2047086</v>
      </c>
      <c r="CY11" s="65">
        <f aca="true" t="shared" si="118" ref="CY11:CY21">CV$6*$G11</f>
        <v>451.3972617</v>
      </c>
      <c r="CZ11" s="33"/>
      <c r="DA11" s="51">
        <f t="shared" si="94"/>
        <v>0</v>
      </c>
      <c r="DB11" s="51">
        <f t="shared" si="46"/>
        <v>6912.95048</v>
      </c>
      <c r="DC11" s="33">
        <f t="shared" si="47"/>
        <v>6912.95048</v>
      </c>
      <c r="DD11" s="65">
        <f t="shared" si="48"/>
        <v>5717.3223328</v>
      </c>
      <c r="DE11" s="65">
        <f aca="true" t="shared" si="119" ref="DE11:DE21">DB$6*$G11</f>
        <v>3082.6196016000004</v>
      </c>
      <c r="DF11" s="33"/>
      <c r="DG11" s="51">
        <f t="shared" si="95"/>
        <v>0</v>
      </c>
      <c r="DH11" s="51">
        <f t="shared" si="49"/>
        <v>28610.410304999998</v>
      </c>
      <c r="DI11" s="33">
        <f t="shared" si="50"/>
        <v>28610.410304999998</v>
      </c>
      <c r="DJ11" s="65">
        <f t="shared" si="51"/>
        <v>23662.1017698</v>
      </c>
      <c r="DK11" s="65">
        <f aca="true" t="shared" si="120" ref="DK11:DK21">DH$6*$G11</f>
        <v>12757.9406031</v>
      </c>
      <c r="DL11" s="33"/>
      <c r="DM11" s="51">
        <f t="shared" si="96"/>
        <v>0</v>
      </c>
      <c r="DN11" s="51">
        <f t="shared" si="52"/>
        <v>5259.57534</v>
      </c>
      <c r="DO11" s="33">
        <f t="shared" si="53"/>
        <v>5259.57534</v>
      </c>
      <c r="DP11" s="65">
        <f t="shared" si="54"/>
        <v>4349.9064024</v>
      </c>
      <c r="DQ11" s="65">
        <f aca="true" t="shared" si="121" ref="DQ11:DQ21">DN$6*$G11</f>
        <v>2345.3473428</v>
      </c>
      <c r="DR11" s="33"/>
      <c r="DS11" s="51">
        <f t="shared" si="97"/>
        <v>0</v>
      </c>
      <c r="DT11" s="51">
        <f t="shared" si="55"/>
        <v>18007.079845</v>
      </c>
      <c r="DU11" s="33">
        <f t="shared" si="56"/>
        <v>18007.079845</v>
      </c>
      <c r="DV11" s="65">
        <f t="shared" si="57"/>
        <v>14892.668484200001</v>
      </c>
      <c r="DW11" s="65">
        <f aca="true" t="shared" si="122" ref="DW11:DW21">DT$6*$G11</f>
        <v>8029.7085099000005</v>
      </c>
      <c r="DX11" s="33"/>
      <c r="DY11" s="51">
        <f t="shared" si="98"/>
        <v>0</v>
      </c>
      <c r="DZ11" s="51">
        <f t="shared" si="58"/>
        <v>3839.2339749999996</v>
      </c>
      <c r="EA11" s="33">
        <f t="shared" si="59"/>
        <v>3839.2339749999996</v>
      </c>
      <c r="EB11" s="65">
        <f t="shared" si="60"/>
        <v>3175.2199309999996</v>
      </c>
      <c r="EC11" s="65">
        <f aca="true" t="shared" si="123" ref="EC11:EC21">DZ$6*$G11</f>
        <v>1711.9893945</v>
      </c>
      <c r="ED11" s="33"/>
      <c r="EE11" s="51">
        <f t="shared" si="99"/>
        <v>0</v>
      </c>
      <c r="EF11" s="51">
        <f t="shared" si="61"/>
        <v>312.77770999999996</v>
      </c>
      <c r="EG11" s="33">
        <f t="shared" si="62"/>
        <v>312.77770999999996</v>
      </c>
      <c r="EH11" s="65">
        <f t="shared" si="63"/>
        <v>258.6812956</v>
      </c>
      <c r="EI11" s="65">
        <f aca="true" t="shared" si="124" ref="EI11:EI21">EF$6*$G11</f>
        <v>139.4736882</v>
      </c>
      <c r="EJ11" s="33"/>
      <c r="EK11" s="51">
        <f t="shared" si="100"/>
        <v>0</v>
      </c>
      <c r="EL11" s="51">
        <f t="shared" si="64"/>
        <v>373.036335</v>
      </c>
      <c r="EM11" s="33">
        <f t="shared" si="65"/>
        <v>373.036335</v>
      </c>
      <c r="EN11" s="65">
        <f t="shared" si="66"/>
        <v>308.51790059999996</v>
      </c>
      <c r="EO11" s="65">
        <f aca="true" t="shared" si="125" ref="EO11:EO21">EL$6*$G11</f>
        <v>166.3441857</v>
      </c>
      <c r="EP11" s="33"/>
      <c r="EQ11" s="51">
        <f t="shared" si="101"/>
        <v>0</v>
      </c>
      <c r="ER11" s="51">
        <f t="shared" si="67"/>
        <v>760.81831</v>
      </c>
      <c r="ES11" s="33">
        <f t="shared" si="68"/>
        <v>760.81831</v>
      </c>
      <c r="ET11" s="65">
        <f t="shared" si="69"/>
        <v>629.2311116</v>
      </c>
      <c r="EU11" s="65">
        <f aca="true" t="shared" si="126" ref="EU11:EU21">ER$6*$G11</f>
        <v>339.2637402</v>
      </c>
      <c r="EV11" s="33"/>
      <c r="EW11" s="51">
        <f t="shared" si="102"/>
        <v>0</v>
      </c>
      <c r="EX11" s="51">
        <f t="shared" si="70"/>
        <v>20970.73068</v>
      </c>
      <c r="EY11" s="33">
        <f t="shared" si="71"/>
        <v>20970.73068</v>
      </c>
      <c r="EZ11" s="65">
        <f t="shared" si="72"/>
        <v>17343.7416048</v>
      </c>
      <c r="FA11" s="65">
        <f aca="true" t="shared" si="127" ref="FA11:FA21">EX$6*$G11</f>
        <v>9351.2582856</v>
      </c>
      <c r="FB11" s="33"/>
      <c r="FC11" s="33">
        <f t="shared" si="103"/>
        <v>0</v>
      </c>
      <c r="FD11" s="33">
        <f t="shared" si="73"/>
        <v>814.4535500000001</v>
      </c>
      <c r="FE11" s="33">
        <f t="shared" si="74"/>
        <v>814.4535500000001</v>
      </c>
      <c r="FF11" s="65">
        <f t="shared" si="75"/>
        <v>673.589878</v>
      </c>
      <c r="FG11" s="65">
        <f aca="true" t="shared" si="128" ref="FG11:FG21">FD$6*$G11</f>
        <v>363.180741</v>
      </c>
      <c r="FH11" s="33"/>
      <c r="FI11" s="51">
        <f t="shared" si="104"/>
        <v>0</v>
      </c>
      <c r="FJ11" s="51">
        <f t="shared" si="76"/>
        <v>1745.41386</v>
      </c>
      <c r="FK11" s="33">
        <f t="shared" si="77"/>
        <v>1745.41386</v>
      </c>
      <c r="FL11" s="65">
        <f t="shared" si="78"/>
        <v>1443.5361096000001</v>
      </c>
      <c r="FM11" s="65">
        <f aca="true" t="shared" si="129" ref="FM11:FM21">FJ$6*$G11</f>
        <v>778.3141212</v>
      </c>
      <c r="FN11" s="33"/>
      <c r="FO11" s="33"/>
      <c r="FP11" s="33"/>
      <c r="FQ11" s="33"/>
    </row>
    <row r="12" spans="1:173" ht="12.75">
      <c r="A12" s="19">
        <v>43009</v>
      </c>
      <c r="B12" s="27"/>
      <c r="D12" s="35">
        <v>202550</v>
      </c>
      <c r="E12" s="35">
        <f t="shared" si="0"/>
        <v>202550</v>
      </c>
      <c r="F12" s="35">
        <v>167518</v>
      </c>
      <c r="G12" s="35">
        <v>90321</v>
      </c>
      <c r="I12" s="51">
        <f>'2016B Academic'!I12</f>
        <v>0</v>
      </c>
      <c r="J12" s="51">
        <f>'2016B Academic'!J12</f>
        <v>65130.661425</v>
      </c>
      <c r="K12" s="51">
        <f t="shared" si="79"/>
        <v>65130.661425</v>
      </c>
      <c r="L12" s="51">
        <f>'2016B Academic'!L12</f>
        <v>53865.999213</v>
      </c>
      <c r="M12" s="51">
        <f>'2016B Academic'!M12</f>
        <v>29043.0336735</v>
      </c>
      <c r="O12" s="51"/>
      <c r="P12" s="41">
        <f t="shared" si="1"/>
        <v>137419.33857500003</v>
      </c>
      <c r="Q12" s="33">
        <f t="shared" si="2"/>
        <v>137419.33857500003</v>
      </c>
      <c r="R12" s="41">
        <f t="shared" si="3"/>
        <v>113652.00078700003</v>
      </c>
      <c r="S12" s="41">
        <f t="shared" si="3"/>
        <v>61277.9663265</v>
      </c>
      <c r="U12" s="65"/>
      <c r="V12" s="65">
        <f t="shared" si="4"/>
        <v>11143.592075</v>
      </c>
      <c r="W12" s="20">
        <f t="shared" si="5"/>
        <v>11143.592075</v>
      </c>
      <c r="X12" s="65">
        <f t="shared" si="6"/>
        <v>9216.254047</v>
      </c>
      <c r="Y12" s="65">
        <f t="shared" si="105"/>
        <v>4969.1452965</v>
      </c>
      <c r="AA12" s="65"/>
      <c r="AB12" s="65">
        <f t="shared" si="7"/>
        <v>13603.926415</v>
      </c>
      <c r="AC12" s="20">
        <f t="shared" si="8"/>
        <v>13603.926415</v>
      </c>
      <c r="AD12" s="65">
        <f t="shared" si="9"/>
        <v>11251.0616894</v>
      </c>
      <c r="AE12" s="65">
        <f t="shared" si="106"/>
        <v>6066.2564193</v>
      </c>
      <c r="AH12" s="33">
        <f t="shared" si="10"/>
        <v>49.807045</v>
      </c>
      <c r="AI12" s="33">
        <f t="shared" si="11"/>
        <v>49.807045</v>
      </c>
      <c r="AJ12" s="65">
        <f t="shared" si="12"/>
        <v>41.1926762</v>
      </c>
      <c r="AK12" s="65">
        <f t="shared" si="107"/>
        <v>22.209933900000003</v>
      </c>
      <c r="AM12" s="65"/>
      <c r="AN12" s="65">
        <f t="shared" si="13"/>
        <v>2940.2360550000003</v>
      </c>
      <c r="AO12" s="20">
        <f t="shared" si="14"/>
        <v>2940.2360550000003</v>
      </c>
      <c r="AP12" s="65">
        <f t="shared" si="15"/>
        <v>2431.7080398000003</v>
      </c>
      <c r="AQ12" s="65">
        <f t="shared" si="108"/>
        <v>1311.1086681000002</v>
      </c>
      <c r="AS12" s="65"/>
      <c r="AT12" s="65">
        <f t="shared" si="16"/>
        <v>13528.820875000001</v>
      </c>
      <c r="AU12" s="20">
        <f t="shared" si="17"/>
        <v>13528.820875000001</v>
      </c>
      <c r="AV12" s="65">
        <f t="shared" si="18"/>
        <v>11188.946015000001</v>
      </c>
      <c r="AW12" s="65">
        <f t="shared" si="109"/>
        <v>6032.7653925</v>
      </c>
      <c r="AX12" s="33"/>
      <c r="AY12" s="65"/>
      <c r="AZ12" s="65">
        <f t="shared" si="19"/>
        <v>2132.77048</v>
      </c>
      <c r="BA12" s="20">
        <f t="shared" si="20"/>
        <v>2132.77048</v>
      </c>
      <c r="BB12" s="65">
        <f t="shared" si="21"/>
        <v>1763.8975328</v>
      </c>
      <c r="BC12" s="65">
        <f t="shared" si="110"/>
        <v>951.0440016</v>
      </c>
      <c r="BD12" s="33"/>
      <c r="BE12" s="51"/>
      <c r="BF12" s="51">
        <f t="shared" si="22"/>
        <v>118.47149499999999</v>
      </c>
      <c r="BG12" s="33">
        <f t="shared" si="23"/>
        <v>118.47149499999999</v>
      </c>
      <c r="BH12" s="65">
        <f t="shared" si="24"/>
        <v>97.98127819999999</v>
      </c>
      <c r="BI12" s="65">
        <f t="shared" si="111"/>
        <v>52.8287529</v>
      </c>
      <c r="BJ12" s="33"/>
      <c r="BK12" s="33"/>
      <c r="BL12" s="33">
        <f t="shared" si="25"/>
        <v>1364.640115</v>
      </c>
      <c r="BM12" s="33">
        <f t="shared" si="26"/>
        <v>1364.640115</v>
      </c>
      <c r="BN12" s="65">
        <f t="shared" si="27"/>
        <v>1128.6190214</v>
      </c>
      <c r="BO12" s="65">
        <f t="shared" si="112"/>
        <v>608.5196733</v>
      </c>
      <c r="BP12" s="33"/>
      <c r="BQ12" s="51"/>
      <c r="BR12" s="51">
        <f t="shared" si="28"/>
        <v>1907.73743</v>
      </c>
      <c r="BS12" s="33">
        <f t="shared" si="29"/>
        <v>1907.73743</v>
      </c>
      <c r="BT12" s="65">
        <f t="shared" si="30"/>
        <v>1577.7850348</v>
      </c>
      <c r="BU12" s="65">
        <f t="shared" si="113"/>
        <v>850.6973705999999</v>
      </c>
      <c r="BV12" s="33"/>
      <c r="BW12" s="51"/>
      <c r="BX12" s="51">
        <f t="shared" si="31"/>
        <v>266.87988</v>
      </c>
      <c r="BY12" s="33">
        <f t="shared" si="32"/>
        <v>266.87988</v>
      </c>
      <c r="BZ12" s="65">
        <f t="shared" si="33"/>
        <v>220.7217168</v>
      </c>
      <c r="CA12" s="65">
        <f t="shared" si="114"/>
        <v>119.0069496</v>
      </c>
      <c r="CB12" s="33"/>
      <c r="CC12" s="51"/>
      <c r="CD12" s="51">
        <f t="shared" si="34"/>
        <v>1386.41424</v>
      </c>
      <c r="CE12" s="33">
        <f t="shared" si="35"/>
        <v>1386.41424</v>
      </c>
      <c r="CF12" s="65">
        <f t="shared" si="36"/>
        <v>1146.6272064</v>
      </c>
      <c r="CG12" s="65">
        <f t="shared" si="115"/>
        <v>618.2291808</v>
      </c>
      <c r="CH12" s="33"/>
      <c r="CI12" s="51"/>
      <c r="CJ12" s="51">
        <f t="shared" si="37"/>
        <v>78.79195</v>
      </c>
      <c r="CK12" s="33">
        <f t="shared" si="38"/>
        <v>78.79195</v>
      </c>
      <c r="CL12" s="65">
        <f t="shared" si="39"/>
        <v>65.164502</v>
      </c>
      <c r="CM12" s="65">
        <f t="shared" si="116"/>
        <v>35.134869</v>
      </c>
      <c r="CN12" s="33"/>
      <c r="CO12" s="51"/>
      <c r="CP12" s="51">
        <f t="shared" si="40"/>
        <v>278.485995</v>
      </c>
      <c r="CQ12" s="33">
        <f t="shared" si="41"/>
        <v>278.485995</v>
      </c>
      <c r="CR12" s="65">
        <f t="shared" si="42"/>
        <v>230.3204982</v>
      </c>
      <c r="CS12" s="65">
        <f t="shared" si="117"/>
        <v>124.18234290000001</v>
      </c>
      <c r="CT12" s="33"/>
      <c r="CU12" s="33"/>
      <c r="CV12" s="33">
        <f t="shared" si="43"/>
        <v>1012.284135</v>
      </c>
      <c r="CW12" s="33">
        <f t="shared" si="44"/>
        <v>1012.284135</v>
      </c>
      <c r="CX12" s="65">
        <f t="shared" si="45"/>
        <v>837.2047086</v>
      </c>
      <c r="CY12" s="65">
        <f t="shared" si="118"/>
        <v>451.3972617</v>
      </c>
      <c r="CZ12" s="33"/>
      <c r="DA12" s="51"/>
      <c r="DB12" s="51">
        <f t="shared" si="46"/>
        <v>6912.95048</v>
      </c>
      <c r="DC12" s="33">
        <f t="shared" si="47"/>
        <v>6912.95048</v>
      </c>
      <c r="DD12" s="65">
        <f t="shared" si="48"/>
        <v>5717.3223328</v>
      </c>
      <c r="DE12" s="65">
        <f t="shared" si="119"/>
        <v>3082.6196016000004</v>
      </c>
      <c r="DF12" s="33"/>
      <c r="DG12" s="51"/>
      <c r="DH12" s="51">
        <f t="shared" si="49"/>
        <v>28610.410304999998</v>
      </c>
      <c r="DI12" s="33">
        <f t="shared" si="50"/>
        <v>28610.410304999998</v>
      </c>
      <c r="DJ12" s="65">
        <f t="shared" si="51"/>
        <v>23662.1017698</v>
      </c>
      <c r="DK12" s="65">
        <f t="shared" si="120"/>
        <v>12757.9406031</v>
      </c>
      <c r="DL12" s="33"/>
      <c r="DM12" s="51"/>
      <c r="DN12" s="51">
        <f t="shared" si="52"/>
        <v>5259.57534</v>
      </c>
      <c r="DO12" s="33">
        <f t="shared" si="53"/>
        <v>5259.57534</v>
      </c>
      <c r="DP12" s="65">
        <f t="shared" si="54"/>
        <v>4349.9064024</v>
      </c>
      <c r="DQ12" s="65">
        <f t="shared" si="121"/>
        <v>2345.3473428</v>
      </c>
      <c r="DR12" s="33"/>
      <c r="DS12" s="51"/>
      <c r="DT12" s="51">
        <f t="shared" si="55"/>
        <v>18007.079845</v>
      </c>
      <c r="DU12" s="33">
        <f t="shared" si="56"/>
        <v>18007.079845</v>
      </c>
      <c r="DV12" s="65">
        <f t="shared" si="57"/>
        <v>14892.668484200001</v>
      </c>
      <c r="DW12" s="65">
        <f t="shared" si="122"/>
        <v>8029.7085099000005</v>
      </c>
      <c r="DX12" s="33"/>
      <c r="DY12" s="51"/>
      <c r="DZ12" s="51">
        <f t="shared" si="58"/>
        <v>3839.2339749999996</v>
      </c>
      <c r="EA12" s="33">
        <f t="shared" si="59"/>
        <v>3839.2339749999996</v>
      </c>
      <c r="EB12" s="65">
        <f t="shared" si="60"/>
        <v>3175.2199309999996</v>
      </c>
      <c r="EC12" s="65">
        <f t="shared" si="123"/>
        <v>1711.9893945</v>
      </c>
      <c r="ED12" s="33"/>
      <c r="EE12" s="51"/>
      <c r="EF12" s="51">
        <f t="shared" si="61"/>
        <v>312.77770999999996</v>
      </c>
      <c r="EG12" s="33">
        <f t="shared" si="62"/>
        <v>312.77770999999996</v>
      </c>
      <c r="EH12" s="65">
        <f t="shared" si="63"/>
        <v>258.6812956</v>
      </c>
      <c r="EI12" s="65">
        <f t="shared" si="124"/>
        <v>139.4736882</v>
      </c>
      <c r="EJ12" s="33"/>
      <c r="EK12" s="51"/>
      <c r="EL12" s="51">
        <f t="shared" si="64"/>
        <v>373.036335</v>
      </c>
      <c r="EM12" s="33">
        <f t="shared" si="65"/>
        <v>373.036335</v>
      </c>
      <c r="EN12" s="65">
        <f t="shared" si="66"/>
        <v>308.51790059999996</v>
      </c>
      <c r="EO12" s="65">
        <f t="shared" si="125"/>
        <v>166.3441857</v>
      </c>
      <c r="EP12" s="33"/>
      <c r="EQ12" s="51"/>
      <c r="ER12" s="51">
        <f t="shared" si="67"/>
        <v>760.81831</v>
      </c>
      <c r="ES12" s="33">
        <f t="shared" si="68"/>
        <v>760.81831</v>
      </c>
      <c r="ET12" s="65">
        <f t="shared" si="69"/>
        <v>629.2311116</v>
      </c>
      <c r="EU12" s="65">
        <f t="shared" si="126"/>
        <v>339.2637402</v>
      </c>
      <c r="EV12" s="33"/>
      <c r="EW12" s="51"/>
      <c r="EX12" s="51">
        <f t="shared" si="70"/>
        <v>20970.73068</v>
      </c>
      <c r="EY12" s="33">
        <f t="shared" si="71"/>
        <v>20970.73068</v>
      </c>
      <c r="EZ12" s="65">
        <f t="shared" si="72"/>
        <v>17343.7416048</v>
      </c>
      <c r="FA12" s="65">
        <f t="shared" si="127"/>
        <v>9351.2582856</v>
      </c>
      <c r="FB12" s="33"/>
      <c r="FC12" s="33"/>
      <c r="FD12" s="33">
        <f t="shared" si="73"/>
        <v>814.4535500000001</v>
      </c>
      <c r="FE12" s="33">
        <f t="shared" si="74"/>
        <v>814.4535500000001</v>
      </c>
      <c r="FF12" s="65">
        <f t="shared" si="75"/>
        <v>673.589878</v>
      </c>
      <c r="FG12" s="65">
        <f t="shared" si="128"/>
        <v>363.180741</v>
      </c>
      <c r="FH12" s="33"/>
      <c r="FI12" s="51"/>
      <c r="FJ12" s="51">
        <f t="shared" si="76"/>
        <v>1745.41386</v>
      </c>
      <c r="FK12" s="33">
        <f t="shared" si="77"/>
        <v>1745.41386</v>
      </c>
      <c r="FL12" s="65">
        <f t="shared" si="78"/>
        <v>1443.5361096000001</v>
      </c>
      <c r="FM12" s="65">
        <f t="shared" si="129"/>
        <v>778.3141212</v>
      </c>
      <c r="FN12" s="33"/>
      <c r="FO12" s="33"/>
      <c r="FP12" s="33"/>
      <c r="FQ12" s="33"/>
    </row>
    <row r="13" spans="1:173" ht="12.75">
      <c r="A13" s="19">
        <v>43191</v>
      </c>
      <c r="D13" s="35">
        <v>202550</v>
      </c>
      <c r="E13" s="35">
        <f t="shared" si="0"/>
        <v>202550</v>
      </c>
      <c r="F13" s="35">
        <v>167518</v>
      </c>
      <c r="G13" s="35">
        <v>90321</v>
      </c>
      <c r="I13" s="51">
        <f>'2016B Academic'!I13</f>
        <v>0</v>
      </c>
      <c r="J13" s="51">
        <f>'2016B Academic'!J13</f>
        <v>65130.661425</v>
      </c>
      <c r="K13" s="51">
        <f t="shared" si="79"/>
        <v>65130.661425</v>
      </c>
      <c r="L13" s="51">
        <f>'2016B Academic'!L13</f>
        <v>53865.999213</v>
      </c>
      <c r="M13" s="51">
        <f>'2016B Academic'!M13</f>
        <v>29043.0336735</v>
      </c>
      <c r="O13" s="51">
        <f>U13+AA13+AG13+AM13+AS13+AY13+BE13+BK13+BQ13+CC13+CO13+CU13+DA13+DG13+DM13+EK13+EQ13+EW13+FC13+FI13+FO13+BW13+CI13+DS13+DY13+EE13</f>
        <v>0</v>
      </c>
      <c r="P13" s="41">
        <f t="shared" si="1"/>
        <v>137419.33857500003</v>
      </c>
      <c r="Q13" s="33">
        <f t="shared" si="2"/>
        <v>137419.33857500003</v>
      </c>
      <c r="R13" s="41">
        <f t="shared" si="3"/>
        <v>113652.00078700003</v>
      </c>
      <c r="S13" s="41">
        <f t="shared" si="3"/>
        <v>61277.9663265</v>
      </c>
      <c r="U13" s="65">
        <f t="shared" si="80"/>
        <v>0</v>
      </c>
      <c r="V13" s="65">
        <f t="shared" si="4"/>
        <v>11143.592075</v>
      </c>
      <c r="W13" s="20">
        <f t="shared" si="5"/>
        <v>11143.592075</v>
      </c>
      <c r="X13" s="65">
        <f t="shared" si="6"/>
        <v>9216.254047</v>
      </c>
      <c r="Y13" s="65">
        <f t="shared" si="105"/>
        <v>4969.1452965</v>
      </c>
      <c r="AA13" s="65">
        <f t="shared" si="81"/>
        <v>0</v>
      </c>
      <c r="AB13" s="65">
        <f t="shared" si="7"/>
        <v>13603.926415</v>
      </c>
      <c r="AC13" s="20">
        <f t="shared" si="8"/>
        <v>13603.926415</v>
      </c>
      <c r="AD13" s="65">
        <f t="shared" si="9"/>
        <v>11251.0616894</v>
      </c>
      <c r="AE13" s="65">
        <f t="shared" si="106"/>
        <v>6066.2564193</v>
      </c>
      <c r="AG13" s="33">
        <f t="shared" si="82"/>
        <v>0</v>
      </c>
      <c r="AH13" s="33">
        <f t="shared" si="10"/>
        <v>49.807045</v>
      </c>
      <c r="AI13" s="33">
        <f t="shared" si="11"/>
        <v>49.807045</v>
      </c>
      <c r="AJ13" s="65">
        <f t="shared" si="12"/>
        <v>41.1926762</v>
      </c>
      <c r="AK13" s="65">
        <f t="shared" si="107"/>
        <v>22.209933900000003</v>
      </c>
      <c r="AM13" s="65">
        <f t="shared" si="83"/>
        <v>0</v>
      </c>
      <c r="AN13" s="65">
        <f t="shared" si="13"/>
        <v>2940.2360550000003</v>
      </c>
      <c r="AO13" s="20">
        <f t="shared" si="14"/>
        <v>2940.2360550000003</v>
      </c>
      <c r="AP13" s="65">
        <f t="shared" si="15"/>
        <v>2431.7080398000003</v>
      </c>
      <c r="AQ13" s="65">
        <f t="shared" si="108"/>
        <v>1311.1086681000002</v>
      </c>
      <c r="AS13" s="65">
        <f t="shared" si="84"/>
        <v>0</v>
      </c>
      <c r="AT13" s="65">
        <f t="shared" si="16"/>
        <v>13528.820875000001</v>
      </c>
      <c r="AU13" s="20">
        <f t="shared" si="17"/>
        <v>13528.820875000001</v>
      </c>
      <c r="AV13" s="65">
        <f t="shared" si="18"/>
        <v>11188.946015000001</v>
      </c>
      <c r="AW13" s="65">
        <f t="shared" si="109"/>
        <v>6032.7653925</v>
      </c>
      <c r="AX13" s="33"/>
      <c r="AY13" s="65">
        <f t="shared" si="85"/>
        <v>0</v>
      </c>
      <c r="AZ13" s="65">
        <f t="shared" si="19"/>
        <v>2132.77048</v>
      </c>
      <c r="BA13" s="20">
        <f t="shared" si="20"/>
        <v>2132.77048</v>
      </c>
      <c r="BB13" s="65">
        <f t="shared" si="21"/>
        <v>1763.8975328</v>
      </c>
      <c r="BC13" s="65">
        <f t="shared" si="110"/>
        <v>951.0440016</v>
      </c>
      <c r="BD13" s="33"/>
      <c r="BE13" s="51">
        <f t="shared" si="86"/>
        <v>0</v>
      </c>
      <c r="BF13" s="51">
        <f t="shared" si="22"/>
        <v>118.47149499999999</v>
      </c>
      <c r="BG13" s="33">
        <f t="shared" si="23"/>
        <v>118.47149499999999</v>
      </c>
      <c r="BH13" s="65">
        <f t="shared" si="24"/>
        <v>97.98127819999999</v>
      </c>
      <c r="BI13" s="65">
        <f t="shared" si="111"/>
        <v>52.8287529</v>
      </c>
      <c r="BJ13" s="33"/>
      <c r="BK13" s="33">
        <f t="shared" si="87"/>
        <v>0</v>
      </c>
      <c r="BL13" s="33">
        <f t="shared" si="25"/>
        <v>1364.640115</v>
      </c>
      <c r="BM13" s="33">
        <f t="shared" si="26"/>
        <v>1364.640115</v>
      </c>
      <c r="BN13" s="65">
        <f t="shared" si="27"/>
        <v>1128.6190214</v>
      </c>
      <c r="BO13" s="65">
        <f t="shared" si="112"/>
        <v>608.5196733</v>
      </c>
      <c r="BP13" s="33"/>
      <c r="BQ13" s="51">
        <f t="shared" si="88"/>
        <v>0</v>
      </c>
      <c r="BR13" s="51">
        <f t="shared" si="28"/>
        <v>1907.73743</v>
      </c>
      <c r="BS13" s="33">
        <f t="shared" si="29"/>
        <v>1907.73743</v>
      </c>
      <c r="BT13" s="65">
        <f t="shared" si="30"/>
        <v>1577.7850348</v>
      </c>
      <c r="BU13" s="65">
        <f t="shared" si="113"/>
        <v>850.6973705999999</v>
      </c>
      <c r="BV13" s="33"/>
      <c r="BW13" s="51">
        <f t="shared" si="89"/>
        <v>0</v>
      </c>
      <c r="BX13" s="51">
        <f t="shared" si="31"/>
        <v>266.87988</v>
      </c>
      <c r="BY13" s="33">
        <f t="shared" si="32"/>
        <v>266.87988</v>
      </c>
      <c r="BZ13" s="65">
        <f t="shared" si="33"/>
        <v>220.7217168</v>
      </c>
      <c r="CA13" s="65">
        <f t="shared" si="114"/>
        <v>119.0069496</v>
      </c>
      <c r="CB13" s="33"/>
      <c r="CC13" s="51">
        <f t="shared" si="90"/>
        <v>0</v>
      </c>
      <c r="CD13" s="51">
        <f t="shared" si="34"/>
        <v>1386.41424</v>
      </c>
      <c r="CE13" s="33">
        <f t="shared" si="35"/>
        <v>1386.41424</v>
      </c>
      <c r="CF13" s="65">
        <f t="shared" si="36"/>
        <v>1146.6272064</v>
      </c>
      <c r="CG13" s="65">
        <f t="shared" si="115"/>
        <v>618.2291808</v>
      </c>
      <c r="CH13" s="33"/>
      <c r="CI13" s="51">
        <f t="shared" si="91"/>
        <v>0</v>
      </c>
      <c r="CJ13" s="51">
        <f t="shared" si="37"/>
        <v>78.79195</v>
      </c>
      <c r="CK13" s="33">
        <f t="shared" si="38"/>
        <v>78.79195</v>
      </c>
      <c r="CL13" s="65">
        <f t="shared" si="39"/>
        <v>65.164502</v>
      </c>
      <c r="CM13" s="65">
        <f t="shared" si="116"/>
        <v>35.134869</v>
      </c>
      <c r="CN13" s="33"/>
      <c r="CO13" s="51">
        <f t="shared" si="92"/>
        <v>0</v>
      </c>
      <c r="CP13" s="51">
        <f t="shared" si="40"/>
        <v>278.485995</v>
      </c>
      <c r="CQ13" s="33">
        <f t="shared" si="41"/>
        <v>278.485995</v>
      </c>
      <c r="CR13" s="65">
        <f t="shared" si="42"/>
        <v>230.3204982</v>
      </c>
      <c r="CS13" s="65">
        <f t="shared" si="117"/>
        <v>124.18234290000001</v>
      </c>
      <c r="CT13" s="33"/>
      <c r="CU13" s="33">
        <f t="shared" si="93"/>
        <v>0</v>
      </c>
      <c r="CV13" s="33">
        <f t="shared" si="43"/>
        <v>1012.284135</v>
      </c>
      <c r="CW13" s="33">
        <f t="shared" si="44"/>
        <v>1012.284135</v>
      </c>
      <c r="CX13" s="65">
        <f t="shared" si="45"/>
        <v>837.2047086</v>
      </c>
      <c r="CY13" s="65">
        <f t="shared" si="118"/>
        <v>451.3972617</v>
      </c>
      <c r="CZ13" s="33"/>
      <c r="DA13" s="51">
        <f t="shared" si="94"/>
        <v>0</v>
      </c>
      <c r="DB13" s="51">
        <f t="shared" si="46"/>
        <v>6912.95048</v>
      </c>
      <c r="DC13" s="33">
        <f t="shared" si="47"/>
        <v>6912.95048</v>
      </c>
      <c r="DD13" s="65">
        <f t="shared" si="48"/>
        <v>5717.3223328</v>
      </c>
      <c r="DE13" s="65">
        <f t="shared" si="119"/>
        <v>3082.6196016000004</v>
      </c>
      <c r="DF13" s="33"/>
      <c r="DG13" s="51">
        <f t="shared" si="95"/>
        <v>0</v>
      </c>
      <c r="DH13" s="51">
        <f t="shared" si="49"/>
        <v>28610.410304999998</v>
      </c>
      <c r="DI13" s="33">
        <f t="shared" si="50"/>
        <v>28610.410304999998</v>
      </c>
      <c r="DJ13" s="65">
        <f t="shared" si="51"/>
        <v>23662.1017698</v>
      </c>
      <c r="DK13" s="65">
        <f t="shared" si="120"/>
        <v>12757.9406031</v>
      </c>
      <c r="DL13" s="33"/>
      <c r="DM13" s="51">
        <f t="shared" si="96"/>
        <v>0</v>
      </c>
      <c r="DN13" s="51">
        <f t="shared" si="52"/>
        <v>5259.57534</v>
      </c>
      <c r="DO13" s="33">
        <f t="shared" si="53"/>
        <v>5259.57534</v>
      </c>
      <c r="DP13" s="65">
        <f t="shared" si="54"/>
        <v>4349.9064024</v>
      </c>
      <c r="DQ13" s="65">
        <f t="shared" si="121"/>
        <v>2345.3473428</v>
      </c>
      <c r="DR13" s="33"/>
      <c r="DS13" s="51">
        <f t="shared" si="97"/>
        <v>0</v>
      </c>
      <c r="DT13" s="51">
        <f t="shared" si="55"/>
        <v>18007.079845</v>
      </c>
      <c r="DU13" s="33">
        <f t="shared" si="56"/>
        <v>18007.079845</v>
      </c>
      <c r="DV13" s="65">
        <f t="shared" si="57"/>
        <v>14892.668484200001</v>
      </c>
      <c r="DW13" s="65">
        <f t="shared" si="122"/>
        <v>8029.7085099000005</v>
      </c>
      <c r="DX13" s="33"/>
      <c r="DY13" s="51">
        <f t="shared" si="98"/>
        <v>0</v>
      </c>
      <c r="DZ13" s="51">
        <f t="shared" si="58"/>
        <v>3839.2339749999996</v>
      </c>
      <c r="EA13" s="33">
        <f t="shared" si="59"/>
        <v>3839.2339749999996</v>
      </c>
      <c r="EB13" s="65">
        <f t="shared" si="60"/>
        <v>3175.2199309999996</v>
      </c>
      <c r="EC13" s="65">
        <f t="shared" si="123"/>
        <v>1711.9893945</v>
      </c>
      <c r="ED13" s="33"/>
      <c r="EE13" s="51">
        <f t="shared" si="99"/>
        <v>0</v>
      </c>
      <c r="EF13" s="51">
        <f t="shared" si="61"/>
        <v>312.77770999999996</v>
      </c>
      <c r="EG13" s="33">
        <f t="shared" si="62"/>
        <v>312.77770999999996</v>
      </c>
      <c r="EH13" s="65">
        <f t="shared" si="63"/>
        <v>258.6812956</v>
      </c>
      <c r="EI13" s="65">
        <f t="shared" si="124"/>
        <v>139.4736882</v>
      </c>
      <c r="EJ13" s="33"/>
      <c r="EK13" s="51">
        <f t="shared" si="100"/>
        <v>0</v>
      </c>
      <c r="EL13" s="51">
        <f t="shared" si="64"/>
        <v>373.036335</v>
      </c>
      <c r="EM13" s="33">
        <f t="shared" si="65"/>
        <v>373.036335</v>
      </c>
      <c r="EN13" s="65">
        <f t="shared" si="66"/>
        <v>308.51790059999996</v>
      </c>
      <c r="EO13" s="65">
        <f t="shared" si="125"/>
        <v>166.3441857</v>
      </c>
      <c r="EP13" s="33"/>
      <c r="EQ13" s="51">
        <f t="shared" si="101"/>
        <v>0</v>
      </c>
      <c r="ER13" s="51">
        <f t="shared" si="67"/>
        <v>760.81831</v>
      </c>
      <c r="ES13" s="33">
        <f t="shared" si="68"/>
        <v>760.81831</v>
      </c>
      <c r="ET13" s="65">
        <f t="shared" si="69"/>
        <v>629.2311116</v>
      </c>
      <c r="EU13" s="65">
        <f t="shared" si="126"/>
        <v>339.2637402</v>
      </c>
      <c r="EV13" s="33"/>
      <c r="EW13" s="51">
        <f t="shared" si="102"/>
        <v>0</v>
      </c>
      <c r="EX13" s="51">
        <f t="shared" si="70"/>
        <v>20970.73068</v>
      </c>
      <c r="EY13" s="33">
        <f t="shared" si="71"/>
        <v>20970.73068</v>
      </c>
      <c r="EZ13" s="65">
        <f t="shared" si="72"/>
        <v>17343.7416048</v>
      </c>
      <c r="FA13" s="65">
        <f t="shared" si="127"/>
        <v>9351.2582856</v>
      </c>
      <c r="FB13" s="33"/>
      <c r="FC13" s="33">
        <f t="shared" si="103"/>
        <v>0</v>
      </c>
      <c r="FD13" s="33">
        <f t="shared" si="73"/>
        <v>814.4535500000001</v>
      </c>
      <c r="FE13" s="33">
        <f t="shared" si="74"/>
        <v>814.4535500000001</v>
      </c>
      <c r="FF13" s="65">
        <f t="shared" si="75"/>
        <v>673.589878</v>
      </c>
      <c r="FG13" s="65">
        <f t="shared" si="128"/>
        <v>363.180741</v>
      </c>
      <c r="FH13" s="33"/>
      <c r="FI13" s="51">
        <f t="shared" si="104"/>
        <v>0</v>
      </c>
      <c r="FJ13" s="51">
        <f t="shared" si="76"/>
        <v>1745.41386</v>
      </c>
      <c r="FK13" s="33">
        <f t="shared" si="77"/>
        <v>1745.41386</v>
      </c>
      <c r="FL13" s="65">
        <f t="shared" si="78"/>
        <v>1443.5361096000001</v>
      </c>
      <c r="FM13" s="65">
        <f t="shared" si="129"/>
        <v>778.3141212</v>
      </c>
      <c r="FN13" s="33"/>
      <c r="FO13" s="33"/>
      <c r="FP13" s="33"/>
      <c r="FQ13" s="33"/>
    </row>
    <row r="14" spans="1:173" ht="12.75">
      <c r="A14" s="19">
        <v>43374</v>
      </c>
      <c r="D14" s="35">
        <v>202550</v>
      </c>
      <c r="E14" s="35">
        <f t="shared" si="0"/>
        <v>202550</v>
      </c>
      <c r="F14" s="35">
        <v>167518</v>
      </c>
      <c r="G14" s="35">
        <v>90321</v>
      </c>
      <c r="I14" s="51">
        <f>'2016B Academic'!I14</f>
        <v>0</v>
      </c>
      <c r="J14" s="51">
        <f>'2016B Academic'!J14</f>
        <v>65130.661425</v>
      </c>
      <c r="K14" s="51">
        <f t="shared" si="79"/>
        <v>65130.661425</v>
      </c>
      <c r="L14" s="51">
        <f>'2016B Academic'!L14</f>
        <v>53865.999213</v>
      </c>
      <c r="M14" s="51">
        <f>'2016B Academic'!M14</f>
        <v>29043.0336735</v>
      </c>
      <c r="O14" s="51"/>
      <c r="P14" s="41">
        <f t="shared" si="1"/>
        <v>137419.33857500003</v>
      </c>
      <c r="Q14" s="33">
        <f t="shared" si="2"/>
        <v>137419.33857500003</v>
      </c>
      <c r="R14" s="41">
        <f t="shared" si="3"/>
        <v>113652.00078700003</v>
      </c>
      <c r="S14" s="41">
        <f t="shared" si="3"/>
        <v>61277.9663265</v>
      </c>
      <c r="U14" s="65"/>
      <c r="V14" s="65">
        <f t="shared" si="4"/>
        <v>11143.592075</v>
      </c>
      <c r="W14" s="20">
        <f t="shared" si="5"/>
        <v>11143.592075</v>
      </c>
      <c r="X14" s="65">
        <f t="shared" si="6"/>
        <v>9216.254047</v>
      </c>
      <c r="Y14" s="65">
        <f t="shared" si="105"/>
        <v>4969.1452965</v>
      </c>
      <c r="AA14" s="65"/>
      <c r="AB14" s="65">
        <f t="shared" si="7"/>
        <v>13603.926415</v>
      </c>
      <c r="AC14" s="20">
        <f t="shared" si="8"/>
        <v>13603.926415</v>
      </c>
      <c r="AD14" s="65">
        <f t="shared" si="9"/>
        <v>11251.0616894</v>
      </c>
      <c r="AE14" s="65">
        <f t="shared" si="106"/>
        <v>6066.2564193</v>
      </c>
      <c r="AH14" s="33">
        <f t="shared" si="10"/>
        <v>49.807045</v>
      </c>
      <c r="AI14" s="33">
        <f t="shared" si="11"/>
        <v>49.807045</v>
      </c>
      <c r="AJ14" s="65">
        <f t="shared" si="12"/>
        <v>41.1926762</v>
      </c>
      <c r="AK14" s="65">
        <f t="shared" si="107"/>
        <v>22.209933900000003</v>
      </c>
      <c r="AM14" s="65"/>
      <c r="AN14" s="65">
        <f t="shared" si="13"/>
        <v>2940.2360550000003</v>
      </c>
      <c r="AO14" s="20">
        <f t="shared" si="14"/>
        <v>2940.2360550000003</v>
      </c>
      <c r="AP14" s="65">
        <f t="shared" si="15"/>
        <v>2431.7080398000003</v>
      </c>
      <c r="AQ14" s="65">
        <f t="shared" si="108"/>
        <v>1311.1086681000002</v>
      </c>
      <c r="AS14" s="65"/>
      <c r="AT14" s="65">
        <f t="shared" si="16"/>
        <v>13528.820875000001</v>
      </c>
      <c r="AU14" s="20">
        <f t="shared" si="17"/>
        <v>13528.820875000001</v>
      </c>
      <c r="AV14" s="65">
        <f t="shared" si="18"/>
        <v>11188.946015000001</v>
      </c>
      <c r="AW14" s="65">
        <f t="shared" si="109"/>
        <v>6032.7653925</v>
      </c>
      <c r="AX14" s="33"/>
      <c r="AY14" s="65"/>
      <c r="AZ14" s="65">
        <f t="shared" si="19"/>
        <v>2132.77048</v>
      </c>
      <c r="BA14" s="20">
        <f t="shared" si="20"/>
        <v>2132.77048</v>
      </c>
      <c r="BB14" s="65">
        <f t="shared" si="21"/>
        <v>1763.8975328</v>
      </c>
      <c r="BC14" s="65">
        <f t="shared" si="110"/>
        <v>951.0440016</v>
      </c>
      <c r="BD14" s="33"/>
      <c r="BE14" s="51"/>
      <c r="BF14" s="51">
        <f t="shared" si="22"/>
        <v>118.47149499999999</v>
      </c>
      <c r="BG14" s="33">
        <f t="shared" si="23"/>
        <v>118.47149499999999</v>
      </c>
      <c r="BH14" s="65">
        <f t="shared" si="24"/>
        <v>97.98127819999999</v>
      </c>
      <c r="BI14" s="65">
        <f t="shared" si="111"/>
        <v>52.8287529</v>
      </c>
      <c r="BJ14" s="33"/>
      <c r="BK14" s="33"/>
      <c r="BL14" s="33">
        <f t="shared" si="25"/>
        <v>1364.640115</v>
      </c>
      <c r="BM14" s="33">
        <f t="shared" si="26"/>
        <v>1364.640115</v>
      </c>
      <c r="BN14" s="65">
        <f t="shared" si="27"/>
        <v>1128.6190214</v>
      </c>
      <c r="BO14" s="65">
        <f t="shared" si="112"/>
        <v>608.5196733</v>
      </c>
      <c r="BP14" s="33"/>
      <c r="BQ14" s="51"/>
      <c r="BR14" s="51">
        <f t="shared" si="28"/>
        <v>1907.73743</v>
      </c>
      <c r="BS14" s="33">
        <f t="shared" si="29"/>
        <v>1907.73743</v>
      </c>
      <c r="BT14" s="65">
        <f t="shared" si="30"/>
        <v>1577.7850348</v>
      </c>
      <c r="BU14" s="65">
        <f t="shared" si="113"/>
        <v>850.6973705999999</v>
      </c>
      <c r="BV14" s="33"/>
      <c r="BW14" s="51"/>
      <c r="BX14" s="51">
        <f t="shared" si="31"/>
        <v>266.87988</v>
      </c>
      <c r="BY14" s="33">
        <f t="shared" si="32"/>
        <v>266.87988</v>
      </c>
      <c r="BZ14" s="65">
        <f t="shared" si="33"/>
        <v>220.7217168</v>
      </c>
      <c r="CA14" s="65">
        <f t="shared" si="114"/>
        <v>119.0069496</v>
      </c>
      <c r="CB14" s="33"/>
      <c r="CC14" s="51"/>
      <c r="CD14" s="51">
        <f t="shared" si="34"/>
        <v>1386.41424</v>
      </c>
      <c r="CE14" s="33">
        <f t="shared" si="35"/>
        <v>1386.41424</v>
      </c>
      <c r="CF14" s="65">
        <f t="shared" si="36"/>
        <v>1146.6272064</v>
      </c>
      <c r="CG14" s="65">
        <f t="shared" si="115"/>
        <v>618.2291808</v>
      </c>
      <c r="CH14" s="33"/>
      <c r="CI14" s="51"/>
      <c r="CJ14" s="51">
        <f t="shared" si="37"/>
        <v>78.79195</v>
      </c>
      <c r="CK14" s="33">
        <f t="shared" si="38"/>
        <v>78.79195</v>
      </c>
      <c r="CL14" s="65">
        <f t="shared" si="39"/>
        <v>65.164502</v>
      </c>
      <c r="CM14" s="65">
        <f t="shared" si="116"/>
        <v>35.134869</v>
      </c>
      <c r="CN14" s="33"/>
      <c r="CO14" s="51"/>
      <c r="CP14" s="51">
        <f t="shared" si="40"/>
        <v>278.485995</v>
      </c>
      <c r="CQ14" s="33">
        <f t="shared" si="41"/>
        <v>278.485995</v>
      </c>
      <c r="CR14" s="65">
        <f t="shared" si="42"/>
        <v>230.3204982</v>
      </c>
      <c r="CS14" s="65">
        <f t="shared" si="117"/>
        <v>124.18234290000001</v>
      </c>
      <c r="CT14" s="33"/>
      <c r="CU14" s="33"/>
      <c r="CV14" s="33">
        <f t="shared" si="43"/>
        <v>1012.284135</v>
      </c>
      <c r="CW14" s="33">
        <f t="shared" si="44"/>
        <v>1012.284135</v>
      </c>
      <c r="CX14" s="65">
        <f t="shared" si="45"/>
        <v>837.2047086</v>
      </c>
      <c r="CY14" s="65">
        <f t="shared" si="118"/>
        <v>451.3972617</v>
      </c>
      <c r="CZ14" s="33"/>
      <c r="DA14" s="51"/>
      <c r="DB14" s="51">
        <f t="shared" si="46"/>
        <v>6912.95048</v>
      </c>
      <c r="DC14" s="33">
        <f t="shared" si="47"/>
        <v>6912.95048</v>
      </c>
      <c r="DD14" s="65">
        <f t="shared" si="48"/>
        <v>5717.3223328</v>
      </c>
      <c r="DE14" s="65">
        <f t="shared" si="119"/>
        <v>3082.6196016000004</v>
      </c>
      <c r="DF14" s="33"/>
      <c r="DG14" s="51"/>
      <c r="DH14" s="51">
        <f t="shared" si="49"/>
        <v>28610.410304999998</v>
      </c>
      <c r="DI14" s="33">
        <f t="shared" si="50"/>
        <v>28610.410304999998</v>
      </c>
      <c r="DJ14" s="65">
        <f t="shared" si="51"/>
        <v>23662.1017698</v>
      </c>
      <c r="DK14" s="65">
        <f t="shared" si="120"/>
        <v>12757.9406031</v>
      </c>
      <c r="DL14" s="33"/>
      <c r="DM14" s="51"/>
      <c r="DN14" s="51">
        <f t="shared" si="52"/>
        <v>5259.57534</v>
      </c>
      <c r="DO14" s="33">
        <f t="shared" si="53"/>
        <v>5259.57534</v>
      </c>
      <c r="DP14" s="65">
        <f t="shared" si="54"/>
        <v>4349.9064024</v>
      </c>
      <c r="DQ14" s="65">
        <f t="shared" si="121"/>
        <v>2345.3473428</v>
      </c>
      <c r="DR14" s="33"/>
      <c r="DS14" s="51"/>
      <c r="DT14" s="51">
        <f t="shared" si="55"/>
        <v>18007.079845</v>
      </c>
      <c r="DU14" s="33">
        <f t="shared" si="56"/>
        <v>18007.079845</v>
      </c>
      <c r="DV14" s="65">
        <f t="shared" si="57"/>
        <v>14892.668484200001</v>
      </c>
      <c r="DW14" s="65">
        <f t="shared" si="122"/>
        <v>8029.7085099000005</v>
      </c>
      <c r="DX14" s="33"/>
      <c r="DY14" s="51"/>
      <c r="DZ14" s="51">
        <f t="shared" si="58"/>
        <v>3839.2339749999996</v>
      </c>
      <c r="EA14" s="33">
        <f t="shared" si="59"/>
        <v>3839.2339749999996</v>
      </c>
      <c r="EB14" s="65">
        <f t="shared" si="60"/>
        <v>3175.2199309999996</v>
      </c>
      <c r="EC14" s="65">
        <f t="shared" si="123"/>
        <v>1711.9893945</v>
      </c>
      <c r="ED14" s="33"/>
      <c r="EE14" s="51"/>
      <c r="EF14" s="51">
        <f t="shared" si="61"/>
        <v>312.77770999999996</v>
      </c>
      <c r="EG14" s="33">
        <f t="shared" si="62"/>
        <v>312.77770999999996</v>
      </c>
      <c r="EH14" s="65">
        <f t="shared" si="63"/>
        <v>258.6812956</v>
      </c>
      <c r="EI14" s="65">
        <f t="shared" si="124"/>
        <v>139.4736882</v>
      </c>
      <c r="EJ14" s="33"/>
      <c r="EK14" s="51"/>
      <c r="EL14" s="51">
        <f t="shared" si="64"/>
        <v>373.036335</v>
      </c>
      <c r="EM14" s="33">
        <f t="shared" si="65"/>
        <v>373.036335</v>
      </c>
      <c r="EN14" s="65">
        <f t="shared" si="66"/>
        <v>308.51790059999996</v>
      </c>
      <c r="EO14" s="65">
        <f t="shared" si="125"/>
        <v>166.3441857</v>
      </c>
      <c r="EP14" s="33"/>
      <c r="EQ14" s="51"/>
      <c r="ER14" s="51">
        <f t="shared" si="67"/>
        <v>760.81831</v>
      </c>
      <c r="ES14" s="33">
        <f t="shared" si="68"/>
        <v>760.81831</v>
      </c>
      <c r="ET14" s="65">
        <f t="shared" si="69"/>
        <v>629.2311116</v>
      </c>
      <c r="EU14" s="65">
        <f t="shared" si="126"/>
        <v>339.2637402</v>
      </c>
      <c r="EV14" s="33"/>
      <c r="EW14" s="51"/>
      <c r="EX14" s="51">
        <f t="shared" si="70"/>
        <v>20970.73068</v>
      </c>
      <c r="EY14" s="33">
        <f t="shared" si="71"/>
        <v>20970.73068</v>
      </c>
      <c r="EZ14" s="65">
        <f t="shared" si="72"/>
        <v>17343.7416048</v>
      </c>
      <c r="FA14" s="65">
        <f t="shared" si="127"/>
        <v>9351.2582856</v>
      </c>
      <c r="FB14" s="33"/>
      <c r="FC14" s="33"/>
      <c r="FD14" s="33">
        <f t="shared" si="73"/>
        <v>814.4535500000001</v>
      </c>
      <c r="FE14" s="33">
        <f t="shared" si="74"/>
        <v>814.4535500000001</v>
      </c>
      <c r="FF14" s="65">
        <f t="shared" si="75"/>
        <v>673.589878</v>
      </c>
      <c r="FG14" s="65">
        <f t="shared" si="128"/>
        <v>363.180741</v>
      </c>
      <c r="FH14" s="33"/>
      <c r="FI14" s="51"/>
      <c r="FJ14" s="51">
        <f t="shared" si="76"/>
        <v>1745.41386</v>
      </c>
      <c r="FK14" s="33">
        <f t="shared" si="77"/>
        <v>1745.41386</v>
      </c>
      <c r="FL14" s="65">
        <f t="shared" si="78"/>
        <v>1443.5361096000001</v>
      </c>
      <c r="FM14" s="65">
        <f t="shared" si="129"/>
        <v>778.3141212</v>
      </c>
      <c r="FN14" s="33"/>
      <c r="FO14" s="33"/>
      <c r="FP14" s="33"/>
      <c r="FQ14" s="33"/>
    </row>
    <row r="15" spans="1:173" ht="12.75">
      <c r="A15" s="19">
        <v>43556</v>
      </c>
      <c r="D15" s="35">
        <v>202550</v>
      </c>
      <c r="E15" s="35">
        <f t="shared" si="0"/>
        <v>202550</v>
      </c>
      <c r="F15" s="35">
        <v>167518</v>
      </c>
      <c r="G15" s="35">
        <v>90321</v>
      </c>
      <c r="I15" s="51">
        <f>'2016B Academic'!I15</f>
        <v>0</v>
      </c>
      <c r="J15" s="51">
        <f>'2016B Academic'!J15</f>
        <v>65130.661425</v>
      </c>
      <c r="K15" s="51">
        <f t="shared" si="79"/>
        <v>65130.661425</v>
      </c>
      <c r="L15" s="51">
        <f>'2016B Academic'!L15</f>
        <v>53865.999213</v>
      </c>
      <c r="M15" s="51">
        <f>'2016B Academic'!M15</f>
        <v>29043.0336735</v>
      </c>
      <c r="O15" s="51">
        <f>U15+AA15+AG15+AM15+AS15+AY15+BE15+BK15+BQ15+CC15+CO15+CU15+DA15+DG15+DM15+EK15+EQ15+EW15+FC15+FI15+FO15+BW15+CI15+DS15+DY15+EE15</f>
        <v>0</v>
      </c>
      <c r="P15" s="41">
        <f t="shared" si="1"/>
        <v>137419.33857500003</v>
      </c>
      <c r="Q15" s="33">
        <f t="shared" si="2"/>
        <v>137419.33857500003</v>
      </c>
      <c r="R15" s="41">
        <f t="shared" si="3"/>
        <v>113652.00078700003</v>
      </c>
      <c r="S15" s="41">
        <f t="shared" si="3"/>
        <v>61277.9663265</v>
      </c>
      <c r="U15" s="65">
        <f>C15*$V$6</f>
        <v>0</v>
      </c>
      <c r="V15" s="65">
        <f>D15*$V$6</f>
        <v>11143.592075</v>
      </c>
      <c r="W15" s="20">
        <f t="shared" si="5"/>
        <v>11143.592075</v>
      </c>
      <c r="X15" s="65">
        <f>V$6*$F15</f>
        <v>9216.254047</v>
      </c>
      <c r="Y15" s="65">
        <f t="shared" si="105"/>
        <v>4969.1452965</v>
      </c>
      <c r="AA15" s="65">
        <f>C15*$AB$6</f>
        <v>0</v>
      </c>
      <c r="AB15" s="65">
        <f>D15*$AB$6</f>
        <v>13603.926415</v>
      </c>
      <c r="AC15" s="20">
        <f t="shared" si="8"/>
        <v>13603.926415</v>
      </c>
      <c r="AD15" s="65">
        <f>AB$6*$F15</f>
        <v>11251.0616894</v>
      </c>
      <c r="AE15" s="65">
        <f t="shared" si="106"/>
        <v>6066.2564193</v>
      </c>
      <c r="AG15" s="33">
        <f>C15*$AH$6</f>
        <v>0</v>
      </c>
      <c r="AH15" s="33">
        <f>D15*$AH$6</f>
        <v>49.807045</v>
      </c>
      <c r="AI15" s="33">
        <f t="shared" si="11"/>
        <v>49.807045</v>
      </c>
      <c r="AJ15" s="65">
        <f>AH$6*$F15</f>
        <v>41.1926762</v>
      </c>
      <c r="AK15" s="65">
        <f t="shared" si="107"/>
        <v>22.209933900000003</v>
      </c>
      <c r="AM15" s="65">
        <f>C15*$AN$6</f>
        <v>0</v>
      </c>
      <c r="AN15" s="65">
        <f>D15*$AN$6</f>
        <v>2940.2360550000003</v>
      </c>
      <c r="AO15" s="20">
        <f t="shared" si="14"/>
        <v>2940.2360550000003</v>
      </c>
      <c r="AP15" s="65">
        <f>AN$6*$F15</f>
        <v>2431.7080398000003</v>
      </c>
      <c r="AQ15" s="65">
        <f t="shared" si="108"/>
        <v>1311.1086681000002</v>
      </c>
      <c r="AS15" s="65">
        <f>C15*$AT$6</f>
        <v>0</v>
      </c>
      <c r="AT15" s="65">
        <f>D15*$AT$6</f>
        <v>13528.820875000001</v>
      </c>
      <c r="AU15" s="20">
        <f t="shared" si="17"/>
        <v>13528.820875000001</v>
      </c>
      <c r="AV15" s="65">
        <f>AT$6*$F15</f>
        <v>11188.946015000001</v>
      </c>
      <c r="AW15" s="65">
        <f t="shared" si="109"/>
        <v>6032.7653925</v>
      </c>
      <c r="AX15" s="33"/>
      <c r="AY15" s="65">
        <f>C15*$AZ$6</f>
        <v>0</v>
      </c>
      <c r="AZ15" s="65">
        <f>D15*$AZ$6</f>
        <v>2132.77048</v>
      </c>
      <c r="BA15" s="20">
        <f t="shared" si="20"/>
        <v>2132.77048</v>
      </c>
      <c r="BB15" s="65">
        <f>AZ$6*$F15</f>
        <v>1763.8975328</v>
      </c>
      <c r="BC15" s="65">
        <f t="shared" si="110"/>
        <v>951.0440016</v>
      </c>
      <c r="BD15" s="33"/>
      <c r="BE15" s="51">
        <f>C15*$BF$6</f>
        <v>0</v>
      </c>
      <c r="BF15" s="51">
        <f>D15*$BF$6</f>
        <v>118.47149499999999</v>
      </c>
      <c r="BG15" s="33">
        <f t="shared" si="23"/>
        <v>118.47149499999999</v>
      </c>
      <c r="BH15" s="65">
        <f>BF$6*$F15</f>
        <v>97.98127819999999</v>
      </c>
      <c r="BI15" s="65">
        <f t="shared" si="111"/>
        <v>52.8287529</v>
      </c>
      <c r="BJ15" s="33"/>
      <c r="BK15" s="33">
        <f>C15*$BL$6</f>
        <v>0</v>
      </c>
      <c r="BL15" s="33">
        <f>D15*$BL$6</f>
        <v>1364.640115</v>
      </c>
      <c r="BM15" s="33">
        <f t="shared" si="26"/>
        <v>1364.640115</v>
      </c>
      <c r="BN15" s="65">
        <f>BL$6*$F15</f>
        <v>1128.6190214</v>
      </c>
      <c r="BO15" s="65">
        <f t="shared" si="112"/>
        <v>608.5196733</v>
      </c>
      <c r="BP15" s="33"/>
      <c r="BQ15" s="51">
        <f>C15*$BR$6</f>
        <v>0</v>
      </c>
      <c r="BR15" s="51">
        <f t="shared" si="28"/>
        <v>1907.73743</v>
      </c>
      <c r="BS15" s="33">
        <f t="shared" si="29"/>
        <v>1907.73743</v>
      </c>
      <c r="BT15" s="65">
        <f>BR$6*$F15</f>
        <v>1577.7850348</v>
      </c>
      <c r="BU15" s="65">
        <f t="shared" si="113"/>
        <v>850.6973705999999</v>
      </c>
      <c r="BV15" s="33"/>
      <c r="BW15" s="51">
        <f>C15*$BX$6</f>
        <v>0</v>
      </c>
      <c r="BX15" s="51">
        <f t="shared" si="31"/>
        <v>266.87988</v>
      </c>
      <c r="BY15" s="33">
        <f t="shared" si="32"/>
        <v>266.87988</v>
      </c>
      <c r="BZ15" s="65">
        <f>BX$6*$F15</f>
        <v>220.7217168</v>
      </c>
      <c r="CA15" s="65">
        <f t="shared" si="114"/>
        <v>119.0069496</v>
      </c>
      <c r="CB15" s="33"/>
      <c r="CC15" s="51">
        <f>C15*$CD$6</f>
        <v>0</v>
      </c>
      <c r="CD15" s="51">
        <f t="shared" si="34"/>
        <v>1386.41424</v>
      </c>
      <c r="CE15" s="33">
        <f t="shared" si="35"/>
        <v>1386.41424</v>
      </c>
      <c r="CF15" s="65">
        <f>CD$6*$F15</f>
        <v>1146.6272064</v>
      </c>
      <c r="CG15" s="65">
        <f t="shared" si="115"/>
        <v>618.2291808</v>
      </c>
      <c r="CH15" s="33"/>
      <c r="CI15" s="51">
        <f>C15*$CJ$6</f>
        <v>0</v>
      </c>
      <c r="CJ15" s="51">
        <f t="shared" si="37"/>
        <v>78.79195</v>
      </c>
      <c r="CK15" s="33">
        <f t="shared" si="38"/>
        <v>78.79195</v>
      </c>
      <c r="CL15" s="65">
        <f>CJ$6*$F15</f>
        <v>65.164502</v>
      </c>
      <c r="CM15" s="65">
        <f t="shared" si="116"/>
        <v>35.134869</v>
      </c>
      <c r="CN15" s="33"/>
      <c r="CO15" s="51">
        <f>C15*$CP$6</f>
        <v>0</v>
      </c>
      <c r="CP15" s="51">
        <f t="shared" si="40"/>
        <v>278.485995</v>
      </c>
      <c r="CQ15" s="33">
        <f t="shared" si="41"/>
        <v>278.485995</v>
      </c>
      <c r="CR15" s="65">
        <f>CP$6*$F15</f>
        <v>230.3204982</v>
      </c>
      <c r="CS15" s="65">
        <f t="shared" si="117"/>
        <v>124.18234290000001</v>
      </c>
      <c r="CT15" s="33"/>
      <c r="CU15" s="33">
        <f>C15*$CV$6</f>
        <v>0</v>
      </c>
      <c r="CV15" s="33">
        <f t="shared" si="43"/>
        <v>1012.284135</v>
      </c>
      <c r="CW15" s="33">
        <f t="shared" si="44"/>
        <v>1012.284135</v>
      </c>
      <c r="CX15" s="65">
        <f>CV$6*$F15</f>
        <v>837.2047086</v>
      </c>
      <c r="CY15" s="65">
        <f t="shared" si="118"/>
        <v>451.3972617</v>
      </c>
      <c r="CZ15" s="33"/>
      <c r="DA15" s="51">
        <f>C15*$DB$6</f>
        <v>0</v>
      </c>
      <c r="DB15" s="51">
        <f t="shared" si="46"/>
        <v>6912.95048</v>
      </c>
      <c r="DC15" s="33">
        <f t="shared" si="47"/>
        <v>6912.95048</v>
      </c>
      <c r="DD15" s="65">
        <f>DB$6*$F15</f>
        <v>5717.3223328</v>
      </c>
      <c r="DE15" s="65">
        <f t="shared" si="119"/>
        <v>3082.6196016000004</v>
      </c>
      <c r="DF15" s="33"/>
      <c r="DG15" s="51">
        <f>C15*$DH$6</f>
        <v>0</v>
      </c>
      <c r="DH15" s="51">
        <f t="shared" si="49"/>
        <v>28610.410304999998</v>
      </c>
      <c r="DI15" s="33">
        <f t="shared" si="50"/>
        <v>28610.410304999998</v>
      </c>
      <c r="DJ15" s="65">
        <f>DH$6*$F15</f>
        <v>23662.1017698</v>
      </c>
      <c r="DK15" s="65">
        <f t="shared" si="120"/>
        <v>12757.9406031</v>
      </c>
      <c r="DL15" s="33"/>
      <c r="DM15" s="51">
        <f>C15*$DN$6</f>
        <v>0</v>
      </c>
      <c r="DN15" s="51">
        <f t="shared" si="52"/>
        <v>5259.57534</v>
      </c>
      <c r="DO15" s="33">
        <f t="shared" si="53"/>
        <v>5259.57534</v>
      </c>
      <c r="DP15" s="65">
        <f>DN$6*$F15</f>
        <v>4349.9064024</v>
      </c>
      <c r="DQ15" s="65">
        <f t="shared" si="121"/>
        <v>2345.3473428</v>
      </c>
      <c r="DR15" s="33"/>
      <c r="DS15" s="51">
        <f>C15*$DT$6</f>
        <v>0</v>
      </c>
      <c r="DT15" s="51">
        <f t="shared" si="55"/>
        <v>18007.079845</v>
      </c>
      <c r="DU15" s="33">
        <f t="shared" si="56"/>
        <v>18007.079845</v>
      </c>
      <c r="DV15" s="65">
        <f>DT$6*$F15</f>
        <v>14892.668484200001</v>
      </c>
      <c r="DW15" s="65">
        <f t="shared" si="122"/>
        <v>8029.7085099000005</v>
      </c>
      <c r="DX15" s="33"/>
      <c r="DY15" s="51">
        <f>C15*$DZ$6</f>
        <v>0</v>
      </c>
      <c r="DZ15" s="51">
        <f t="shared" si="58"/>
        <v>3839.2339749999996</v>
      </c>
      <c r="EA15" s="33">
        <f t="shared" si="59"/>
        <v>3839.2339749999996</v>
      </c>
      <c r="EB15" s="65">
        <f>DZ$6*$F15</f>
        <v>3175.2199309999996</v>
      </c>
      <c r="EC15" s="65">
        <f t="shared" si="123"/>
        <v>1711.9893945</v>
      </c>
      <c r="ED15" s="33"/>
      <c r="EE15" s="51">
        <f>C15*$EF$6</f>
        <v>0</v>
      </c>
      <c r="EF15" s="51">
        <f t="shared" si="61"/>
        <v>312.77770999999996</v>
      </c>
      <c r="EG15" s="33">
        <f t="shared" si="62"/>
        <v>312.77770999999996</v>
      </c>
      <c r="EH15" s="65">
        <f>EF$6*$F15</f>
        <v>258.6812956</v>
      </c>
      <c r="EI15" s="65">
        <f t="shared" si="124"/>
        <v>139.4736882</v>
      </c>
      <c r="EJ15" s="33"/>
      <c r="EK15" s="51">
        <f>C15*$EL$6</f>
        <v>0</v>
      </c>
      <c r="EL15" s="51">
        <f t="shared" si="64"/>
        <v>373.036335</v>
      </c>
      <c r="EM15" s="33">
        <f t="shared" si="65"/>
        <v>373.036335</v>
      </c>
      <c r="EN15" s="65">
        <f>EL$6*$F15</f>
        <v>308.51790059999996</v>
      </c>
      <c r="EO15" s="65">
        <f t="shared" si="125"/>
        <v>166.3441857</v>
      </c>
      <c r="EP15" s="33"/>
      <c r="EQ15" s="51">
        <f>C15*$ER$6</f>
        <v>0</v>
      </c>
      <c r="ER15" s="51">
        <f t="shared" si="67"/>
        <v>760.81831</v>
      </c>
      <c r="ES15" s="33">
        <f t="shared" si="68"/>
        <v>760.81831</v>
      </c>
      <c r="ET15" s="65">
        <f>ER$6*$F15</f>
        <v>629.2311116</v>
      </c>
      <c r="EU15" s="65">
        <f t="shared" si="126"/>
        <v>339.2637402</v>
      </c>
      <c r="EV15" s="33"/>
      <c r="EW15" s="51">
        <f>C15*$EX$6</f>
        <v>0</v>
      </c>
      <c r="EX15" s="51">
        <f t="shared" si="70"/>
        <v>20970.73068</v>
      </c>
      <c r="EY15" s="33">
        <f t="shared" si="71"/>
        <v>20970.73068</v>
      </c>
      <c r="EZ15" s="65">
        <f>EX$6*$F15</f>
        <v>17343.7416048</v>
      </c>
      <c r="FA15" s="65">
        <f t="shared" si="127"/>
        <v>9351.2582856</v>
      </c>
      <c r="FB15" s="33"/>
      <c r="FC15" s="33">
        <f>C15*$FD$6</f>
        <v>0</v>
      </c>
      <c r="FD15" s="33">
        <f t="shared" si="73"/>
        <v>814.4535500000001</v>
      </c>
      <c r="FE15" s="33">
        <f t="shared" si="74"/>
        <v>814.4535500000001</v>
      </c>
      <c r="FF15" s="65">
        <f>FD$6*$F15</f>
        <v>673.589878</v>
      </c>
      <c r="FG15" s="65">
        <f t="shared" si="128"/>
        <v>363.180741</v>
      </c>
      <c r="FH15" s="33"/>
      <c r="FI15" s="51">
        <f>C15*$FJ$6</f>
        <v>0</v>
      </c>
      <c r="FJ15" s="51">
        <f t="shared" si="76"/>
        <v>1745.41386</v>
      </c>
      <c r="FK15" s="33">
        <f t="shared" si="77"/>
        <v>1745.41386</v>
      </c>
      <c r="FL15" s="65">
        <f>FJ$6*$F15</f>
        <v>1443.5361096000001</v>
      </c>
      <c r="FM15" s="65">
        <f t="shared" si="129"/>
        <v>778.3141212</v>
      </c>
      <c r="FN15" s="33"/>
      <c r="FO15" s="33"/>
      <c r="FP15" s="33"/>
      <c r="FQ15" s="33"/>
    </row>
    <row r="16" spans="1:173" ht="12.75">
      <c r="A16" s="19">
        <v>43739</v>
      </c>
      <c r="D16" s="35">
        <v>202550</v>
      </c>
      <c r="E16" s="35">
        <f t="shared" si="0"/>
        <v>202550</v>
      </c>
      <c r="F16" s="35">
        <v>167518</v>
      </c>
      <c r="G16" s="35">
        <v>90321</v>
      </c>
      <c r="I16" s="51">
        <f>'2016B Academic'!I16</f>
        <v>0</v>
      </c>
      <c r="J16" s="51">
        <f>'2016B Academic'!J16</f>
        <v>65130.661425</v>
      </c>
      <c r="K16" s="51">
        <f t="shared" si="79"/>
        <v>65130.661425</v>
      </c>
      <c r="L16" s="51">
        <f>'2016B Academic'!L16</f>
        <v>53865.999213</v>
      </c>
      <c r="M16" s="51">
        <f>'2016B Academic'!M16</f>
        <v>29043.0336735</v>
      </c>
      <c r="O16" s="51"/>
      <c r="P16" s="41">
        <f t="shared" si="1"/>
        <v>137419.33857500003</v>
      </c>
      <c r="Q16" s="33">
        <f t="shared" si="2"/>
        <v>137419.33857500003</v>
      </c>
      <c r="R16" s="41">
        <f t="shared" si="3"/>
        <v>113652.00078700003</v>
      </c>
      <c r="S16" s="41">
        <f t="shared" si="3"/>
        <v>61277.9663265</v>
      </c>
      <c r="U16" s="65"/>
      <c r="V16" s="65">
        <f t="shared" si="4"/>
        <v>11143.592075</v>
      </c>
      <c r="W16" s="20">
        <f t="shared" si="5"/>
        <v>11143.592075</v>
      </c>
      <c r="X16" s="65">
        <f t="shared" si="6"/>
        <v>9216.254047</v>
      </c>
      <c r="Y16" s="65">
        <f t="shared" si="105"/>
        <v>4969.1452965</v>
      </c>
      <c r="AA16" s="65"/>
      <c r="AB16" s="65">
        <f t="shared" si="7"/>
        <v>13603.926415</v>
      </c>
      <c r="AC16" s="20">
        <f t="shared" si="8"/>
        <v>13603.926415</v>
      </c>
      <c r="AD16" s="65">
        <f t="shared" si="9"/>
        <v>11251.0616894</v>
      </c>
      <c r="AE16" s="65">
        <f t="shared" si="106"/>
        <v>6066.2564193</v>
      </c>
      <c r="AH16" s="33">
        <f t="shared" si="10"/>
        <v>49.807045</v>
      </c>
      <c r="AI16" s="33">
        <f t="shared" si="11"/>
        <v>49.807045</v>
      </c>
      <c r="AJ16" s="65">
        <f t="shared" si="12"/>
        <v>41.1926762</v>
      </c>
      <c r="AK16" s="65">
        <f t="shared" si="107"/>
        <v>22.209933900000003</v>
      </c>
      <c r="AM16" s="65"/>
      <c r="AN16" s="65">
        <f t="shared" si="13"/>
        <v>2940.2360550000003</v>
      </c>
      <c r="AO16" s="20">
        <f t="shared" si="14"/>
        <v>2940.2360550000003</v>
      </c>
      <c r="AP16" s="65">
        <f t="shared" si="15"/>
        <v>2431.7080398000003</v>
      </c>
      <c r="AQ16" s="65">
        <f t="shared" si="108"/>
        <v>1311.1086681000002</v>
      </c>
      <c r="AS16" s="65"/>
      <c r="AT16" s="65">
        <f t="shared" si="16"/>
        <v>13528.820875000001</v>
      </c>
      <c r="AU16" s="20">
        <f t="shared" si="17"/>
        <v>13528.820875000001</v>
      </c>
      <c r="AV16" s="65">
        <f t="shared" si="18"/>
        <v>11188.946015000001</v>
      </c>
      <c r="AW16" s="65">
        <f t="shared" si="109"/>
        <v>6032.7653925</v>
      </c>
      <c r="AX16" s="33"/>
      <c r="AY16" s="65"/>
      <c r="AZ16" s="65">
        <f t="shared" si="19"/>
        <v>2132.77048</v>
      </c>
      <c r="BA16" s="20">
        <f t="shared" si="20"/>
        <v>2132.77048</v>
      </c>
      <c r="BB16" s="65">
        <f t="shared" si="21"/>
        <v>1763.8975328</v>
      </c>
      <c r="BC16" s="65">
        <f t="shared" si="110"/>
        <v>951.0440016</v>
      </c>
      <c r="BD16" s="33"/>
      <c r="BE16" s="51"/>
      <c r="BF16" s="51">
        <f t="shared" si="22"/>
        <v>118.47149499999999</v>
      </c>
      <c r="BG16" s="33">
        <f t="shared" si="23"/>
        <v>118.47149499999999</v>
      </c>
      <c r="BH16" s="65">
        <f t="shared" si="24"/>
        <v>97.98127819999999</v>
      </c>
      <c r="BI16" s="65">
        <f t="shared" si="111"/>
        <v>52.8287529</v>
      </c>
      <c r="BJ16" s="33"/>
      <c r="BK16" s="33"/>
      <c r="BL16" s="33">
        <f t="shared" si="25"/>
        <v>1364.640115</v>
      </c>
      <c r="BM16" s="33">
        <f t="shared" si="26"/>
        <v>1364.640115</v>
      </c>
      <c r="BN16" s="65">
        <f t="shared" si="27"/>
        <v>1128.6190214</v>
      </c>
      <c r="BO16" s="65">
        <f t="shared" si="112"/>
        <v>608.5196733</v>
      </c>
      <c r="BP16" s="33"/>
      <c r="BQ16" s="51"/>
      <c r="BR16" s="51">
        <f t="shared" si="28"/>
        <v>1907.73743</v>
      </c>
      <c r="BS16" s="33">
        <f t="shared" si="29"/>
        <v>1907.73743</v>
      </c>
      <c r="BT16" s="65">
        <f t="shared" si="30"/>
        <v>1577.7850348</v>
      </c>
      <c r="BU16" s="65">
        <f t="shared" si="113"/>
        <v>850.6973705999999</v>
      </c>
      <c r="BV16" s="33"/>
      <c r="BW16" s="51"/>
      <c r="BX16" s="51">
        <f t="shared" si="31"/>
        <v>266.87988</v>
      </c>
      <c r="BY16" s="33">
        <f t="shared" si="32"/>
        <v>266.87988</v>
      </c>
      <c r="BZ16" s="65">
        <f t="shared" si="33"/>
        <v>220.7217168</v>
      </c>
      <c r="CA16" s="65">
        <f t="shared" si="114"/>
        <v>119.0069496</v>
      </c>
      <c r="CB16" s="33"/>
      <c r="CC16" s="51"/>
      <c r="CD16" s="51">
        <f t="shared" si="34"/>
        <v>1386.41424</v>
      </c>
      <c r="CE16" s="33">
        <f t="shared" si="35"/>
        <v>1386.41424</v>
      </c>
      <c r="CF16" s="65">
        <f t="shared" si="36"/>
        <v>1146.6272064</v>
      </c>
      <c r="CG16" s="65">
        <f t="shared" si="115"/>
        <v>618.2291808</v>
      </c>
      <c r="CH16" s="33"/>
      <c r="CI16" s="51"/>
      <c r="CJ16" s="51">
        <f t="shared" si="37"/>
        <v>78.79195</v>
      </c>
      <c r="CK16" s="33">
        <f t="shared" si="38"/>
        <v>78.79195</v>
      </c>
      <c r="CL16" s="65">
        <f t="shared" si="39"/>
        <v>65.164502</v>
      </c>
      <c r="CM16" s="65">
        <f t="shared" si="116"/>
        <v>35.134869</v>
      </c>
      <c r="CN16" s="33"/>
      <c r="CO16" s="51"/>
      <c r="CP16" s="51">
        <f t="shared" si="40"/>
        <v>278.485995</v>
      </c>
      <c r="CQ16" s="33">
        <f t="shared" si="41"/>
        <v>278.485995</v>
      </c>
      <c r="CR16" s="65">
        <f t="shared" si="42"/>
        <v>230.3204982</v>
      </c>
      <c r="CS16" s="65">
        <f t="shared" si="117"/>
        <v>124.18234290000001</v>
      </c>
      <c r="CT16" s="33"/>
      <c r="CU16" s="33"/>
      <c r="CV16" s="33">
        <f t="shared" si="43"/>
        <v>1012.284135</v>
      </c>
      <c r="CW16" s="33">
        <f t="shared" si="44"/>
        <v>1012.284135</v>
      </c>
      <c r="CX16" s="65">
        <f t="shared" si="45"/>
        <v>837.2047086</v>
      </c>
      <c r="CY16" s="65">
        <f t="shared" si="118"/>
        <v>451.3972617</v>
      </c>
      <c r="CZ16" s="33"/>
      <c r="DA16" s="51"/>
      <c r="DB16" s="51">
        <f t="shared" si="46"/>
        <v>6912.95048</v>
      </c>
      <c r="DC16" s="33">
        <f t="shared" si="47"/>
        <v>6912.95048</v>
      </c>
      <c r="DD16" s="65">
        <f t="shared" si="48"/>
        <v>5717.3223328</v>
      </c>
      <c r="DE16" s="65">
        <f t="shared" si="119"/>
        <v>3082.6196016000004</v>
      </c>
      <c r="DF16" s="33"/>
      <c r="DG16" s="51"/>
      <c r="DH16" s="51">
        <f t="shared" si="49"/>
        <v>28610.410304999998</v>
      </c>
      <c r="DI16" s="33">
        <f t="shared" si="50"/>
        <v>28610.410304999998</v>
      </c>
      <c r="DJ16" s="65">
        <f t="shared" si="51"/>
        <v>23662.1017698</v>
      </c>
      <c r="DK16" s="65">
        <f t="shared" si="120"/>
        <v>12757.9406031</v>
      </c>
      <c r="DL16" s="33"/>
      <c r="DM16" s="51"/>
      <c r="DN16" s="51">
        <f t="shared" si="52"/>
        <v>5259.57534</v>
      </c>
      <c r="DO16" s="33">
        <f t="shared" si="53"/>
        <v>5259.57534</v>
      </c>
      <c r="DP16" s="65">
        <f t="shared" si="54"/>
        <v>4349.9064024</v>
      </c>
      <c r="DQ16" s="65">
        <f t="shared" si="121"/>
        <v>2345.3473428</v>
      </c>
      <c r="DR16" s="33"/>
      <c r="DS16" s="51"/>
      <c r="DT16" s="51">
        <f t="shared" si="55"/>
        <v>18007.079845</v>
      </c>
      <c r="DU16" s="33">
        <f t="shared" si="56"/>
        <v>18007.079845</v>
      </c>
      <c r="DV16" s="65">
        <f t="shared" si="57"/>
        <v>14892.668484200001</v>
      </c>
      <c r="DW16" s="65">
        <f t="shared" si="122"/>
        <v>8029.7085099000005</v>
      </c>
      <c r="DX16" s="33"/>
      <c r="DY16" s="51"/>
      <c r="DZ16" s="51">
        <f t="shared" si="58"/>
        <v>3839.2339749999996</v>
      </c>
      <c r="EA16" s="33">
        <f t="shared" si="59"/>
        <v>3839.2339749999996</v>
      </c>
      <c r="EB16" s="65">
        <f t="shared" si="60"/>
        <v>3175.2199309999996</v>
      </c>
      <c r="EC16" s="65">
        <f t="shared" si="123"/>
        <v>1711.9893945</v>
      </c>
      <c r="ED16" s="33"/>
      <c r="EE16" s="51"/>
      <c r="EF16" s="51">
        <f t="shared" si="61"/>
        <v>312.77770999999996</v>
      </c>
      <c r="EG16" s="33">
        <f t="shared" si="62"/>
        <v>312.77770999999996</v>
      </c>
      <c r="EH16" s="65">
        <f t="shared" si="63"/>
        <v>258.6812956</v>
      </c>
      <c r="EI16" s="65">
        <f t="shared" si="124"/>
        <v>139.4736882</v>
      </c>
      <c r="EJ16" s="33"/>
      <c r="EK16" s="51"/>
      <c r="EL16" s="51">
        <f t="shared" si="64"/>
        <v>373.036335</v>
      </c>
      <c r="EM16" s="33">
        <f t="shared" si="65"/>
        <v>373.036335</v>
      </c>
      <c r="EN16" s="65">
        <f t="shared" si="66"/>
        <v>308.51790059999996</v>
      </c>
      <c r="EO16" s="65">
        <f t="shared" si="125"/>
        <v>166.3441857</v>
      </c>
      <c r="EP16" s="33"/>
      <c r="EQ16" s="51"/>
      <c r="ER16" s="51">
        <f t="shared" si="67"/>
        <v>760.81831</v>
      </c>
      <c r="ES16" s="33">
        <f t="shared" si="68"/>
        <v>760.81831</v>
      </c>
      <c r="ET16" s="65">
        <f t="shared" si="69"/>
        <v>629.2311116</v>
      </c>
      <c r="EU16" s="65">
        <f t="shared" si="126"/>
        <v>339.2637402</v>
      </c>
      <c r="EV16" s="33"/>
      <c r="EW16" s="51"/>
      <c r="EX16" s="51">
        <f t="shared" si="70"/>
        <v>20970.73068</v>
      </c>
      <c r="EY16" s="33">
        <f t="shared" si="71"/>
        <v>20970.73068</v>
      </c>
      <c r="EZ16" s="65">
        <f t="shared" si="72"/>
        <v>17343.7416048</v>
      </c>
      <c r="FA16" s="65">
        <f t="shared" si="127"/>
        <v>9351.2582856</v>
      </c>
      <c r="FB16" s="33"/>
      <c r="FC16" s="33"/>
      <c r="FD16" s="33">
        <f t="shared" si="73"/>
        <v>814.4535500000001</v>
      </c>
      <c r="FE16" s="33">
        <f t="shared" si="74"/>
        <v>814.4535500000001</v>
      </c>
      <c r="FF16" s="65">
        <f t="shared" si="75"/>
        <v>673.589878</v>
      </c>
      <c r="FG16" s="65">
        <f t="shared" si="128"/>
        <v>363.180741</v>
      </c>
      <c r="FH16" s="33"/>
      <c r="FI16" s="51"/>
      <c r="FJ16" s="51">
        <f t="shared" si="76"/>
        <v>1745.41386</v>
      </c>
      <c r="FK16" s="33">
        <f t="shared" si="77"/>
        <v>1745.41386</v>
      </c>
      <c r="FL16" s="65">
        <f t="shared" si="78"/>
        <v>1443.5361096000001</v>
      </c>
      <c r="FM16" s="65">
        <f t="shared" si="129"/>
        <v>778.3141212</v>
      </c>
      <c r="FN16" s="33"/>
      <c r="FO16" s="33"/>
      <c r="FP16" s="33"/>
      <c r="FQ16" s="33"/>
    </row>
    <row r="17" spans="1:173" ht="12.75">
      <c r="A17" s="52">
        <v>43922</v>
      </c>
      <c r="D17" s="35">
        <v>202550</v>
      </c>
      <c r="E17" s="35">
        <f t="shared" si="0"/>
        <v>202550</v>
      </c>
      <c r="F17" s="35">
        <v>167518</v>
      </c>
      <c r="G17" s="35">
        <v>90321</v>
      </c>
      <c r="I17" s="51">
        <f>'2016B Academic'!I17</f>
        <v>0</v>
      </c>
      <c r="J17" s="51">
        <f>'2016B Academic'!J17</f>
        <v>65130.661425</v>
      </c>
      <c r="K17" s="51">
        <f t="shared" si="79"/>
        <v>65130.661425</v>
      </c>
      <c r="L17" s="51">
        <f>'2016B Academic'!L17</f>
        <v>53865.999213</v>
      </c>
      <c r="M17" s="51">
        <f>'2016B Academic'!M17</f>
        <v>29043.0336735</v>
      </c>
      <c r="O17" s="51">
        <f>U17+AA17+AG17+AM17+AS17+AY17+BE17+BK17+BQ17+CC17+CO17+CU17+DA17+DG17+DM17+EK17+EQ17+EW17+FC17+FI17+FO17+BW17+CI17+DS17+DY17+EE17</f>
        <v>0</v>
      </c>
      <c r="P17" s="41">
        <f t="shared" si="1"/>
        <v>137419.33857500003</v>
      </c>
      <c r="Q17" s="33">
        <f t="shared" si="2"/>
        <v>137419.33857500003</v>
      </c>
      <c r="R17" s="41">
        <f t="shared" si="3"/>
        <v>113652.00078700003</v>
      </c>
      <c r="S17" s="41">
        <f t="shared" si="3"/>
        <v>61277.9663265</v>
      </c>
      <c r="U17" s="65">
        <f t="shared" si="80"/>
        <v>0</v>
      </c>
      <c r="V17" s="65">
        <f t="shared" si="4"/>
        <v>11143.592075</v>
      </c>
      <c r="W17" s="20">
        <f t="shared" si="5"/>
        <v>11143.592075</v>
      </c>
      <c r="X17" s="65">
        <f t="shared" si="6"/>
        <v>9216.254047</v>
      </c>
      <c r="Y17" s="65">
        <f t="shared" si="105"/>
        <v>4969.1452965</v>
      </c>
      <c r="AA17" s="65">
        <f t="shared" si="81"/>
        <v>0</v>
      </c>
      <c r="AB17" s="65">
        <f t="shared" si="7"/>
        <v>13603.926415</v>
      </c>
      <c r="AC17" s="20">
        <f t="shared" si="8"/>
        <v>13603.926415</v>
      </c>
      <c r="AD17" s="65">
        <f t="shared" si="9"/>
        <v>11251.0616894</v>
      </c>
      <c r="AE17" s="65">
        <f t="shared" si="106"/>
        <v>6066.2564193</v>
      </c>
      <c r="AG17" s="33">
        <f t="shared" si="82"/>
        <v>0</v>
      </c>
      <c r="AH17" s="33">
        <f t="shared" si="10"/>
        <v>49.807045</v>
      </c>
      <c r="AI17" s="33">
        <f t="shared" si="11"/>
        <v>49.807045</v>
      </c>
      <c r="AJ17" s="65">
        <f t="shared" si="12"/>
        <v>41.1926762</v>
      </c>
      <c r="AK17" s="65">
        <f t="shared" si="107"/>
        <v>22.209933900000003</v>
      </c>
      <c r="AM17" s="65">
        <f t="shared" si="83"/>
        <v>0</v>
      </c>
      <c r="AN17" s="65">
        <f t="shared" si="13"/>
        <v>2940.2360550000003</v>
      </c>
      <c r="AO17" s="20">
        <f t="shared" si="14"/>
        <v>2940.2360550000003</v>
      </c>
      <c r="AP17" s="65">
        <f t="shared" si="15"/>
        <v>2431.7080398000003</v>
      </c>
      <c r="AQ17" s="65">
        <f t="shared" si="108"/>
        <v>1311.1086681000002</v>
      </c>
      <c r="AS17" s="65">
        <f t="shared" si="84"/>
        <v>0</v>
      </c>
      <c r="AT17" s="65">
        <f t="shared" si="16"/>
        <v>13528.820875000001</v>
      </c>
      <c r="AU17" s="20">
        <f t="shared" si="17"/>
        <v>13528.820875000001</v>
      </c>
      <c r="AV17" s="65">
        <f t="shared" si="18"/>
        <v>11188.946015000001</v>
      </c>
      <c r="AW17" s="65">
        <f t="shared" si="109"/>
        <v>6032.7653925</v>
      </c>
      <c r="AX17" s="33"/>
      <c r="AY17" s="65">
        <f t="shared" si="85"/>
        <v>0</v>
      </c>
      <c r="AZ17" s="65">
        <f t="shared" si="19"/>
        <v>2132.77048</v>
      </c>
      <c r="BA17" s="20">
        <f t="shared" si="20"/>
        <v>2132.77048</v>
      </c>
      <c r="BB17" s="65">
        <f t="shared" si="21"/>
        <v>1763.8975328</v>
      </c>
      <c r="BC17" s="65">
        <f t="shared" si="110"/>
        <v>951.0440016</v>
      </c>
      <c r="BD17" s="33"/>
      <c r="BE17" s="51">
        <f t="shared" si="86"/>
        <v>0</v>
      </c>
      <c r="BF17" s="51">
        <f t="shared" si="22"/>
        <v>118.47149499999999</v>
      </c>
      <c r="BG17" s="33">
        <f t="shared" si="23"/>
        <v>118.47149499999999</v>
      </c>
      <c r="BH17" s="65">
        <f t="shared" si="24"/>
        <v>97.98127819999999</v>
      </c>
      <c r="BI17" s="65">
        <f t="shared" si="111"/>
        <v>52.8287529</v>
      </c>
      <c r="BJ17" s="33"/>
      <c r="BK17" s="33">
        <f t="shared" si="87"/>
        <v>0</v>
      </c>
      <c r="BL17" s="33">
        <f t="shared" si="25"/>
        <v>1364.640115</v>
      </c>
      <c r="BM17" s="33">
        <f t="shared" si="26"/>
        <v>1364.640115</v>
      </c>
      <c r="BN17" s="65">
        <f t="shared" si="27"/>
        <v>1128.6190214</v>
      </c>
      <c r="BO17" s="65">
        <f t="shared" si="112"/>
        <v>608.5196733</v>
      </c>
      <c r="BP17" s="33"/>
      <c r="BQ17" s="51">
        <f t="shared" si="88"/>
        <v>0</v>
      </c>
      <c r="BR17" s="51">
        <f t="shared" si="28"/>
        <v>1907.73743</v>
      </c>
      <c r="BS17" s="33">
        <f t="shared" si="29"/>
        <v>1907.73743</v>
      </c>
      <c r="BT17" s="65">
        <f t="shared" si="30"/>
        <v>1577.7850348</v>
      </c>
      <c r="BU17" s="65">
        <f t="shared" si="113"/>
        <v>850.6973705999999</v>
      </c>
      <c r="BV17" s="33"/>
      <c r="BW17" s="51">
        <f t="shared" si="89"/>
        <v>0</v>
      </c>
      <c r="BX17" s="51">
        <f t="shared" si="31"/>
        <v>266.87988</v>
      </c>
      <c r="BY17" s="33">
        <f t="shared" si="32"/>
        <v>266.87988</v>
      </c>
      <c r="BZ17" s="65">
        <f t="shared" si="33"/>
        <v>220.7217168</v>
      </c>
      <c r="CA17" s="65">
        <f t="shared" si="114"/>
        <v>119.0069496</v>
      </c>
      <c r="CB17" s="33"/>
      <c r="CC17" s="51">
        <f t="shared" si="90"/>
        <v>0</v>
      </c>
      <c r="CD17" s="51">
        <f t="shared" si="34"/>
        <v>1386.41424</v>
      </c>
      <c r="CE17" s="33">
        <f t="shared" si="35"/>
        <v>1386.41424</v>
      </c>
      <c r="CF17" s="65">
        <f t="shared" si="36"/>
        <v>1146.6272064</v>
      </c>
      <c r="CG17" s="65">
        <f t="shared" si="115"/>
        <v>618.2291808</v>
      </c>
      <c r="CH17" s="33"/>
      <c r="CI17" s="51">
        <f t="shared" si="91"/>
        <v>0</v>
      </c>
      <c r="CJ17" s="51">
        <f t="shared" si="37"/>
        <v>78.79195</v>
      </c>
      <c r="CK17" s="33">
        <f t="shared" si="38"/>
        <v>78.79195</v>
      </c>
      <c r="CL17" s="65">
        <f t="shared" si="39"/>
        <v>65.164502</v>
      </c>
      <c r="CM17" s="65">
        <f t="shared" si="116"/>
        <v>35.134869</v>
      </c>
      <c r="CN17" s="33"/>
      <c r="CO17" s="51">
        <f t="shared" si="92"/>
        <v>0</v>
      </c>
      <c r="CP17" s="51">
        <f t="shared" si="40"/>
        <v>278.485995</v>
      </c>
      <c r="CQ17" s="33">
        <f t="shared" si="41"/>
        <v>278.485995</v>
      </c>
      <c r="CR17" s="65">
        <f t="shared" si="42"/>
        <v>230.3204982</v>
      </c>
      <c r="CS17" s="65">
        <f t="shared" si="117"/>
        <v>124.18234290000001</v>
      </c>
      <c r="CT17" s="33"/>
      <c r="CU17" s="33">
        <f t="shared" si="93"/>
        <v>0</v>
      </c>
      <c r="CV17" s="33">
        <f t="shared" si="43"/>
        <v>1012.284135</v>
      </c>
      <c r="CW17" s="33">
        <f t="shared" si="44"/>
        <v>1012.284135</v>
      </c>
      <c r="CX17" s="65">
        <f t="shared" si="45"/>
        <v>837.2047086</v>
      </c>
      <c r="CY17" s="65">
        <f t="shared" si="118"/>
        <v>451.3972617</v>
      </c>
      <c r="CZ17" s="33"/>
      <c r="DA17" s="51">
        <f t="shared" si="94"/>
        <v>0</v>
      </c>
      <c r="DB17" s="51">
        <f t="shared" si="46"/>
        <v>6912.95048</v>
      </c>
      <c r="DC17" s="33">
        <f t="shared" si="47"/>
        <v>6912.95048</v>
      </c>
      <c r="DD17" s="65">
        <f t="shared" si="48"/>
        <v>5717.3223328</v>
      </c>
      <c r="DE17" s="65">
        <f t="shared" si="119"/>
        <v>3082.6196016000004</v>
      </c>
      <c r="DF17" s="33"/>
      <c r="DG17" s="51">
        <f t="shared" si="95"/>
        <v>0</v>
      </c>
      <c r="DH17" s="51">
        <f t="shared" si="49"/>
        <v>28610.410304999998</v>
      </c>
      <c r="DI17" s="33">
        <f t="shared" si="50"/>
        <v>28610.410304999998</v>
      </c>
      <c r="DJ17" s="65">
        <f t="shared" si="51"/>
        <v>23662.1017698</v>
      </c>
      <c r="DK17" s="65">
        <f t="shared" si="120"/>
        <v>12757.9406031</v>
      </c>
      <c r="DL17" s="33"/>
      <c r="DM17" s="51">
        <f t="shared" si="96"/>
        <v>0</v>
      </c>
      <c r="DN17" s="51">
        <f t="shared" si="52"/>
        <v>5259.57534</v>
      </c>
      <c r="DO17" s="33">
        <f t="shared" si="53"/>
        <v>5259.57534</v>
      </c>
      <c r="DP17" s="65">
        <f t="shared" si="54"/>
        <v>4349.9064024</v>
      </c>
      <c r="DQ17" s="65">
        <f t="shared" si="121"/>
        <v>2345.3473428</v>
      </c>
      <c r="DR17" s="33"/>
      <c r="DS17" s="51">
        <f t="shared" si="97"/>
        <v>0</v>
      </c>
      <c r="DT17" s="51">
        <f t="shared" si="55"/>
        <v>18007.079845</v>
      </c>
      <c r="DU17" s="33">
        <f t="shared" si="56"/>
        <v>18007.079845</v>
      </c>
      <c r="DV17" s="65">
        <f t="shared" si="57"/>
        <v>14892.668484200001</v>
      </c>
      <c r="DW17" s="65">
        <f t="shared" si="122"/>
        <v>8029.7085099000005</v>
      </c>
      <c r="DX17" s="33"/>
      <c r="DY17" s="51">
        <f t="shared" si="98"/>
        <v>0</v>
      </c>
      <c r="DZ17" s="51">
        <f t="shared" si="58"/>
        <v>3839.2339749999996</v>
      </c>
      <c r="EA17" s="33">
        <f t="shared" si="59"/>
        <v>3839.2339749999996</v>
      </c>
      <c r="EB17" s="65">
        <f t="shared" si="60"/>
        <v>3175.2199309999996</v>
      </c>
      <c r="EC17" s="65">
        <f t="shared" si="123"/>
        <v>1711.9893945</v>
      </c>
      <c r="ED17" s="33"/>
      <c r="EE17" s="51">
        <f t="shared" si="99"/>
        <v>0</v>
      </c>
      <c r="EF17" s="51">
        <f t="shared" si="61"/>
        <v>312.77770999999996</v>
      </c>
      <c r="EG17" s="33">
        <f t="shared" si="62"/>
        <v>312.77770999999996</v>
      </c>
      <c r="EH17" s="65">
        <f t="shared" si="63"/>
        <v>258.6812956</v>
      </c>
      <c r="EI17" s="65">
        <f t="shared" si="124"/>
        <v>139.4736882</v>
      </c>
      <c r="EJ17" s="33"/>
      <c r="EK17" s="51">
        <f t="shared" si="100"/>
        <v>0</v>
      </c>
      <c r="EL17" s="51">
        <f t="shared" si="64"/>
        <v>373.036335</v>
      </c>
      <c r="EM17" s="33">
        <f t="shared" si="65"/>
        <v>373.036335</v>
      </c>
      <c r="EN17" s="65">
        <f t="shared" si="66"/>
        <v>308.51790059999996</v>
      </c>
      <c r="EO17" s="65">
        <f t="shared" si="125"/>
        <v>166.3441857</v>
      </c>
      <c r="EP17" s="33"/>
      <c r="EQ17" s="51">
        <f t="shared" si="101"/>
        <v>0</v>
      </c>
      <c r="ER17" s="51">
        <f t="shared" si="67"/>
        <v>760.81831</v>
      </c>
      <c r="ES17" s="33">
        <f t="shared" si="68"/>
        <v>760.81831</v>
      </c>
      <c r="ET17" s="65">
        <f t="shared" si="69"/>
        <v>629.2311116</v>
      </c>
      <c r="EU17" s="65">
        <f t="shared" si="126"/>
        <v>339.2637402</v>
      </c>
      <c r="EV17" s="33"/>
      <c r="EW17" s="51">
        <f t="shared" si="102"/>
        <v>0</v>
      </c>
      <c r="EX17" s="51">
        <f t="shared" si="70"/>
        <v>20970.73068</v>
      </c>
      <c r="EY17" s="33">
        <f t="shared" si="71"/>
        <v>20970.73068</v>
      </c>
      <c r="EZ17" s="65">
        <f t="shared" si="72"/>
        <v>17343.7416048</v>
      </c>
      <c r="FA17" s="65">
        <f t="shared" si="127"/>
        <v>9351.2582856</v>
      </c>
      <c r="FB17" s="33"/>
      <c r="FC17" s="33">
        <f t="shared" si="103"/>
        <v>0</v>
      </c>
      <c r="FD17" s="33">
        <f t="shared" si="73"/>
        <v>814.4535500000001</v>
      </c>
      <c r="FE17" s="33">
        <f t="shared" si="74"/>
        <v>814.4535500000001</v>
      </c>
      <c r="FF17" s="65">
        <f t="shared" si="75"/>
        <v>673.589878</v>
      </c>
      <c r="FG17" s="65">
        <f t="shared" si="128"/>
        <v>363.180741</v>
      </c>
      <c r="FH17" s="33"/>
      <c r="FI17" s="51">
        <f t="shared" si="104"/>
        <v>0</v>
      </c>
      <c r="FJ17" s="51">
        <f t="shared" si="76"/>
        <v>1745.41386</v>
      </c>
      <c r="FK17" s="33">
        <f t="shared" si="77"/>
        <v>1745.41386</v>
      </c>
      <c r="FL17" s="65">
        <f t="shared" si="78"/>
        <v>1443.5361096000001</v>
      </c>
      <c r="FM17" s="65">
        <f t="shared" si="129"/>
        <v>778.3141212</v>
      </c>
      <c r="FN17" s="33"/>
      <c r="FO17" s="33"/>
      <c r="FP17" s="33"/>
      <c r="FQ17" s="33"/>
    </row>
    <row r="18" spans="1:173" ht="12.75">
      <c r="A18" s="52">
        <v>44105</v>
      </c>
      <c r="D18" s="35">
        <v>202550</v>
      </c>
      <c r="E18" s="35">
        <f t="shared" si="0"/>
        <v>202550</v>
      </c>
      <c r="F18" s="35">
        <v>167518</v>
      </c>
      <c r="G18" s="35">
        <v>90321</v>
      </c>
      <c r="I18" s="51">
        <f>'2016B Academic'!I18</f>
        <v>0</v>
      </c>
      <c r="J18" s="51">
        <f>'2016B Academic'!J18</f>
        <v>65130.661425</v>
      </c>
      <c r="K18" s="51">
        <f t="shared" si="79"/>
        <v>65130.661425</v>
      </c>
      <c r="L18" s="51">
        <f>'2016B Academic'!L18</f>
        <v>53865.999213</v>
      </c>
      <c r="M18" s="51">
        <f>'2016B Academic'!M18</f>
        <v>29043.0336735</v>
      </c>
      <c r="O18" s="51"/>
      <c r="P18" s="41">
        <f t="shared" si="1"/>
        <v>137419.33857500003</v>
      </c>
      <c r="Q18" s="33">
        <f t="shared" si="2"/>
        <v>137419.33857500003</v>
      </c>
      <c r="R18" s="41">
        <f t="shared" si="3"/>
        <v>113652.00078700003</v>
      </c>
      <c r="S18" s="41">
        <f t="shared" si="3"/>
        <v>61277.9663265</v>
      </c>
      <c r="U18" s="65"/>
      <c r="V18" s="65">
        <f t="shared" si="4"/>
        <v>11143.592075</v>
      </c>
      <c r="W18" s="20">
        <f t="shared" si="5"/>
        <v>11143.592075</v>
      </c>
      <c r="X18" s="65">
        <f t="shared" si="6"/>
        <v>9216.254047</v>
      </c>
      <c r="Y18" s="65">
        <f t="shared" si="105"/>
        <v>4969.1452965</v>
      </c>
      <c r="AA18" s="65"/>
      <c r="AB18" s="65">
        <f t="shared" si="7"/>
        <v>13603.926415</v>
      </c>
      <c r="AC18" s="20">
        <f t="shared" si="8"/>
        <v>13603.926415</v>
      </c>
      <c r="AD18" s="65">
        <f t="shared" si="9"/>
        <v>11251.0616894</v>
      </c>
      <c r="AE18" s="65">
        <f t="shared" si="106"/>
        <v>6066.2564193</v>
      </c>
      <c r="AH18" s="33">
        <f t="shared" si="10"/>
        <v>49.807045</v>
      </c>
      <c r="AI18" s="33">
        <f t="shared" si="11"/>
        <v>49.807045</v>
      </c>
      <c r="AJ18" s="65">
        <f t="shared" si="12"/>
        <v>41.1926762</v>
      </c>
      <c r="AK18" s="65">
        <f t="shared" si="107"/>
        <v>22.209933900000003</v>
      </c>
      <c r="AM18" s="65"/>
      <c r="AN18" s="65">
        <f t="shared" si="13"/>
        <v>2940.2360550000003</v>
      </c>
      <c r="AO18" s="20">
        <f t="shared" si="14"/>
        <v>2940.2360550000003</v>
      </c>
      <c r="AP18" s="65">
        <f t="shared" si="15"/>
        <v>2431.7080398000003</v>
      </c>
      <c r="AQ18" s="65">
        <f t="shared" si="108"/>
        <v>1311.1086681000002</v>
      </c>
      <c r="AS18" s="65"/>
      <c r="AT18" s="65">
        <f t="shared" si="16"/>
        <v>13528.820875000001</v>
      </c>
      <c r="AU18" s="20">
        <f t="shared" si="17"/>
        <v>13528.820875000001</v>
      </c>
      <c r="AV18" s="65">
        <f t="shared" si="18"/>
        <v>11188.946015000001</v>
      </c>
      <c r="AW18" s="65">
        <f t="shared" si="109"/>
        <v>6032.7653925</v>
      </c>
      <c r="AX18" s="33"/>
      <c r="AY18" s="65"/>
      <c r="AZ18" s="65">
        <f t="shared" si="19"/>
        <v>2132.77048</v>
      </c>
      <c r="BA18" s="20">
        <f t="shared" si="20"/>
        <v>2132.77048</v>
      </c>
      <c r="BB18" s="65">
        <f t="shared" si="21"/>
        <v>1763.8975328</v>
      </c>
      <c r="BC18" s="65">
        <f t="shared" si="110"/>
        <v>951.0440016</v>
      </c>
      <c r="BD18" s="33"/>
      <c r="BE18" s="51"/>
      <c r="BF18" s="51">
        <f t="shared" si="22"/>
        <v>118.47149499999999</v>
      </c>
      <c r="BG18" s="33">
        <f t="shared" si="23"/>
        <v>118.47149499999999</v>
      </c>
      <c r="BH18" s="65">
        <f t="shared" si="24"/>
        <v>97.98127819999999</v>
      </c>
      <c r="BI18" s="65">
        <f t="shared" si="111"/>
        <v>52.8287529</v>
      </c>
      <c r="BJ18" s="33"/>
      <c r="BK18" s="33"/>
      <c r="BL18" s="33">
        <f t="shared" si="25"/>
        <v>1364.640115</v>
      </c>
      <c r="BM18" s="33">
        <f t="shared" si="26"/>
        <v>1364.640115</v>
      </c>
      <c r="BN18" s="65">
        <f t="shared" si="27"/>
        <v>1128.6190214</v>
      </c>
      <c r="BO18" s="65">
        <f t="shared" si="112"/>
        <v>608.5196733</v>
      </c>
      <c r="BP18" s="33"/>
      <c r="BQ18" s="51"/>
      <c r="BR18" s="51">
        <f t="shared" si="28"/>
        <v>1907.73743</v>
      </c>
      <c r="BS18" s="33">
        <f t="shared" si="29"/>
        <v>1907.73743</v>
      </c>
      <c r="BT18" s="65">
        <f t="shared" si="30"/>
        <v>1577.7850348</v>
      </c>
      <c r="BU18" s="65">
        <f t="shared" si="113"/>
        <v>850.6973705999999</v>
      </c>
      <c r="BV18" s="33"/>
      <c r="BW18" s="51"/>
      <c r="BX18" s="51">
        <f t="shared" si="31"/>
        <v>266.87988</v>
      </c>
      <c r="BY18" s="33">
        <f t="shared" si="32"/>
        <v>266.87988</v>
      </c>
      <c r="BZ18" s="65">
        <f t="shared" si="33"/>
        <v>220.7217168</v>
      </c>
      <c r="CA18" s="65">
        <f t="shared" si="114"/>
        <v>119.0069496</v>
      </c>
      <c r="CB18" s="33"/>
      <c r="CC18" s="51"/>
      <c r="CD18" s="51">
        <f t="shared" si="34"/>
        <v>1386.41424</v>
      </c>
      <c r="CE18" s="33">
        <f t="shared" si="35"/>
        <v>1386.41424</v>
      </c>
      <c r="CF18" s="65">
        <f t="shared" si="36"/>
        <v>1146.6272064</v>
      </c>
      <c r="CG18" s="65">
        <f t="shared" si="115"/>
        <v>618.2291808</v>
      </c>
      <c r="CH18" s="33"/>
      <c r="CI18" s="51"/>
      <c r="CJ18" s="51">
        <f t="shared" si="37"/>
        <v>78.79195</v>
      </c>
      <c r="CK18" s="33">
        <f t="shared" si="38"/>
        <v>78.79195</v>
      </c>
      <c r="CL18" s="65">
        <f t="shared" si="39"/>
        <v>65.164502</v>
      </c>
      <c r="CM18" s="65">
        <f t="shared" si="116"/>
        <v>35.134869</v>
      </c>
      <c r="CN18" s="33"/>
      <c r="CO18" s="51"/>
      <c r="CP18" s="51">
        <f t="shared" si="40"/>
        <v>278.485995</v>
      </c>
      <c r="CQ18" s="33">
        <f t="shared" si="41"/>
        <v>278.485995</v>
      </c>
      <c r="CR18" s="65">
        <f t="shared" si="42"/>
        <v>230.3204982</v>
      </c>
      <c r="CS18" s="65">
        <f t="shared" si="117"/>
        <v>124.18234290000001</v>
      </c>
      <c r="CT18" s="33"/>
      <c r="CU18" s="33"/>
      <c r="CV18" s="33">
        <f t="shared" si="43"/>
        <v>1012.284135</v>
      </c>
      <c r="CW18" s="33">
        <f t="shared" si="44"/>
        <v>1012.284135</v>
      </c>
      <c r="CX18" s="65">
        <f t="shared" si="45"/>
        <v>837.2047086</v>
      </c>
      <c r="CY18" s="65">
        <f t="shared" si="118"/>
        <v>451.3972617</v>
      </c>
      <c r="CZ18" s="33"/>
      <c r="DA18" s="51"/>
      <c r="DB18" s="51">
        <f t="shared" si="46"/>
        <v>6912.95048</v>
      </c>
      <c r="DC18" s="33">
        <f t="shared" si="47"/>
        <v>6912.95048</v>
      </c>
      <c r="DD18" s="65">
        <f t="shared" si="48"/>
        <v>5717.3223328</v>
      </c>
      <c r="DE18" s="65">
        <f t="shared" si="119"/>
        <v>3082.6196016000004</v>
      </c>
      <c r="DF18" s="33"/>
      <c r="DG18" s="51"/>
      <c r="DH18" s="51">
        <f t="shared" si="49"/>
        <v>28610.410304999998</v>
      </c>
      <c r="DI18" s="33">
        <f t="shared" si="50"/>
        <v>28610.410304999998</v>
      </c>
      <c r="DJ18" s="65">
        <f t="shared" si="51"/>
        <v>23662.1017698</v>
      </c>
      <c r="DK18" s="65">
        <f t="shared" si="120"/>
        <v>12757.9406031</v>
      </c>
      <c r="DL18" s="33"/>
      <c r="DM18" s="51"/>
      <c r="DN18" s="51">
        <f t="shared" si="52"/>
        <v>5259.57534</v>
      </c>
      <c r="DO18" s="33">
        <f t="shared" si="53"/>
        <v>5259.57534</v>
      </c>
      <c r="DP18" s="65">
        <f t="shared" si="54"/>
        <v>4349.9064024</v>
      </c>
      <c r="DQ18" s="65">
        <f t="shared" si="121"/>
        <v>2345.3473428</v>
      </c>
      <c r="DR18" s="33"/>
      <c r="DS18" s="51"/>
      <c r="DT18" s="51">
        <f t="shared" si="55"/>
        <v>18007.079845</v>
      </c>
      <c r="DU18" s="33">
        <f t="shared" si="56"/>
        <v>18007.079845</v>
      </c>
      <c r="DV18" s="65">
        <f t="shared" si="57"/>
        <v>14892.668484200001</v>
      </c>
      <c r="DW18" s="65">
        <f t="shared" si="122"/>
        <v>8029.7085099000005</v>
      </c>
      <c r="DX18" s="33"/>
      <c r="DY18" s="51"/>
      <c r="DZ18" s="51">
        <f t="shared" si="58"/>
        <v>3839.2339749999996</v>
      </c>
      <c r="EA18" s="33">
        <f t="shared" si="59"/>
        <v>3839.2339749999996</v>
      </c>
      <c r="EB18" s="65">
        <f t="shared" si="60"/>
        <v>3175.2199309999996</v>
      </c>
      <c r="EC18" s="65">
        <f t="shared" si="123"/>
        <v>1711.9893945</v>
      </c>
      <c r="ED18" s="33"/>
      <c r="EE18" s="51"/>
      <c r="EF18" s="51">
        <f t="shared" si="61"/>
        <v>312.77770999999996</v>
      </c>
      <c r="EG18" s="33">
        <f t="shared" si="62"/>
        <v>312.77770999999996</v>
      </c>
      <c r="EH18" s="65">
        <f t="shared" si="63"/>
        <v>258.6812956</v>
      </c>
      <c r="EI18" s="65">
        <f t="shared" si="124"/>
        <v>139.4736882</v>
      </c>
      <c r="EJ18" s="33"/>
      <c r="EK18" s="51"/>
      <c r="EL18" s="51">
        <f t="shared" si="64"/>
        <v>373.036335</v>
      </c>
      <c r="EM18" s="33">
        <f t="shared" si="65"/>
        <v>373.036335</v>
      </c>
      <c r="EN18" s="65">
        <f t="shared" si="66"/>
        <v>308.51790059999996</v>
      </c>
      <c r="EO18" s="65">
        <f t="shared" si="125"/>
        <v>166.3441857</v>
      </c>
      <c r="EP18" s="33"/>
      <c r="EQ18" s="51"/>
      <c r="ER18" s="51">
        <f t="shared" si="67"/>
        <v>760.81831</v>
      </c>
      <c r="ES18" s="33">
        <f t="shared" si="68"/>
        <v>760.81831</v>
      </c>
      <c r="ET18" s="65">
        <f t="shared" si="69"/>
        <v>629.2311116</v>
      </c>
      <c r="EU18" s="65">
        <f t="shared" si="126"/>
        <v>339.2637402</v>
      </c>
      <c r="EV18" s="33"/>
      <c r="EW18" s="51"/>
      <c r="EX18" s="51">
        <f t="shared" si="70"/>
        <v>20970.73068</v>
      </c>
      <c r="EY18" s="33">
        <f t="shared" si="71"/>
        <v>20970.73068</v>
      </c>
      <c r="EZ18" s="65">
        <f t="shared" si="72"/>
        <v>17343.7416048</v>
      </c>
      <c r="FA18" s="65">
        <f t="shared" si="127"/>
        <v>9351.2582856</v>
      </c>
      <c r="FB18" s="33"/>
      <c r="FC18" s="33"/>
      <c r="FD18" s="33">
        <f t="shared" si="73"/>
        <v>814.4535500000001</v>
      </c>
      <c r="FE18" s="33">
        <f t="shared" si="74"/>
        <v>814.4535500000001</v>
      </c>
      <c r="FF18" s="65">
        <f t="shared" si="75"/>
        <v>673.589878</v>
      </c>
      <c r="FG18" s="65">
        <f t="shared" si="128"/>
        <v>363.180741</v>
      </c>
      <c r="FH18" s="33"/>
      <c r="FI18" s="51"/>
      <c r="FJ18" s="51">
        <f t="shared" si="76"/>
        <v>1745.41386</v>
      </c>
      <c r="FK18" s="33">
        <f t="shared" si="77"/>
        <v>1745.41386</v>
      </c>
      <c r="FL18" s="65">
        <f t="shared" si="78"/>
        <v>1443.5361096000001</v>
      </c>
      <c r="FM18" s="65">
        <f t="shared" si="129"/>
        <v>778.3141212</v>
      </c>
      <c r="FN18" s="33"/>
      <c r="FO18" s="33"/>
      <c r="FP18" s="33"/>
      <c r="FQ18" s="33"/>
    </row>
    <row r="19" spans="1:173" ht="12.75">
      <c r="A19" s="52">
        <v>44287</v>
      </c>
      <c r="C19" s="35">
        <v>4970000</v>
      </c>
      <c r="D19" s="35">
        <v>202550</v>
      </c>
      <c r="E19" s="35">
        <f t="shared" si="0"/>
        <v>5172550</v>
      </c>
      <c r="F19" s="35">
        <v>167518</v>
      </c>
      <c r="G19" s="35">
        <v>90321</v>
      </c>
      <c r="I19" s="51">
        <f>'2016B Academic'!I19</f>
        <v>1598120.8949999998</v>
      </c>
      <c r="J19" s="51">
        <f>'2016B Academic'!J19</f>
        <v>65130.661425</v>
      </c>
      <c r="K19" s="51">
        <f t="shared" si="79"/>
        <v>1663251.5564249998</v>
      </c>
      <c r="L19" s="51">
        <f>'2016B Academic'!L19</f>
        <v>53865.999213</v>
      </c>
      <c r="M19" s="51">
        <f>'2016B Academic'!M19</f>
        <v>29043.0336735</v>
      </c>
      <c r="O19" s="51">
        <f>U19+AA19+AG19+AM19+AS19+AY19+BE19+BK19+BQ19+CC19+CO19+CU19+DA19+DG19+DM19+EK19+EQ19+EW19+FC19+FI19+FO19+BW19+CI19+DS19+DY19+EE19</f>
        <v>3371879.105</v>
      </c>
      <c r="P19" s="41">
        <f t="shared" si="1"/>
        <v>137419.33857500003</v>
      </c>
      <c r="Q19" s="33">
        <f t="shared" si="2"/>
        <v>3509298.443575</v>
      </c>
      <c r="R19" s="41">
        <f t="shared" si="3"/>
        <v>113652.00078700003</v>
      </c>
      <c r="S19" s="41">
        <f t="shared" si="3"/>
        <v>61277.9663265</v>
      </c>
      <c r="U19" s="65">
        <f t="shared" si="80"/>
        <v>273432.005</v>
      </c>
      <c r="V19" s="65">
        <f t="shared" si="4"/>
        <v>11143.592075</v>
      </c>
      <c r="W19" s="20">
        <f t="shared" si="5"/>
        <v>284575.597075</v>
      </c>
      <c r="X19" s="65">
        <f t="shared" si="6"/>
        <v>9216.254047</v>
      </c>
      <c r="Y19" s="65">
        <f t="shared" si="105"/>
        <v>4969.1452965</v>
      </c>
      <c r="AA19" s="65">
        <f t="shared" si="81"/>
        <v>333801.60099999997</v>
      </c>
      <c r="AB19" s="65">
        <f t="shared" si="7"/>
        <v>13603.926415</v>
      </c>
      <c r="AC19" s="20">
        <f t="shared" si="8"/>
        <v>347405.52741499996</v>
      </c>
      <c r="AD19" s="65">
        <f t="shared" si="9"/>
        <v>11251.0616894</v>
      </c>
      <c r="AE19" s="65">
        <f t="shared" si="106"/>
        <v>6066.2564193</v>
      </c>
      <c r="AG19" s="33">
        <f t="shared" si="82"/>
        <v>1222.123</v>
      </c>
      <c r="AH19" s="33">
        <f t="shared" si="10"/>
        <v>49.807045</v>
      </c>
      <c r="AI19" s="33">
        <f t="shared" si="11"/>
        <v>1271.930045</v>
      </c>
      <c r="AJ19" s="65">
        <f t="shared" si="12"/>
        <v>41.1926762</v>
      </c>
      <c r="AK19" s="65">
        <f t="shared" si="107"/>
        <v>22.209933900000003</v>
      </c>
      <c r="AM19" s="65">
        <f t="shared" si="83"/>
        <v>72145.017</v>
      </c>
      <c r="AN19" s="65">
        <f t="shared" si="13"/>
        <v>2940.2360550000003</v>
      </c>
      <c r="AO19" s="20">
        <f t="shared" si="14"/>
        <v>75085.25305500001</v>
      </c>
      <c r="AP19" s="65">
        <f t="shared" si="15"/>
        <v>2431.7080398000003</v>
      </c>
      <c r="AQ19" s="65">
        <f t="shared" si="108"/>
        <v>1311.1086681000002</v>
      </c>
      <c r="AS19" s="65">
        <f t="shared" si="84"/>
        <v>331958.72500000003</v>
      </c>
      <c r="AT19" s="65">
        <f t="shared" si="16"/>
        <v>13528.820875000001</v>
      </c>
      <c r="AU19" s="20">
        <f t="shared" si="17"/>
        <v>345487.545875</v>
      </c>
      <c r="AV19" s="65">
        <f t="shared" si="18"/>
        <v>11188.946015000001</v>
      </c>
      <c r="AW19" s="65">
        <f t="shared" si="109"/>
        <v>6032.7653925</v>
      </c>
      <c r="AX19" s="33"/>
      <c r="AY19" s="65">
        <f t="shared" si="85"/>
        <v>52332.112</v>
      </c>
      <c r="AZ19" s="65">
        <f t="shared" si="19"/>
        <v>2132.77048</v>
      </c>
      <c r="BA19" s="20">
        <f t="shared" si="20"/>
        <v>54464.88248</v>
      </c>
      <c r="BB19" s="65">
        <f t="shared" si="21"/>
        <v>1763.8975328</v>
      </c>
      <c r="BC19" s="65">
        <f t="shared" si="110"/>
        <v>951.0440016</v>
      </c>
      <c r="BD19" s="33"/>
      <c r="BE19" s="51">
        <f t="shared" si="86"/>
        <v>2906.953</v>
      </c>
      <c r="BF19" s="51">
        <f t="shared" si="22"/>
        <v>118.47149499999999</v>
      </c>
      <c r="BG19" s="33">
        <f t="shared" si="23"/>
        <v>3025.4244949999998</v>
      </c>
      <c r="BH19" s="65">
        <f t="shared" si="24"/>
        <v>97.98127819999999</v>
      </c>
      <c r="BI19" s="65">
        <f t="shared" si="111"/>
        <v>52.8287529</v>
      </c>
      <c r="BJ19" s="33"/>
      <c r="BK19" s="33">
        <f t="shared" si="87"/>
        <v>33484.381</v>
      </c>
      <c r="BL19" s="33">
        <f t="shared" si="25"/>
        <v>1364.640115</v>
      </c>
      <c r="BM19" s="33">
        <f t="shared" si="26"/>
        <v>34849.021115</v>
      </c>
      <c r="BN19" s="65">
        <f t="shared" si="27"/>
        <v>1128.6190214</v>
      </c>
      <c r="BO19" s="65">
        <f t="shared" si="112"/>
        <v>608.5196733</v>
      </c>
      <c r="BP19" s="33"/>
      <c r="BQ19" s="51">
        <f t="shared" si="88"/>
        <v>46810.441999999995</v>
      </c>
      <c r="BR19" s="51">
        <f t="shared" si="28"/>
        <v>1907.73743</v>
      </c>
      <c r="BS19" s="33">
        <f t="shared" si="29"/>
        <v>48718.17943</v>
      </c>
      <c r="BT19" s="65">
        <f t="shared" si="30"/>
        <v>1577.7850348</v>
      </c>
      <c r="BU19" s="65">
        <f t="shared" si="113"/>
        <v>850.6973705999999</v>
      </c>
      <c r="BV19" s="33"/>
      <c r="BW19" s="51">
        <f t="shared" si="89"/>
        <v>6548.472</v>
      </c>
      <c r="BX19" s="51">
        <f t="shared" si="31"/>
        <v>266.87988</v>
      </c>
      <c r="BY19" s="33">
        <f t="shared" si="32"/>
        <v>6815.35188</v>
      </c>
      <c r="BZ19" s="65">
        <f t="shared" si="33"/>
        <v>220.7217168</v>
      </c>
      <c r="CA19" s="65">
        <f t="shared" si="114"/>
        <v>119.0069496</v>
      </c>
      <c r="CB19" s="33"/>
      <c r="CC19" s="51">
        <f t="shared" si="90"/>
        <v>34018.656</v>
      </c>
      <c r="CD19" s="51">
        <f t="shared" si="34"/>
        <v>1386.41424</v>
      </c>
      <c r="CE19" s="33">
        <f t="shared" si="35"/>
        <v>35405.07024</v>
      </c>
      <c r="CF19" s="65">
        <f t="shared" si="36"/>
        <v>1146.6272064</v>
      </c>
      <c r="CG19" s="65">
        <f t="shared" si="115"/>
        <v>618.2291808</v>
      </c>
      <c r="CH19" s="33"/>
      <c r="CI19" s="51">
        <f t="shared" si="91"/>
        <v>1933.3300000000002</v>
      </c>
      <c r="CJ19" s="51">
        <f t="shared" si="37"/>
        <v>78.79195</v>
      </c>
      <c r="CK19" s="33">
        <f t="shared" si="38"/>
        <v>2012.1219500000002</v>
      </c>
      <c r="CL19" s="65">
        <f t="shared" si="39"/>
        <v>65.164502</v>
      </c>
      <c r="CM19" s="65">
        <f t="shared" si="116"/>
        <v>35.134869</v>
      </c>
      <c r="CN19" s="33"/>
      <c r="CO19" s="51">
        <f t="shared" si="92"/>
        <v>6833.253000000001</v>
      </c>
      <c r="CP19" s="51">
        <f t="shared" si="40"/>
        <v>278.485995</v>
      </c>
      <c r="CQ19" s="33">
        <f t="shared" si="41"/>
        <v>7111.738995000001</v>
      </c>
      <c r="CR19" s="65">
        <f t="shared" si="42"/>
        <v>230.3204982</v>
      </c>
      <c r="CS19" s="65">
        <f t="shared" si="117"/>
        <v>124.18234290000001</v>
      </c>
      <c r="CT19" s="33"/>
      <c r="CU19" s="33">
        <f t="shared" si="93"/>
        <v>24838.569</v>
      </c>
      <c r="CV19" s="33">
        <f t="shared" si="43"/>
        <v>1012.284135</v>
      </c>
      <c r="CW19" s="33">
        <f t="shared" si="44"/>
        <v>25850.853135</v>
      </c>
      <c r="CX19" s="65">
        <f t="shared" si="45"/>
        <v>837.2047086</v>
      </c>
      <c r="CY19" s="65">
        <f t="shared" si="118"/>
        <v>451.3972617</v>
      </c>
      <c r="CZ19" s="33"/>
      <c r="DA19" s="51">
        <f t="shared" si="94"/>
        <v>169624.11200000002</v>
      </c>
      <c r="DB19" s="51">
        <f t="shared" si="46"/>
        <v>6912.95048</v>
      </c>
      <c r="DC19" s="33">
        <f t="shared" si="47"/>
        <v>176537.06248000002</v>
      </c>
      <c r="DD19" s="65">
        <f t="shared" si="48"/>
        <v>5717.3223328</v>
      </c>
      <c r="DE19" s="65">
        <f t="shared" si="119"/>
        <v>3082.6196016000004</v>
      </c>
      <c r="DF19" s="33"/>
      <c r="DG19" s="51">
        <f t="shared" si="95"/>
        <v>702017.967</v>
      </c>
      <c r="DH19" s="51">
        <f t="shared" si="49"/>
        <v>28610.410304999998</v>
      </c>
      <c r="DI19" s="33">
        <f t="shared" si="50"/>
        <v>730628.377305</v>
      </c>
      <c r="DJ19" s="65">
        <f t="shared" si="51"/>
        <v>23662.1017698</v>
      </c>
      <c r="DK19" s="65">
        <f t="shared" si="120"/>
        <v>12757.9406031</v>
      </c>
      <c r="DL19" s="33"/>
      <c r="DM19" s="51">
        <f t="shared" si="96"/>
        <v>129054.99600000001</v>
      </c>
      <c r="DN19" s="51">
        <f t="shared" si="52"/>
        <v>5259.57534</v>
      </c>
      <c r="DO19" s="33">
        <f t="shared" si="53"/>
        <v>134314.57134000002</v>
      </c>
      <c r="DP19" s="65">
        <f t="shared" si="54"/>
        <v>4349.9064024</v>
      </c>
      <c r="DQ19" s="65">
        <f t="shared" si="121"/>
        <v>2345.3473428</v>
      </c>
      <c r="DR19" s="33"/>
      <c r="DS19" s="51">
        <f t="shared" si="97"/>
        <v>441842.443</v>
      </c>
      <c r="DT19" s="51">
        <f t="shared" si="55"/>
        <v>18007.079845</v>
      </c>
      <c r="DU19" s="33">
        <f t="shared" si="56"/>
        <v>459849.522845</v>
      </c>
      <c r="DV19" s="65">
        <f t="shared" si="57"/>
        <v>14892.668484200001</v>
      </c>
      <c r="DW19" s="65">
        <f t="shared" si="122"/>
        <v>8029.7085099000005</v>
      </c>
      <c r="DX19" s="33"/>
      <c r="DY19" s="51">
        <f t="shared" si="98"/>
        <v>94203.86499999999</v>
      </c>
      <c r="DZ19" s="51">
        <f t="shared" si="58"/>
        <v>3839.2339749999996</v>
      </c>
      <c r="EA19" s="33">
        <f t="shared" si="59"/>
        <v>98043.09897499999</v>
      </c>
      <c r="EB19" s="65">
        <f t="shared" si="60"/>
        <v>3175.2199309999996</v>
      </c>
      <c r="EC19" s="65">
        <f t="shared" si="123"/>
        <v>1711.9893945</v>
      </c>
      <c r="ED19" s="33"/>
      <c r="EE19" s="51">
        <f t="shared" si="99"/>
        <v>7674.674</v>
      </c>
      <c r="EF19" s="51">
        <f t="shared" si="61"/>
        <v>312.77770999999996</v>
      </c>
      <c r="EG19" s="33">
        <f t="shared" si="62"/>
        <v>7987.45171</v>
      </c>
      <c r="EH19" s="65">
        <f t="shared" si="63"/>
        <v>258.6812956</v>
      </c>
      <c r="EI19" s="65">
        <f t="shared" si="124"/>
        <v>139.4736882</v>
      </c>
      <c r="EJ19" s="33"/>
      <c r="EK19" s="51">
        <f t="shared" si="100"/>
        <v>9153.249</v>
      </c>
      <c r="EL19" s="51">
        <f t="shared" si="64"/>
        <v>373.036335</v>
      </c>
      <c r="EM19" s="33">
        <f t="shared" si="65"/>
        <v>9526.285335</v>
      </c>
      <c r="EN19" s="65">
        <f t="shared" si="66"/>
        <v>308.51790059999996</v>
      </c>
      <c r="EO19" s="65">
        <f t="shared" si="125"/>
        <v>166.3441857</v>
      </c>
      <c r="EP19" s="33"/>
      <c r="EQ19" s="51">
        <f t="shared" si="101"/>
        <v>18668.314</v>
      </c>
      <c r="ER19" s="51">
        <f t="shared" si="67"/>
        <v>760.81831</v>
      </c>
      <c r="ES19" s="33">
        <f t="shared" si="68"/>
        <v>19429.132309999997</v>
      </c>
      <c r="ET19" s="65">
        <f t="shared" si="69"/>
        <v>629.2311116</v>
      </c>
      <c r="EU19" s="65">
        <f t="shared" si="126"/>
        <v>339.2637402</v>
      </c>
      <c r="EV19" s="33"/>
      <c r="EW19" s="51">
        <f t="shared" si="102"/>
        <v>514561.992</v>
      </c>
      <c r="EX19" s="51">
        <f t="shared" si="70"/>
        <v>20970.73068</v>
      </c>
      <c r="EY19" s="33">
        <f t="shared" si="71"/>
        <v>535532.72268</v>
      </c>
      <c r="EZ19" s="65">
        <f t="shared" si="72"/>
        <v>17343.7416048</v>
      </c>
      <c r="FA19" s="65">
        <f t="shared" si="127"/>
        <v>9351.2582856</v>
      </c>
      <c r="FB19" s="33"/>
      <c r="FC19" s="33">
        <f t="shared" si="103"/>
        <v>19984.370000000003</v>
      </c>
      <c r="FD19" s="33">
        <f t="shared" si="73"/>
        <v>814.4535500000001</v>
      </c>
      <c r="FE19" s="33">
        <f t="shared" si="74"/>
        <v>20798.82355</v>
      </c>
      <c r="FF19" s="65">
        <f t="shared" si="75"/>
        <v>673.589878</v>
      </c>
      <c r="FG19" s="65">
        <f t="shared" si="128"/>
        <v>363.180741</v>
      </c>
      <c r="FH19" s="33"/>
      <c r="FI19" s="51">
        <f t="shared" si="104"/>
        <v>42827.484000000004</v>
      </c>
      <c r="FJ19" s="51">
        <f t="shared" si="76"/>
        <v>1745.41386</v>
      </c>
      <c r="FK19" s="33">
        <f t="shared" si="77"/>
        <v>44572.897860000005</v>
      </c>
      <c r="FL19" s="65">
        <f t="shared" si="78"/>
        <v>1443.5361096000001</v>
      </c>
      <c r="FM19" s="65">
        <f t="shared" si="129"/>
        <v>778.3141212</v>
      </c>
      <c r="FN19" s="33"/>
      <c r="FO19" s="33"/>
      <c r="FP19" s="33"/>
      <c r="FQ19" s="33"/>
    </row>
    <row r="20" spans="1:173" ht="12.75">
      <c r="A20" s="52">
        <v>44470</v>
      </c>
      <c r="D20" s="35">
        <v>128000</v>
      </c>
      <c r="E20" s="35">
        <f t="shared" si="0"/>
        <v>128000</v>
      </c>
      <c r="F20" s="35">
        <v>167518</v>
      </c>
      <c r="G20" s="35">
        <v>90321</v>
      </c>
      <c r="I20" s="51">
        <f>'2016B Academic'!I20</f>
        <v>0</v>
      </c>
      <c r="J20" s="51">
        <f>'2016B Academic'!J20</f>
        <v>41158.848</v>
      </c>
      <c r="K20" s="51">
        <f t="shared" si="79"/>
        <v>41158.848</v>
      </c>
      <c r="L20" s="51">
        <f>'2016B Academic'!L20</f>
        <v>53865.999213</v>
      </c>
      <c r="M20" s="51">
        <f>'2016B Academic'!M20</f>
        <v>29043.0336735</v>
      </c>
      <c r="O20" s="51"/>
      <c r="P20" s="41">
        <f t="shared" si="1"/>
        <v>86841.152</v>
      </c>
      <c r="Q20" s="33">
        <f t="shared" si="2"/>
        <v>86841.152</v>
      </c>
      <c r="R20" s="41">
        <f t="shared" si="3"/>
        <v>113652.00078700003</v>
      </c>
      <c r="S20" s="41">
        <f t="shared" si="3"/>
        <v>61277.9663265</v>
      </c>
      <c r="U20" s="65"/>
      <c r="V20" s="65">
        <f t="shared" si="4"/>
        <v>7042.112</v>
      </c>
      <c r="W20" s="20">
        <f t="shared" si="5"/>
        <v>7042.112</v>
      </c>
      <c r="X20" s="65">
        <f t="shared" si="6"/>
        <v>9216.254047</v>
      </c>
      <c r="Y20" s="65">
        <f t="shared" si="105"/>
        <v>4969.1452965</v>
      </c>
      <c r="AA20" s="65"/>
      <c r="AB20" s="65">
        <f t="shared" si="7"/>
        <v>8596.902399999999</v>
      </c>
      <c r="AC20" s="20">
        <f t="shared" si="8"/>
        <v>8596.902399999999</v>
      </c>
      <c r="AD20" s="65">
        <f t="shared" si="9"/>
        <v>11251.0616894</v>
      </c>
      <c r="AE20" s="65">
        <f t="shared" si="106"/>
        <v>6066.2564193</v>
      </c>
      <c r="AH20" s="33">
        <f t="shared" si="10"/>
        <v>31.4752</v>
      </c>
      <c r="AI20" s="33">
        <f t="shared" si="11"/>
        <v>31.4752</v>
      </c>
      <c r="AJ20" s="65">
        <f t="shared" si="12"/>
        <v>41.1926762</v>
      </c>
      <c r="AK20" s="65">
        <f t="shared" si="107"/>
        <v>22.209933900000003</v>
      </c>
      <c r="AM20" s="65"/>
      <c r="AN20" s="65">
        <f t="shared" si="13"/>
        <v>1858.0608</v>
      </c>
      <c r="AO20" s="20">
        <f t="shared" si="14"/>
        <v>1858.0608</v>
      </c>
      <c r="AP20" s="65">
        <f t="shared" si="15"/>
        <v>2431.7080398000003</v>
      </c>
      <c r="AQ20" s="65">
        <f t="shared" si="108"/>
        <v>1311.1086681000002</v>
      </c>
      <c r="AS20" s="65"/>
      <c r="AT20" s="65">
        <f t="shared" si="16"/>
        <v>8549.44</v>
      </c>
      <c r="AU20" s="20">
        <f t="shared" si="17"/>
        <v>8549.44</v>
      </c>
      <c r="AV20" s="65">
        <f t="shared" si="18"/>
        <v>11188.946015000001</v>
      </c>
      <c r="AW20" s="65">
        <f t="shared" si="109"/>
        <v>6032.7653925</v>
      </c>
      <c r="AX20" s="33"/>
      <c r="AY20" s="65"/>
      <c r="AZ20" s="65">
        <f t="shared" si="19"/>
        <v>1347.7888</v>
      </c>
      <c r="BA20" s="20">
        <f t="shared" si="20"/>
        <v>1347.7888</v>
      </c>
      <c r="BB20" s="65">
        <f t="shared" si="21"/>
        <v>1763.8975328</v>
      </c>
      <c r="BC20" s="65">
        <f t="shared" si="110"/>
        <v>951.0440016</v>
      </c>
      <c r="BD20" s="33"/>
      <c r="BE20" s="51"/>
      <c r="BF20" s="51">
        <f t="shared" si="22"/>
        <v>74.8672</v>
      </c>
      <c r="BG20" s="33">
        <f t="shared" si="23"/>
        <v>74.8672</v>
      </c>
      <c r="BH20" s="65">
        <f t="shared" si="24"/>
        <v>97.98127819999999</v>
      </c>
      <c r="BI20" s="65">
        <f t="shared" si="111"/>
        <v>52.8287529</v>
      </c>
      <c r="BJ20" s="33"/>
      <c r="BK20" s="33"/>
      <c r="BL20" s="33">
        <f t="shared" si="25"/>
        <v>862.3744</v>
      </c>
      <c r="BM20" s="33">
        <f t="shared" si="26"/>
        <v>862.3744</v>
      </c>
      <c r="BN20" s="65">
        <f t="shared" si="27"/>
        <v>1128.6190214</v>
      </c>
      <c r="BO20" s="65">
        <f t="shared" si="112"/>
        <v>608.5196733</v>
      </c>
      <c r="BP20" s="33"/>
      <c r="BQ20" s="51"/>
      <c r="BR20" s="51">
        <f t="shared" si="28"/>
        <v>1205.5808</v>
      </c>
      <c r="BS20" s="33">
        <f t="shared" si="29"/>
        <v>1205.5808</v>
      </c>
      <c r="BT20" s="65">
        <f t="shared" si="30"/>
        <v>1577.7850348</v>
      </c>
      <c r="BU20" s="65">
        <f t="shared" si="113"/>
        <v>850.6973705999999</v>
      </c>
      <c r="BV20" s="33"/>
      <c r="BW20" s="51"/>
      <c r="BX20" s="51">
        <f t="shared" si="31"/>
        <v>168.65279999999998</v>
      </c>
      <c r="BY20" s="33">
        <f t="shared" si="32"/>
        <v>168.65279999999998</v>
      </c>
      <c r="BZ20" s="65">
        <f t="shared" si="33"/>
        <v>220.7217168</v>
      </c>
      <c r="CA20" s="65">
        <f t="shared" si="114"/>
        <v>119.0069496</v>
      </c>
      <c r="CB20" s="33"/>
      <c r="CC20" s="51"/>
      <c r="CD20" s="51">
        <f t="shared" si="34"/>
        <v>876.1344</v>
      </c>
      <c r="CE20" s="33">
        <f t="shared" si="35"/>
        <v>876.1344</v>
      </c>
      <c r="CF20" s="65">
        <f t="shared" si="36"/>
        <v>1146.6272064</v>
      </c>
      <c r="CG20" s="65">
        <f t="shared" si="115"/>
        <v>618.2291808</v>
      </c>
      <c r="CH20" s="33"/>
      <c r="CI20" s="51"/>
      <c r="CJ20" s="51">
        <f t="shared" si="37"/>
        <v>49.792</v>
      </c>
      <c r="CK20" s="33">
        <f t="shared" si="38"/>
        <v>49.792</v>
      </c>
      <c r="CL20" s="65">
        <f t="shared" si="39"/>
        <v>65.164502</v>
      </c>
      <c r="CM20" s="65">
        <f t="shared" si="116"/>
        <v>35.134869</v>
      </c>
      <c r="CN20" s="33"/>
      <c r="CO20" s="51"/>
      <c r="CP20" s="51">
        <f t="shared" si="40"/>
        <v>175.9872</v>
      </c>
      <c r="CQ20" s="33">
        <f t="shared" si="41"/>
        <v>175.9872</v>
      </c>
      <c r="CR20" s="65">
        <f t="shared" si="42"/>
        <v>230.3204982</v>
      </c>
      <c r="CS20" s="65">
        <f t="shared" si="117"/>
        <v>124.18234290000001</v>
      </c>
      <c r="CT20" s="33"/>
      <c r="CU20" s="33"/>
      <c r="CV20" s="33">
        <f t="shared" si="43"/>
        <v>639.7056</v>
      </c>
      <c r="CW20" s="33">
        <f t="shared" si="44"/>
        <v>639.7056</v>
      </c>
      <c r="CX20" s="65">
        <f t="shared" si="45"/>
        <v>837.2047086</v>
      </c>
      <c r="CY20" s="65">
        <f t="shared" si="118"/>
        <v>451.3972617</v>
      </c>
      <c r="CZ20" s="33"/>
      <c r="DA20" s="51"/>
      <c r="DB20" s="51">
        <f t="shared" si="46"/>
        <v>4368.5888</v>
      </c>
      <c r="DC20" s="33">
        <f t="shared" si="47"/>
        <v>4368.5888</v>
      </c>
      <c r="DD20" s="65">
        <f t="shared" si="48"/>
        <v>5717.3223328</v>
      </c>
      <c r="DE20" s="65">
        <f t="shared" si="119"/>
        <v>3082.6196016000004</v>
      </c>
      <c r="DF20" s="33"/>
      <c r="DG20" s="51"/>
      <c r="DH20" s="51">
        <f t="shared" si="49"/>
        <v>18080.140799999997</v>
      </c>
      <c r="DI20" s="33">
        <f t="shared" si="50"/>
        <v>18080.140799999997</v>
      </c>
      <c r="DJ20" s="65">
        <f t="shared" si="51"/>
        <v>23662.1017698</v>
      </c>
      <c r="DK20" s="65">
        <f t="shared" si="120"/>
        <v>12757.9406031</v>
      </c>
      <c r="DL20" s="33"/>
      <c r="DM20" s="51"/>
      <c r="DN20" s="51">
        <f t="shared" si="52"/>
        <v>3323.7504000000004</v>
      </c>
      <c r="DO20" s="33">
        <f t="shared" si="53"/>
        <v>3323.7504000000004</v>
      </c>
      <c r="DP20" s="65">
        <f t="shared" si="54"/>
        <v>4349.9064024</v>
      </c>
      <c r="DQ20" s="65">
        <f t="shared" si="121"/>
        <v>2345.3473428</v>
      </c>
      <c r="DR20" s="33"/>
      <c r="DS20" s="51"/>
      <c r="DT20" s="51">
        <f t="shared" si="55"/>
        <v>11379.443200000002</v>
      </c>
      <c r="DU20" s="33">
        <f t="shared" si="56"/>
        <v>11379.443200000002</v>
      </c>
      <c r="DV20" s="65">
        <f t="shared" si="57"/>
        <v>14892.668484200001</v>
      </c>
      <c r="DW20" s="65">
        <f t="shared" si="122"/>
        <v>8029.7085099000005</v>
      </c>
      <c r="DX20" s="33"/>
      <c r="DY20" s="51"/>
      <c r="DZ20" s="51">
        <f t="shared" si="58"/>
        <v>2426.176</v>
      </c>
      <c r="EA20" s="33">
        <f t="shared" si="59"/>
        <v>2426.176</v>
      </c>
      <c r="EB20" s="65">
        <f t="shared" si="60"/>
        <v>3175.2199309999996</v>
      </c>
      <c r="EC20" s="65">
        <f t="shared" si="123"/>
        <v>1711.9893945</v>
      </c>
      <c r="ED20" s="33"/>
      <c r="EE20" s="51"/>
      <c r="EF20" s="51">
        <f t="shared" si="61"/>
        <v>197.6576</v>
      </c>
      <c r="EG20" s="33">
        <f t="shared" si="62"/>
        <v>197.6576</v>
      </c>
      <c r="EH20" s="65">
        <f t="shared" si="63"/>
        <v>258.6812956</v>
      </c>
      <c r="EI20" s="65">
        <f t="shared" si="124"/>
        <v>139.4736882</v>
      </c>
      <c r="EJ20" s="33"/>
      <c r="EK20" s="51"/>
      <c r="EL20" s="51">
        <f t="shared" si="64"/>
        <v>235.7376</v>
      </c>
      <c r="EM20" s="33">
        <f t="shared" si="65"/>
        <v>235.7376</v>
      </c>
      <c r="EN20" s="65">
        <f t="shared" si="66"/>
        <v>308.51790059999996</v>
      </c>
      <c r="EO20" s="65">
        <f t="shared" si="125"/>
        <v>166.3441857</v>
      </c>
      <c r="EP20" s="33"/>
      <c r="EQ20" s="51"/>
      <c r="ER20" s="51">
        <f t="shared" si="67"/>
        <v>480.79359999999997</v>
      </c>
      <c r="ES20" s="33">
        <f t="shared" si="68"/>
        <v>480.79359999999997</v>
      </c>
      <c r="ET20" s="65">
        <f t="shared" si="69"/>
        <v>629.2311116</v>
      </c>
      <c r="EU20" s="65">
        <f t="shared" si="126"/>
        <v>339.2637402</v>
      </c>
      <c r="EV20" s="33"/>
      <c r="EW20" s="51"/>
      <c r="EX20" s="51">
        <f t="shared" si="70"/>
        <v>13252.3008</v>
      </c>
      <c r="EY20" s="33">
        <f t="shared" si="71"/>
        <v>13252.3008</v>
      </c>
      <c r="EZ20" s="65">
        <f t="shared" si="72"/>
        <v>17343.7416048</v>
      </c>
      <c r="FA20" s="65">
        <f t="shared" si="127"/>
        <v>9351.2582856</v>
      </c>
      <c r="FB20" s="33"/>
      <c r="FC20" s="33"/>
      <c r="FD20" s="33">
        <f t="shared" si="73"/>
        <v>514.688</v>
      </c>
      <c r="FE20" s="33">
        <f t="shared" si="74"/>
        <v>514.688</v>
      </c>
      <c r="FF20" s="65">
        <f t="shared" si="75"/>
        <v>673.589878</v>
      </c>
      <c r="FG20" s="65">
        <f t="shared" si="128"/>
        <v>363.180741</v>
      </c>
      <c r="FH20" s="33"/>
      <c r="FI20" s="51"/>
      <c r="FJ20" s="51">
        <f t="shared" si="76"/>
        <v>1103.0016</v>
      </c>
      <c r="FK20" s="33">
        <f t="shared" si="77"/>
        <v>1103.0016</v>
      </c>
      <c r="FL20" s="65">
        <f t="shared" si="78"/>
        <v>1443.5361096000001</v>
      </c>
      <c r="FM20" s="65">
        <f t="shared" si="129"/>
        <v>778.3141212</v>
      </c>
      <c r="FN20" s="33"/>
      <c r="FO20" s="33"/>
      <c r="FP20" s="33"/>
      <c r="FQ20" s="33"/>
    </row>
    <row r="21" spans="1:173" s="53" customFormat="1" ht="12.75">
      <c r="A21" s="52">
        <v>44652</v>
      </c>
      <c r="C21" s="41">
        <v>5120000</v>
      </c>
      <c r="D21" s="41">
        <v>128000</v>
      </c>
      <c r="E21" s="35">
        <f t="shared" si="0"/>
        <v>5248000</v>
      </c>
      <c r="F21" s="35">
        <v>167518</v>
      </c>
      <c r="G21" s="35">
        <v>90321</v>
      </c>
      <c r="H21" s="51"/>
      <c r="I21" s="51">
        <f>'2016B Academic'!I21</f>
        <v>1646353.92</v>
      </c>
      <c r="J21" s="51">
        <f>'2016B Academic'!J21</f>
        <v>41158.848</v>
      </c>
      <c r="K21" s="51">
        <f t="shared" si="79"/>
        <v>1687512.768</v>
      </c>
      <c r="L21" s="51">
        <f>'2016B Academic'!L21</f>
        <v>53865.999213</v>
      </c>
      <c r="M21" s="51">
        <f>'2016B Academic'!M21</f>
        <v>29043.0336735</v>
      </c>
      <c r="N21" s="51"/>
      <c r="O21" s="51">
        <f>U21+AA21+AG21+AM21+AS21+AY21+BE21+BK21+BQ21+CC21+CO21+CU21+DA21+DG21+DM21+EK21+EQ21+EW21+FC21+FI21+FO21+BW21+CI21+DS21+DY21+EE21</f>
        <v>3473646.0800000005</v>
      </c>
      <c r="P21" s="41">
        <f t="shared" si="1"/>
        <v>86841.152</v>
      </c>
      <c r="Q21" s="33">
        <f t="shared" si="2"/>
        <v>3560487.232000001</v>
      </c>
      <c r="R21" s="41">
        <f t="shared" si="3"/>
        <v>113652.00078700003</v>
      </c>
      <c r="S21" s="41">
        <f t="shared" si="3"/>
        <v>61277.9663265</v>
      </c>
      <c r="T21" s="51"/>
      <c r="U21" s="65">
        <f t="shared" si="80"/>
        <v>281684.48000000004</v>
      </c>
      <c r="V21" s="65">
        <f t="shared" si="4"/>
        <v>7042.112</v>
      </c>
      <c r="W21" s="20">
        <f t="shared" si="5"/>
        <v>288726.59200000006</v>
      </c>
      <c r="X21" s="65">
        <f t="shared" si="6"/>
        <v>9216.254047</v>
      </c>
      <c r="Y21" s="65">
        <f t="shared" si="105"/>
        <v>4969.1452965</v>
      </c>
      <c r="Z21" s="51"/>
      <c r="AA21" s="65">
        <f t="shared" si="81"/>
        <v>343876.09599999996</v>
      </c>
      <c r="AB21" s="65">
        <f t="shared" si="7"/>
        <v>8596.902399999999</v>
      </c>
      <c r="AC21" s="20">
        <f t="shared" si="8"/>
        <v>352472.9984</v>
      </c>
      <c r="AD21" s="65">
        <f t="shared" si="9"/>
        <v>11251.0616894</v>
      </c>
      <c r="AE21" s="65">
        <f t="shared" si="106"/>
        <v>6066.2564193</v>
      </c>
      <c r="AF21" s="51"/>
      <c r="AG21" s="33">
        <f t="shared" si="82"/>
        <v>1259.008</v>
      </c>
      <c r="AH21" s="33">
        <f t="shared" si="10"/>
        <v>31.4752</v>
      </c>
      <c r="AI21" s="33">
        <f t="shared" si="11"/>
        <v>1290.4832000000001</v>
      </c>
      <c r="AJ21" s="65">
        <f t="shared" si="12"/>
        <v>41.1926762</v>
      </c>
      <c r="AK21" s="65">
        <f t="shared" si="107"/>
        <v>22.209933900000003</v>
      </c>
      <c r="AL21" s="51"/>
      <c r="AM21" s="65">
        <f t="shared" si="83"/>
        <v>74322.432</v>
      </c>
      <c r="AN21" s="65">
        <f t="shared" si="13"/>
        <v>1858.0608</v>
      </c>
      <c r="AO21" s="20">
        <f t="shared" si="14"/>
        <v>76180.4928</v>
      </c>
      <c r="AP21" s="65">
        <f t="shared" si="15"/>
        <v>2431.7080398000003</v>
      </c>
      <c r="AQ21" s="65">
        <f t="shared" si="108"/>
        <v>1311.1086681000002</v>
      </c>
      <c r="AR21" s="51"/>
      <c r="AS21" s="65">
        <f t="shared" si="84"/>
        <v>341977.60000000003</v>
      </c>
      <c r="AT21" s="65">
        <f t="shared" si="16"/>
        <v>8549.44</v>
      </c>
      <c r="AU21" s="20">
        <f t="shared" si="17"/>
        <v>350527.04000000004</v>
      </c>
      <c r="AV21" s="65">
        <f t="shared" si="18"/>
        <v>11188.946015000001</v>
      </c>
      <c r="AW21" s="65">
        <f t="shared" si="109"/>
        <v>6032.7653925</v>
      </c>
      <c r="AX21" s="51"/>
      <c r="AY21" s="65">
        <f t="shared" si="85"/>
        <v>53911.552</v>
      </c>
      <c r="AZ21" s="65">
        <f t="shared" si="19"/>
        <v>1347.7888</v>
      </c>
      <c r="BA21" s="20">
        <f t="shared" si="20"/>
        <v>55259.340800000005</v>
      </c>
      <c r="BB21" s="65">
        <f t="shared" si="21"/>
        <v>1763.8975328</v>
      </c>
      <c r="BC21" s="65">
        <f t="shared" si="110"/>
        <v>951.0440016</v>
      </c>
      <c r="BD21" s="51"/>
      <c r="BE21" s="51">
        <f t="shared" si="86"/>
        <v>2994.6879999999996</v>
      </c>
      <c r="BF21" s="51">
        <f t="shared" si="22"/>
        <v>74.8672</v>
      </c>
      <c r="BG21" s="33">
        <f t="shared" si="23"/>
        <v>3069.5552</v>
      </c>
      <c r="BH21" s="65">
        <f t="shared" si="24"/>
        <v>97.98127819999999</v>
      </c>
      <c r="BI21" s="65">
        <f t="shared" si="111"/>
        <v>52.8287529</v>
      </c>
      <c r="BJ21" s="51"/>
      <c r="BK21" s="33">
        <f t="shared" si="87"/>
        <v>34494.976</v>
      </c>
      <c r="BL21" s="33">
        <f t="shared" si="25"/>
        <v>862.3744</v>
      </c>
      <c r="BM21" s="33">
        <f t="shared" si="26"/>
        <v>35357.3504</v>
      </c>
      <c r="BN21" s="65">
        <f t="shared" si="27"/>
        <v>1128.6190214</v>
      </c>
      <c r="BO21" s="65">
        <f t="shared" si="112"/>
        <v>608.5196733</v>
      </c>
      <c r="BP21" s="51"/>
      <c r="BQ21" s="51">
        <f t="shared" si="88"/>
        <v>48223.231999999996</v>
      </c>
      <c r="BR21" s="51">
        <f t="shared" si="28"/>
        <v>1205.5808</v>
      </c>
      <c r="BS21" s="33">
        <f t="shared" si="29"/>
        <v>49428.8128</v>
      </c>
      <c r="BT21" s="65">
        <f t="shared" si="30"/>
        <v>1577.7850348</v>
      </c>
      <c r="BU21" s="65">
        <f t="shared" si="113"/>
        <v>850.6973705999999</v>
      </c>
      <c r="BV21" s="51"/>
      <c r="BW21" s="51">
        <f t="shared" si="89"/>
        <v>6746.112</v>
      </c>
      <c r="BX21" s="51">
        <f t="shared" si="31"/>
        <v>168.65279999999998</v>
      </c>
      <c r="BY21" s="33">
        <f t="shared" si="32"/>
        <v>6914.7648</v>
      </c>
      <c r="BZ21" s="65">
        <f t="shared" si="33"/>
        <v>220.7217168</v>
      </c>
      <c r="CA21" s="65">
        <f t="shared" si="114"/>
        <v>119.0069496</v>
      </c>
      <c r="CB21" s="51"/>
      <c r="CC21" s="51">
        <f t="shared" si="90"/>
        <v>35045.376</v>
      </c>
      <c r="CD21" s="51">
        <f t="shared" si="34"/>
        <v>876.1344</v>
      </c>
      <c r="CE21" s="33">
        <f t="shared" si="35"/>
        <v>35921.5104</v>
      </c>
      <c r="CF21" s="65">
        <f t="shared" si="36"/>
        <v>1146.6272064</v>
      </c>
      <c r="CG21" s="65">
        <f t="shared" si="115"/>
        <v>618.2291808</v>
      </c>
      <c r="CH21" s="51"/>
      <c r="CI21" s="51">
        <f t="shared" si="91"/>
        <v>1991.68</v>
      </c>
      <c r="CJ21" s="51">
        <f t="shared" si="37"/>
        <v>49.792</v>
      </c>
      <c r="CK21" s="33">
        <f t="shared" si="38"/>
        <v>2041.472</v>
      </c>
      <c r="CL21" s="65">
        <f t="shared" si="39"/>
        <v>65.164502</v>
      </c>
      <c r="CM21" s="65">
        <f t="shared" si="116"/>
        <v>35.134869</v>
      </c>
      <c r="CN21" s="51"/>
      <c r="CO21" s="51">
        <f t="shared" si="92"/>
        <v>7039.488</v>
      </c>
      <c r="CP21" s="51">
        <f t="shared" si="40"/>
        <v>175.9872</v>
      </c>
      <c r="CQ21" s="33">
        <f t="shared" si="41"/>
        <v>7215.4752</v>
      </c>
      <c r="CR21" s="65">
        <f t="shared" si="42"/>
        <v>230.3204982</v>
      </c>
      <c r="CS21" s="65">
        <f t="shared" si="117"/>
        <v>124.18234290000001</v>
      </c>
      <c r="CT21" s="51"/>
      <c r="CU21" s="33">
        <f t="shared" si="93"/>
        <v>25588.224</v>
      </c>
      <c r="CV21" s="33">
        <f t="shared" si="43"/>
        <v>639.7056</v>
      </c>
      <c r="CW21" s="33">
        <f t="shared" si="44"/>
        <v>26227.9296</v>
      </c>
      <c r="CX21" s="65">
        <f t="shared" si="45"/>
        <v>837.2047086</v>
      </c>
      <c r="CY21" s="65">
        <f t="shared" si="118"/>
        <v>451.3972617</v>
      </c>
      <c r="CZ21" s="51"/>
      <c r="DA21" s="51">
        <f t="shared" si="94"/>
        <v>174743.55200000003</v>
      </c>
      <c r="DB21" s="51">
        <f t="shared" si="46"/>
        <v>4368.5888</v>
      </c>
      <c r="DC21" s="33">
        <f t="shared" si="47"/>
        <v>179112.14080000002</v>
      </c>
      <c r="DD21" s="65">
        <f t="shared" si="48"/>
        <v>5717.3223328</v>
      </c>
      <c r="DE21" s="65">
        <f t="shared" si="119"/>
        <v>3082.6196016000004</v>
      </c>
      <c r="DF21" s="51"/>
      <c r="DG21" s="51">
        <f t="shared" si="95"/>
        <v>723205.632</v>
      </c>
      <c r="DH21" s="51">
        <f t="shared" si="49"/>
        <v>18080.140799999997</v>
      </c>
      <c r="DI21" s="33">
        <f t="shared" si="50"/>
        <v>741285.7728</v>
      </c>
      <c r="DJ21" s="65">
        <f t="shared" si="51"/>
        <v>23662.1017698</v>
      </c>
      <c r="DK21" s="65">
        <f t="shared" si="120"/>
        <v>12757.9406031</v>
      </c>
      <c r="DL21" s="51"/>
      <c r="DM21" s="51">
        <f t="shared" si="96"/>
        <v>132950.016</v>
      </c>
      <c r="DN21" s="51">
        <f t="shared" si="52"/>
        <v>3323.7504000000004</v>
      </c>
      <c r="DO21" s="33">
        <f t="shared" si="53"/>
        <v>136273.7664</v>
      </c>
      <c r="DP21" s="65">
        <f t="shared" si="54"/>
        <v>4349.9064024</v>
      </c>
      <c r="DQ21" s="65">
        <f t="shared" si="121"/>
        <v>2345.3473428</v>
      </c>
      <c r="DR21" s="51"/>
      <c r="DS21" s="51">
        <f t="shared" si="97"/>
        <v>455177.728</v>
      </c>
      <c r="DT21" s="51">
        <f t="shared" si="55"/>
        <v>11379.443200000002</v>
      </c>
      <c r="DU21" s="33">
        <f t="shared" si="56"/>
        <v>466557.1712</v>
      </c>
      <c r="DV21" s="65">
        <f t="shared" si="57"/>
        <v>14892.668484200001</v>
      </c>
      <c r="DW21" s="65">
        <f t="shared" si="122"/>
        <v>8029.7085099000005</v>
      </c>
      <c r="DX21" s="51"/>
      <c r="DY21" s="51">
        <f t="shared" si="98"/>
        <v>97047.04</v>
      </c>
      <c r="DZ21" s="51">
        <f t="shared" si="58"/>
        <v>2426.176</v>
      </c>
      <c r="EA21" s="33">
        <f t="shared" si="59"/>
        <v>99473.216</v>
      </c>
      <c r="EB21" s="65">
        <f t="shared" si="60"/>
        <v>3175.2199309999996</v>
      </c>
      <c r="EC21" s="65">
        <f t="shared" si="123"/>
        <v>1711.9893945</v>
      </c>
      <c r="ED21" s="51"/>
      <c r="EE21" s="51">
        <f t="shared" si="99"/>
        <v>7906.303999999999</v>
      </c>
      <c r="EF21" s="51">
        <f t="shared" si="61"/>
        <v>197.6576</v>
      </c>
      <c r="EG21" s="33">
        <f t="shared" si="62"/>
        <v>8103.961599999999</v>
      </c>
      <c r="EH21" s="65">
        <f t="shared" si="63"/>
        <v>258.6812956</v>
      </c>
      <c r="EI21" s="65">
        <f t="shared" si="124"/>
        <v>139.4736882</v>
      </c>
      <c r="EJ21" s="51"/>
      <c r="EK21" s="51">
        <f t="shared" si="100"/>
        <v>9429.503999999999</v>
      </c>
      <c r="EL21" s="51">
        <f t="shared" si="64"/>
        <v>235.7376</v>
      </c>
      <c r="EM21" s="33">
        <f t="shared" si="65"/>
        <v>9665.2416</v>
      </c>
      <c r="EN21" s="65">
        <f t="shared" si="66"/>
        <v>308.51790059999996</v>
      </c>
      <c r="EO21" s="65">
        <f t="shared" si="125"/>
        <v>166.3441857</v>
      </c>
      <c r="EP21" s="51"/>
      <c r="EQ21" s="51">
        <f t="shared" si="101"/>
        <v>19231.744</v>
      </c>
      <c r="ER21" s="51">
        <f t="shared" si="67"/>
        <v>480.79359999999997</v>
      </c>
      <c r="ES21" s="33">
        <f t="shared" si="68"/>
        <v>19712.5376</v>
      </c>
      <c r="ET21" s="65">
        <f t="shared" si="69"/>
        <v>629.2311116</v>
      </c>
      <c r="EU21" s="65">
        <f t="shared" si="126"/>
        <v>339.2637402</v>
      </c>
      <c r="EV21" s="51"/>
      <c r="EW21" s="51">
        <f t="shared" si="102"/>
        <v>530092.032</v>
      </c>
      <c r="EX21" s="51">
        <f t="shared" si="70"/>
        <v>13252.3008</v>
      </c>
      <c r="EY21" s="33">
        <f t="shared" si="71"/>
        <v>543344.3328</v>
      </c>
      <c r="EZ21" s="65">
        <f t="shared" si="72"/>
        <v>17343.7416048</v>
      </c>
      <c r="FA21" s="65">
        <f t="shared" si="127"/>
        <v>9351.2582856</v>
      </c>
      <c r="FB21" s="33"/>
      <c r="FC21" s="33">
        <f t="shared" si="103"/>
        <v>20587.52</v>
      </c>
      <c r="FD21" s="33">
        <f t="shared" si="73"/>
        <v>514.688</v>
      </c>
      <c r="FE21" s="33">
        <f t="shared" si="74"/>
        <v>21102.208</v>
      </c>
      <c r="FF21" s="65">
        <f t="shared" si="75"/>
        <v>673.589878</v>
      </c>
      <c r="FG21" s="65">
        <f t="shared" si="128"/>
        <v>363.180741</v>
      </c>
      <c r="FH21" s="51"/>
      <c r="FI21" s="51">
        <f t="shared" si="104"/>
        <v>44120.064</v>
      </c>
      <c r="FJ21" s="51">
        <f t="shared" si="76"/>
        <v>1103.0016</v>
      </c>
      <c r="FK21" s="33">
        <f t="shared" si="77"/>
        <v>45223.0656</v>
      </c>
      <c r="FL21" s="65">
        <f t="shared" si="78"/>
        <v>1443.5361096000001</v>
      </c>
      <c r="FM21" s="65">
        <f t="shared" si="129"/>
        <v>778.3141212</v>
      </c>
      <c r="FN21" s="51"/>
      <c r="FO21" s="33"/>
      <c r="FP21" s="33"/>
      <c r="FQ21" s="33"/>
    </row>
    <row r="22" spans="1:173" s="53" customFormat="1" ht="12.75">
      <c r="A22" s="52">
        <v>44835</v>
      </c>
      <c r="C22" s="35"/>
      <c r="D22" s="35"/>
      <c r="E22" s="35">
        <f t="shared" si="0"/>
        <v>0</v>
      </c>
      <c r="F22" s="35"/>
      <c r="G22" s="35"/>
      <c r="H22" s="51"/>
      <c r="I22" s="51"/>
      <c r="J22" s="51"/>
      <c r="K22" s="51">
        <f t="shared" si="79"/>
        <v>0</v>
      </c>
      <c r="L22" s="51"/>
      <c r="M22" s="35"/>
      <c r="N22" s="51"/>
      <c r="O22" s="51"/>
      <c r="P22" s="41">
        <f t="shared" si="1"/>
        <v>0</v>
      </c>
      <c r="Q22" s="33">
        <f t="shared" si="2"/>
        <v>0</v>
      </c>
      <c r="R22" s="41">
        <f t="shared" si="3"/>
        <v>0</v>
      </c>
      <c r="S22" s="35"/>
      <c r="T22" s="51"/>
      <c r="U22" s="65"/>
      <c r="V22" s="65">
        <f t="shared" si="4"/>
        <v>0</v>
      </c>
      <c r="W22" s="20">
        <f t="shared" si="5"/>
        <v>0</v>
      </c>
      <c r="X22" s="65">
        <f t="shared" si="6"/>
        <v>0</v>
      </c>
      <c r="Y22" s="65"/>
      <c r="Z22" s="51"/>
      <c r="AA22" s="65"/>
      <c r="AB22" s="65">
        <f t="shared" si="7"/>
        <v>0</v>
      </c>
      <c r="AC22" s="20">
        <f t="shared" si="8"/>
        <v>0</v>
      </c>
      <c r="AD22" s="65">
        <f t="shared" si="9"/>
        <v>0</v>
      </c>
      <c r="AE22" s="65"/>
      <c r="AF22" s="51"/>
      <c r="AG22" s="33"/>
      <c r="AH22" s="33">
        <f t="shared" si="10"/>
        <v>0</v>
      </c>
      <c r="AI22" s="33">
        <f t="shared" si="11"/>
        <v>0</v>
      </c>
      <c r="AJ22" s="65">
        <f t="shared" si="12"/>
        <v>0</v>
      </c>
      <c r="AK22" s="65"/>
      <c r="AL22" s="51"/>
      <c r="AM22" s="65"/>
      <c r="AN22" s="65">
        <f t="shared" si="13"/>
        <v>0</v>
      </c>
      <c r="AO22" s="20">
        <f t="shared" si="14"/>
        <v>0</v>
      </c>
      <c r="AP22" s="65">
        <f t="shared" si="15"/>
        <v>0</v>
      </c>
      <c r="AQ22" s="65"/>
      <c r="AR22" s="51"/>
      <c r="AS22" s="65"/>
      <c r="AT22" s="65">
        <f t="shared" si="16"/>
        <v>0</v>
      </c>
      <c r="AU22" s="20">
        <f t="shared" si="17"/>
        <v>0</v>
      </c>
      <c r="AV22" s="65">
        <f t="shared" si="18"/>
        <v>0</v>
      </c>
      <c r="AW22" s="65"/>
      <c r="AX22" s="51"/>
      <c r="AY22" s="65"/>
      <c r="AZ22" s="65">
        <f t="shared" si="19"/>
        <v>0</v>
      </c>
      <c r="BA22" s="20">
        <f t="shared" si="20"/>
        <v>0</v>
      </c>
      <c r="BB22" s="65">
        <f t="shared" si="21"/>
        <v>0</v>
      </c>
      <c r="BC22" s="65"/>
      <c r="BD22" s="51"/>
      <c r="BE22" s="51"/>
      <c r="BF22" s="51">
        <f t="shared" si="22"/>
        <v>0</v>
      </c>
      <c r="BG22" s="33">
        <f t="shared" si="23"/>
        <v>0</v>
      </c>
      <c r="BH22" s="65">
        <f t="shared" si="24"/>
        <v>0</v>
      </c>
      <c r="BI22" s="65"/>
      <c r="BJ22" s="51"/>
      <c r="BK22" s="33"/>
      <c r="BL22" s="33">
        <f t="shared" si="25"/>
        <v>0</v>
      </c>
      <c r="BM22" s="33">
        <f t="shared" si="26"/>
        <v>0</v>
      </c>
      <c r="BN22" s="65">
        <f t="shared" si="27"/>
        <v>0</v>
      </c>
      <c r="BO22" s="65"/>
      <c r="BP22" s="51"/>
      <c r="BQ22" s="51"/>
      <c r="BR22" s="51">
        <f t="shared" si="28"/>
        <v>0</v>
      </c>
      <c r="BS22" s="33">
        <f t="shared" si="29"/>
        <v>0</v>
      </c>
      <c r="BT22" s="65">
        <f t="shared" si="30"/>
        <v>0</v>
      </c>
      <c r="BU22" s="65"/>
      <c r="BV22" s="51"/>
      <c r="BW22" s="51"/>
      <c r="BX22" s="51">
        <f t="shared" si="31"/>
        <v>0</v>
      </c>
      <c r="BY22" s="33">
        <f t="shared" si="32"/>
        <v>0</v>
      </c>
      <c r="BZ22" s="65">
        <f t="shared" si="33"/>
        <v>0</v>
      </c>
      <c r="CA22" s="65"/>
      <c r="CB22" s="51"/>
      <c r="CC22" s="51"/>
      <c r="CD22" s="51">
        <f t="shared" si="34"/>
        <v>0</v>
      </c>
      <c r="CE22" s="33">
        <f t="shared" si="35"/>
        <v>0</v>
      </c>
      <c r="CF22" s="65">
        <f t="shared" si="36"/>
        <v>0</v>
      </c>
      <c r="CG22" s="65"/>
      <c r="CH22" s="51"/>
      <c r="CI22" s="51"/>
      <c r="CJ22" s="51">
        <f t="shared" si="37"/>
        <v>0</v>
      </c>
      <c r="CK22" s="33">
        <f t="shared" si="38"/>
        <v>0</v>
      </c>
      <c r="CL22" s="65">
        <f t="shared" si="39"/>
        <v>0</v>
      </c>
      <c r="CM22" s="65"/>
      <c r="CN22" s="51"/>
      <c r="CO22" s="51"/>
      <c r="CP22" s="51">
        <f t="shared" si="40"/>
        <v>0</v>
      </c>
      <c r="CQ22" s="33">
        <f t="shared" si="41"/>
        <v>0</v>
      </c>
      <c r="CR22" s="65">
        <f t="shared" si="42"/>
        <v>0</v>
      </c>
      <c r="CS22" s="65"/>
      <c r="CT22" s="51"/>
      <c r="CU22" s="33"/>
      <c r="CV22" s="33">
        <f t="shared" si="43"/>
        <v>0</v>
      </c>
      <c r="CW22" s="33">
        <f t="shared" si="44"/>
        <v>0</v>
      </c>
      <c r="CX22" s="65">
        <f t="shared" si="45"/>
        <v>0</v>
      </c>
      <c r="CY22" s="65"/>
      <c r="CZ22" s="51"/>
      <c r="DA22" s="51"/>
      <c r="DB22" s="51">
        <f t="shared" si="46"/>
        <v>0</v>
      </c>
      <c r="DC22" s="33">
        <f t="shared" si="47"/>
        <v>0</v>
      </c>
      <c r="DD22" s="65">
        <f t="shared" si="48"/>
        <v>0</v>
      </c>
      <c r="DE22" s="65"/>
      <c r="DF22" s="51"/>
      <c r="DG22" s="51"/>
      <c r="DH22" s="51">
        <f t="shared" si="49"/>
        <v>0</v>
      </c>
      <c r="DI22" s="33">
        <f t="shared" si="50"/>
        <v>0</v>
      </c>
      <c r="DJ22" s="65">
        <f t="shared" si="51"/>
        <v>0</v>
      </c>
      <c r="DK22" s="65"/>
      <c r="DL22" s="51"/>
      <c r="DM22" s="51"/>
      <c r="DN22" s="51">
        <f t="shared" si="52"/>
        <v>0</v>
      </c>
      <c r="DO22" s="33">
        <f t="shared" si="53"/>
        <v>0</v>
      </c>
      <c r="DP22" s="65">
        <f t="shared" si="54"/>
        <v>0</v>
      </c>
      <c r="DQ22" s="65"/>
      <c r="DR22" s="51"/>
      <c r="DS22" s="51"/>
      <c r="DT22" s="51">
        <f t="shared" si="55"/>
        <v>0</v>
      </c>
      <c r="DU22" s="33">
        <f t="shared" si="56"/>
        <v>0</v>
      </c>
      <c r="DV22" s="65">
        <f t="shared" si="57"/>
        <v>0</v>
      </c>
      <c r="DW22" s="65"/>
      <c r="DX22" s="51"/>
      <c r="DY22" s="51"/>
      <c r="DZ22" s="51">
        <f t="shared" si="58"/>
        <v>0</v>
      </c>
      <c r="EA22" s="33">
        <f t="shared" si="59"/>
        <v>0</v>
      </c>
      <c r="EB22" s="65">
        <f t="shared" si="60"/>
        <v>0</v>
      </c>
      <c r="EC22" s="65"/>
      <c r="ED22" s="51"/>
      <c r="EE22" s="51"/>
      <c r="EF22" s="51">
        <f t="shared" si="61"/>
        <v>0</v>
      </c>
      <c r="EG22" s="33">
        <f t="shared" si="62"/>
        <v>0</v>
      </c>
      <c r="EH22" s="65">
        <f t="shared" si="63"/>
        <v>0</v>
      </c>
      <c r="EI22" s="65"/>
      <c r="EJ22" s="51"/>
      <c r="EK22" s="51"/>
      <c r="EL22" s="51">
        <f t="shared" si="64"/>
        <v>0</v>
      </c>
      <c r="EM22" s="33">
        <f t="shared" si="65"/>
        <v>0</v>
      </c>
      <c r="EN22" s="65">
        <f t="shared" si="66"/>
        <v>0</v>
      </c>
      <c r="EO22" s="65"/>
      <c r="EP22" s="51"/>
      <c r="EQ22" s="51"/>
      <c r="ER22" s="51">
        <f t="shared" si="67"/>
        <v>0</v>
      </c>
      <c r="ES22" s="33">
        <f t="shared" si="68"/>
        <v>0</v>
      </c>
      <c r="ET22" s="65">
        <f t="shared" si="69"/>
        <v>0</v>
      </c>
      <c r="EU22" s="65"/>
      <c r="EV22" s="51"/>
      <c r="EW22" s="51"/>
      <c r="EX22" s="51">
        <f t="shared" si="70"/>
        <v>0</v>
      </c>
      <c r="EY22" s="33">
        <f t="shared" si="71"/>
        <v>0</v>
      </c>
      <c r="EZ22" s="65">
        <f t="shared" si="72"/>
        <v>0</v>
      </c>
      <c r="FA22" s="65"/>
      <c r="FB22" s="33"/>
      <c r="FC22" s="33"/>
      <c r="FD22" s="33">
        <f t="shared" si="73"/>
        <v>0</v>
      </c>
      <c r="FE22" s="33">
        <f t="shared" si="74"/>
        <v>0</v>
      </c>
      <c r="FF22" s="65">
        <f t="shared" si="75"/>
        <v>0</v>
      </c>
      <c r="FG22" s="65"/>
      <c r="FH22" s="51"/>
      <c r="FI22" s="51"/>
      <c r="FJ22" s="51">
        <f t="shared" si="76"/>
        <v>0</v>
      </c>
      <c r="FK22" s="33">
        <f t="shared" si="77"/>
        <v>0</v>
      </c>
      <c r="FL22" s="65">
        <f t="shared" si="78"/>
        <v>0</v>
      </c>
      <c r="FM22" s="65"/>
      <c r="FN22" s="51"/>
      <c r="FO22" s="33"/>
      <c r="FP22" s="33"/>
      <c r="FQ22" s="33"/>
    </row>
    <row r="23" spans="1:173" s="53" customFormat="1" ht="12.75">
      <c r="A23" s="52">
        <v>45017</v>
      </c>
      <c r="C23" s="35"/>
      <c r="D23" s="35"/>
      <c r="E23" s="35">
        <f t="shared" si="0"/>
        <v>0</v>
      </c>
      <c r="F23" s="35"/>
      <c r="G23" s="35"/>
      <c r="H23" s="51"/>
      <c r="I23" s="51"/>
      <c r="J23" s="51"/>
      <c r="K23" s="51">
        <f t="shared" si="79"/>
        <v>0</v>
      </c>
      <c r="L23" s="51"/>
      <c r="M23" s="35"/>
      <c r="N23" s="51"/>
      <c r="O23" s="51">
        <f>U23+AA23+AG23+AM23+AS23+AY23+BE23+BK23+BQ23+CC23+CO23+CU23+DA23+DG23+DM23+EK23+EQ23+EW23+FC23+FI23+FO23+BW23+CI23+DS23+DY23+EE23</f>
        <v>0</v>
      </c>
      <c r="P23" s="41">
        <f t="shared" si="1"/>
        <v>0</v>
      </c>
      <c r="Q23" s="33">
        <f t="shared" si="2"/>
        <v>0</v>
      </c>
      <c r="R23" s="41">
        <f t="shared" si="3"/>
        <v>0</v>
      </c>
      <c r="S23" s="35"/>
      <c r="T23" s="51"/>
      <c r="U23" s="65">
        <f t="shared" si="80"/>
        <v>0</v>
      </c>
      <c r="V23" s="65">
        <f t="shared" si="4"/>
        <v>0</v>
      </c>
      <c r="W23" s="20">
        <f t="shared" si="5"/>
        <v>0</v>
      </c>
      <c r="X23" s="65">
        <f t="shared" si="6"/>
        <v>0</v>
      </c>
      <c r="Y23" s="65"/>
      <c r="Z23" s="51"/>
      <c r="AA23" s="65">
        <f t="shared" si="81"/>
        <v>0</v>
      </c>
      <c r="AB23" s="65">
        <f t="shared" si="7"/>
        <v>0</v>
      </c>
      <c r="AC23" s="20">
        <f t="shared" si="8"/>
        <v>0</v>
      </c>
      <c r="AD23" s="65">
        <f t="shared" si="9"/>
        <v>0</v>
      </c>
      <c r="AE23" s="65"/>
      <c r="AF23" s="51"/>
      <c r="AG23" s="33">
        <f t="shared" si="82"/>
        <v>0</v>
      </c>
      <c r="AH23" s="33">
        <f t="shared" si="10"/>
        <v>0</v>
      </c>
      <c r="AI23" s="33">
        <f t="shared" si="11"/>
        <v>0</v>
      </c>
      <c r="AJ23" s="65">
        <f t="shared" si="12"/>
        <v>0</v>
      </c>
      <c r="AK23" s="65"/>
      <c r="AL23" s="51"/>
      <c r="AM23" s="65">
        <f t="shared" si="83"/>
        <v>0</v>
      </c>
      <c r="AN23" s="65">
        <f t="shared" si="13"/>
        <v>0</v>
      </c>
      <c r="AO23" s="20">
        <f t="shared" si="14"/>
        <v>0</v>
      </c>
      <c r="AP23" s="65">
        <f t="shared" si="15"/>
        <v>0</v>
      </c>
      <c r="AQ23" s="65"/>
      <c r="AR23" s="51"/>
      <c r="AS23" s="65">
        <f t="shared" si="84"/>
        <v>0</v>
      </c>
      <c r="AT23" s="65">
        <f t="shared" si="16"/>
        <v>0</v>
      </c>
      <c r="AU23" s="20">
        <f t="shared" si="17"/>
        <v>0</v>
      </c>
      <c r="AV23" s="65">
        <f t="shared" si="18"/>
        <v>0</v>
      </c>
      <c r="AW23" s="65"/>
      <c r="AX23" s="51"/>
      <c r="AY23" s="65">
        <f t="shared" si="85"/>
        <v>0</v>
      </c>
      <c r="AZ23" s="65">
        <f t="shared" si="19"/>
        <v>0</v>
      </c>
      <c r="BA23" s="20">
        <f t="shared" si="20"/>
        <v>0</v>
      </c>
      <c r="BB23" s="65">
        <f t="shared" si="21"/>
        <v>0</v>
      </c>
      <c r="BC23" s="65"/>
      <c r="BD23" s="51"/>
      <c r="BE23" s="51">
        <f t="shared" si="86"/>
        <v>0</v>
      </c>
      <c r="BF23" s="51">
        <f t="shared" si="22"/>
        <v>0</v>
      </c>
      <c r="BG23" s="33">
        <f t="shared" si="23"/>
        <v>0</v>
      </c>
      <c r="BH23" s="65">
        <f t="shared" si="24"/>
        <v>0</v>
      </c>
      <c r="BI23" s="65"/>
      <c r="BJ23" s="51"/>
      <c r="BK23" s="33">
        <f t="shared" si="87"/>
        <v>0</v>
      </c>
      <c r="BL23" s="33">
        <f t="shared" si="25"/>
        <v>0</v>
      </c>
      <c r="BM23" s="33">
        <f t="shared" si="26"/>
        <v>0</v>
      </c>
      <c r="BN23" s="65">
        <f t="shared" si="27"/>
        <v>0</v>
      </c>
      <c r="BO23" s="65"/>
      <c r="BP23" s="51"/>
      <c r="BQ23" s="51">
        <f t="shared" si="88"/>
        <v>0</v>
      </c>
      <c r="BR23" s="51">
        <f t="shared" si="28"/>
        <v>0</v>
      </c>
      <c r="BS23" s="33">
        <f t="shared" si="29"/>
        <v>0</v>
      </c>
      <c r="BT23" s="65">
        <f t="shared" si="30"/>
        <v>0</v>
      </c>
      <c r="BU23" s="65"/>
      <c r="BV23" s="51"/>
      <c r="BW23" s="51">
        <f t="shared" si="89"/>
        <v>0</v>
      </c>
      <c r="BX23" s="51">
        <f t="shared" si="31"/>
        <v>0</v>
      </c>
      <c r="BY23" s="33">
        <f t="shared" si="32"/>
        <v>0</v>
      </c>
      <c r="BZ23" s="65">
        <f t="shared" si="33"/>
        <v>0</v>
      </c>
      <c r="CA23" s="65"/>
      <c r="CB23" s="51"/>
      <c r="CC23" s="51">
        <f t="shared" si="90"/>
        <v>0</v>
      </c>
      <c r="CD23" s="51">
        <f t="shared" si="34"/>
        <v>0</v>
      </c>
      <c r="CE23" s="33">
        <f t="shared" si="35"/>
        <v>0</v>
      </c>
      <c r="CF23" s="65">
        <f t="shared" si="36"/>
        <v>0</v>
      </c>
      <c r="CG23" s="65"/>
      <c r="CH23" s="51"/>
      <c r="CI23" s="51">
        <f t="shared" si="91"/>
        <v>0</v>
      </c>
      <c r="CJ23" s="51">
        <f t="shared" si="37"/>
        <v>0</v>
      </c>
      <c r="CK23" s="33">
        <f t="shared" si="38"/>
        <v>0</v>
      </c>
      <c r="CL23" s="65">
        <f t="shared" si="39"/>
        <v>0</v>
      </c>
      <c r="CM23" s="65"/>
      <c r="CN23" s="51"/>
      <c r="CO23" s="51">
        <f t="shared" si="92"/>
        <v>0</v>
      </c>
      <c r="CP23" s="51">
        <f t="shared" si="40"/>
        <v>0</v>
      </c>
      <c r="CQ23" s="33">
        <f t="shared" si="41"/>
        <v>0</v>
      </c>
      <c r="CR23" s="65">
        <f t="shared" si="42"/>
        <v>0</v>
      </c>
      <c r="CS23" s="65"/>
      <c r="CT23" s="51"/>
      <c r="CU23" s="33">
        <f t="shared" si="93"/>
        <v>0</v>
      </c>
      <c r="CV23" s="33">
        <f t="shared" si="43"/>
        <v>0</v>
      </c>
      <c r="CW23" s="33">
        <f t="shared" si="44"/>
        <v>0</v>
      </c>
      <c r="CX23" s="65">
        <f t="shared" si="45"/>
        <v>0</v>
      </c>
      <c r="CY23" s="65"/>
      <c r="CZ23" s="51"/>
      <c r="DA23" s="51">
        <f t="shared" si="94"/>
        <v>0</v>
      </c>
      <c r="DB23" s="51">
        <f t="shared" si="46"/>
        <v>0</v>
      </c>
      <c r="DC23" s="33">
        <f t="shared" si="47"/>
        <v>0</v>
      </c>
      <c r="DD23" s="65">
        <f t="shared" si="48"/>
        <v>0</v>
      </c>
      <c r="DE23" s="65"/>
      <c r="DF23" s="51"/>
      <c r="DG23" s="51">
        <f t="shared" si="95"/>
        <v>0</v>
      </c>
      <c r="DH23" s="51">
        <f t="shared" si="49"/>
        <v>0</v>
      </c>
      <c r="DI23" s="33">
        <f t="shared" si="50"/>
        <v>0</v>
      </c>
      <c r="DJ23" s="65">
        <f t="shared" si="51"/>
        <v>0</v>
      </c>
      <c r="DK23" s="65"/>
      <c r="DL23" s="51"/>
      <c r="DM23" s="51">
        <f t="shared" si="96"/>
        <v>0</v>
      </c>
      <c r="DN23" s="51">
        <f t="shared" si="52"/>
        <v>0</v>
      </c>
      <c r="DO23" s="33">
        <f t="shared" si="53"/>
        <v>0</v>
      </c>
      <c r="DP23" s="65">
        <f t="shared" si="54"/>
        <v>0</v>
      </c>
      <c r="DQ23" s="65"/>
      <c r="DR23" s="51"/>
      <c r="DS23" s="51">
        <f t="shared" si="97"/>
        <v>0</v>
      </c>
      <c r="DT23" s="51">
        <f t="shared" si="55"/>
        <v>0</v>
      </c>
      <c r="DU23" s="33">
        <f t="shared" si="56"/>
        <v>0</v>
      </c>
      <c r="DV23" s="65">
        <f t="shared" si="57"/>
        <v>0</v>
      </c>
      <c r="DW23" s="65"/>
      <c r="DX23" s="51"/>
      <c r="DY23" s="51">
        <f t="shared" si="98"/>
        <v>0</v>
      </c>
      <c r="DZ23" s="51">
        <f t="shared" si="58"/>
        <v>0</v>
      </c>
      <c r="EA23" s="33">
        <f t="shared" si="59"/>
        <v>0</v>
      </c>
      <c r="EB23" s="65">
        <f t="shared" si="60"/>
        <v>0</v>
      </c>
      <c r="EC23" s="65"/>
      <c r="ED23" s="51"/>
      <c r="EE23" s="51">
        <f t="shared" si="99"/>
        <v>0</v>
      </c>
      <c r="EF23" s="51">
        <f t="shared" si="61"/>
        <v>0</v>
      </c>
      <c r="EG23" s="33">
        <f t="shared" si="62"/>
        <v>0</v>
      </c>
      <c r="EH23" s="65">
        <f t="shared" si="63"/>
        <v>0</v>
      </c>
      <c r="EI23" s="65"/>
      <c r="EJ23" s="51"/>
      <c r="EK23" s="51">
        <f t="shared" si="100"/>
        <v>0</v>
      </c>
      <c r="EL23" s="51">
        <f t="shared" si="64"/>
        <v>0</v>
      </c>
      <c r="EM23" s="33">
        <f t="shared" si="65"/>
        <v>0</v>
      </c>
      <c r="EN23" s="65">
        <f t="shared" si="66"/>
        <v>0</v>
      </c>
      <c r="EO23" s="65"/>
      <c r="EP23" s="51"/>
      <c r="EQ23" s="51">
        <f t="shared" si="101"/>
        <v>0</v>
      </c>
      <c r="ER23" s="51">
        <f t="shared" si="67"/>
        <v>0</v>
      </c>
      <c r="ES23" s="33">
        <f t="shared" si="68"/>
        <v>0</v>
      </c>
      <c r="ET23" s="65">
        <f t="shared" si="69"/>
        <v>0</v>
      </c>
      <c r="EU23" s="65"/>
      <c r="EV23" s="51"/>
      <c r="EW23" s="51">
        <f t="shared" si="102"/>
        <v>0</v>
      </c>
      <c r="EX23" s="51">
        <f t="shared" si="70"/>
        <v>0</v>
      </c>
      <c r="EY23" s="33">
        <f t="shared" si="71"/>
        <v>0</v>
      </c>
      <c r="EZ23" s="65">
        <f t="shared" si="72"/>
        <v>0</v>
      </c>
      <c r="FA23" s="65"/>
      <c r="FB23" s="33"/>
      <c r="FC23" s="33">
        <f t="shared" si="103"/>
        <v>0</v>
      </c>
      <c r="FD23" s="33">
        <f t="shared" si="73"/>
        <v>0</v>
      </c>
      <c r="FE23" s="33">
        <f t="shared" si="74"/>
        <v>0</v>
      </c>
      <c r="FF23" s="65">
        <f t="shared" si="75"/>
        <v>0</v>
      </c>
      <c r="FG23" s="65"/>
      <c r="FH23" s="51"/>
      <c r="FI23" s="51">
        <f t="shared" si="104"/>
        <v>0</v>
      </c>
      <c r="FJ23" s="51">
        <f t="shared" si="76"/>
        <v>0</v>
      </c>
      <c r="FK23" s="33">
        <f t="shared" si="77"/>
        <v>0</v>
      </c>
      <c r="FL23" s="65">
        <f t="shared" si="78"/>
        <v>0</v>
      </c>
      <c r="FM23" s="65"/>
      <c r="FN23" s="51"/>
      <c r="FO23" s="33"/>
      <c r="FP23" s="33"/>
      <c r="FQ23" s="33"/>
    </row>
    <row r="24" spans="1:173" s="53" customFormat="1" ht="12.75">
      <c r="A24" s="52">
        <v>45200</v>
      </c>
      <c r="C24" s="35"/>
      <c r="D24" s="35"/>
      <c r="E24" s="35">
        <f t="shared" si="0"/>
        <v>0</v>
      </c>
      <c r="F24" s="35"/>
      <c r="G24" s="35"/>
      <c r="H24" s="51"/>
      <c r="I24" s="51"/>
      <c r="J24" s="51"/>
      <c r="K24" s="51">
        <f t="shared" si="79"/>
        <v>0</v>
      </c>
      <c r="L24" s="51"/>
      <c r="M24" s="35"/>
      <c r="N24" s="51"/>
      <c r="O24" s="51"/>
      <c r="P24" s="41">
        <f t="shared" si="1"/>
        <v>0</v>
      </c>
      <c r="Q24" s="33">
        <f t="shared" si="2"/>
        <v>0</v>
      </c>
      <c r="R24" s="41">
        <f t="shared" si="3"/>
        <v>0</v>
      </c>
      <c r="S24" s="35"/>
      <c r="T24" s="51"/>
      <c r="U24" s="65"/>
      <c r="V24" s="65">
        <f t="shared" si="4"/>
        <v>0</v>
      </c>
      <c r="W24" s="20">
        <f t="shared" si="5"/>
        <v>0</v>
      </c>
      <c r="X24" s="65">
        <f t="shared" si="6"/>
        <v>0</v>
      </c>
      <c r="Y24" s="65"/>
      <c r="Z24" s="51"/>
      <c r="AA24" s="65"/>
      <c r="AB24" s="65">
        <f t="shared" si="7"/>
        <v>0</v>
      </c>
      <c r="AC24" s="20">
        <f t="shared" si="8"/>
        <v>0</v>
      </c>
      <c r="AD24" s="65">
        <f t="shared" si="9"/>
        <v>0</v>
      </c>
      <c r="AE24" s="65"/>
      <c r="AF24" s="51"/>
      <c r="AG24" s="33"/>
      <c r="AH24" s="33">
        <f t="shared" si="10"/>
        <v>0</v>
      </c>
      <c r="AI24" s="33">
        <f t="shared" si="11"/>
        <v>0</v>
      </c>
      <c r="AJ24" s="65">
        <f t="shared" si="12"/>
        <v>0</v>
      </c>
      <c r="AK24" s="65"/>
      <c r="AL24" s="51"/>
      <c r="AM24" s="65"/>
      <c r="AN24" s="65">
        <f t="shared" si="13"/>
        <v>0</v>
      </c>
      <c r="AO24" s="20">
        <f t="shared" si="14"/>
        <v>0</v>
      </c>
      <c r="AP24" s="65">
        <f t="shared" si="15"/>
        <v>0</v>
      </c>
      <c r="AQ24" s="65"/>
      <c r="AR24" s="51"/>
      <c r="AS24" s="65"/>
      <c r="AT24" s="65">
        <f t="shared" si="16"/>
        <v>0</v>
      </c>
      <c r="AU24" s="20">
        <f t="shared" si="17"/>
        <v>0</v>
      </c>
      <c r="AV24" s="65">
        <f t="shared" si="18"/>
        <v>0</v>
      </c>
      <c r="AW24" s="65"/>
      <c r="AX24" s="51"/>
      <c r="AY24" s="65"/>
      <c r="AZ24" s="65">
        <f t="shared" si="19"/>
        <v>0</v>
      </c>
      <c r="BA24" s="20">
        <f t="shared" si="20"/>
        <v>0</v>
      </c>
      <c r="BB24" s="65">
        <f t="shared" si="21"/>
        <v>0</v>
      </c>
      <c r="BC24" s="65"/>
      <c r="BD24" s="51"/>
      <c r="BE24" s="51"/>
      <c r="BF24" s="51">
        <f t="shared" si="22"/>
        <v>0</v>
      </c>
      <c r="BG24" s="33">
        <f t="shared" si="23"/>
        <v>0</v>
      </c>
      <c r="BH24" s="65">
        <f t="shared" si="24"/>
        <v>0</v>
      </c>
      <c r="BI24" s="65"/>
      <c r="BJ24" s="51"/>
      <c r="BK24" s="33"/>
      <c r="BL24" s="33">
        <f t="shared" si="25"/>
        <v>0</v>
      </c>
      <c r="BM24" s="33">
        <f t="shared" si="26"/>
        <v>0</v>
      </c>
      <c r="BN24" s="65">
        <f t="shared" si="27"/>
        <v>0</v>
      </c>
      <c r="BO24" s="65"/>
      <c r="BP24" s="51"/>
      <c r="BQ24" s="51"/>
      <c r="BR24" s="51">
        <f t="shared" si="28"/>
        <v>0</v>
      </c>
      <c r="BS24" s="33">
        <f t="shared" si="29"/>
        <v>0</v>
      </c>
      <c r="BT24" s="65">
        <f t="shared" si="30"/>
        <v>0</v>
      </c>
      <c r="BU24" s="65"/>
      <c r="BV24" s="51"/>
      <c r="BW24" s="51"/>
      <c r="BX24" s="51">
        <f t="shared" si="31"/>
        <v>0</v>
      </c>
      <c r="BY24" s="33">
        <f t="shared" si="32"/>
        <v>0</v>
      </c>
      <c r="BZ24" s="65">
        <f t="shared" si="33"/>
        <v>0</v>
      </c>
      <c r="CA24" s="65"/>
      <c r="CB24" s="51"/>
      <c r="CC24" s="51"/>
      <c r="CD24" s="51">
        <f t="shared" si="34"/>
        <v>0</v>
      </c>
      <c r="CE24" s="33">
        <f t="shared" si="35"/>
        <v>0</v>
      </c>
      <c r="CF24" s="65">
        <f t="shared" si="36"/>
        <v>0</v>
      </c>
      <c r="CG24" s="65"/>
      <c r="CH24" s="51"/>
      <c r="CI24" s="51"/>
      <c r="CJ24" s="51">
        <f t="shared" si="37"/>
        <v>0</v>
      </c>
      <c r="CK24" s="33">
        <f t="shared" si="38"/>
        <v>0</v>
      </c>
      <c r="CL24" s="65">
        <f t="shared" si="39"/>
        <v>0</v>
      </c>
      <c r="CM24" s="65"/>
      <c r="CN24" s="51"/>
      <c r="CO24" s="51"/>
      <c r="CP24" s="51">
        <f t="shared" si="40"/>
        <v>0</v>
      </c>
      <c r="CQ24" s="33">
        <f t="shared" si="41"/>
        <v>0</v>
      </c>
      <c r="CR24" s="65">
        <f t="shared" si="42"/>
        <v>0</v>
      </c>
      <c r="CS24" s="65"/>
      <c r="CT24" s="51"/>
      <c r="CU24" s="33"/>
      <c r="CV24" s="33">
        <f t="shared" si="43"/>
        <v>0</v>
      </c>
      <c r="CW24" s="33">
        <f t="shared" si="44"/>
        <v>0</v>
      </c>
      <c r="CX24" s="65">
        <f t="shared" si="45"/>
        <v>0</v>
      </c>
      <c r="CY24" s="65"/>
      <c r="CZ24" s="51"/>
      <c r="DA24" s="51"/>
      <c r="DB24" s="51">
        <f t="shared" si="46"/>
        <v>0</v>
      </c>
      <c r="DC24" s="33">
        <f t="shared" si="47"/>
        <v>0</v>
      </c>
      <c r="DD24" s="65">
        <f t="shared" si="48"/>
        <v>0</v>
      </c>
      <c r="DE24" s="65"/>
      <c r="DF24" s="51"/>
      <c r="DG24" s="51"/>
      <c r="DH24" s="51">
        <f t="shared" si="49"/>
        <v>0</v>
      </c>
      <c r="DI24" s="33">
        <f t="shared" si="50"/>
        <v>0</v>
      </c>
      <c r="DJ24" s="65">
        <f t="shared" si="51"/>
        <v>0</v>
      </c>
      <c r="DK24" s="65"/>
      <c r="DL24" s="51"/>
      <c r="DM24" s="51"/>
      <c r="DN24" s="51">
        <f t="shared" si="52"/>
        <v>0</v>
      </c>
      <c r="DO24" s="33">
        <f t="shared" si="53"/>
        <v>0</v>
      </c>
      <c r="DP24" s="65">
        <f t="shared" si="54"/>
        <v>0</v>
      </c>
      <c r="DQ24" s="65"/>
      <c r="DR24" s="51"/>
      <c r="DS24" s="51"/>
      <c r="DT24" s="51">
        <f t="shared" si="55"/>
        <v>0</v>
      </c>
      <c r="DU24" s="33">
        <f t="shared" si="56"/>
        <v>0</v>
      </c>
      <c r="DV24" s="65">
        <f t="shared" si="57"/>
        <v>0</v>
      </c>
      <c r="DW24" s="65"/>
      <c r="DX24" s="51"/>
      <c r="DY24" s="51"/>
      <c r="DZ24" s="51">
        <f t="shared" si="58"/>
        <v>0</v>
      </c>
      <c r="EA24" s="33">
        <f t="shared" si="59"/>
        <v>0</v>
      </c>
      <c r="EB24" s="65">
        <f t="shared" si="60"/>
        <v>0</v>
      </c>
      <c r="EC24" s="65"/>
      <c r="ED24" s="51"/>
      <c r="EE24" s="51"/>
      <c r="EF24" s="51">
        <f t="shared" si="61"/>
        <v>0</v>
      </c>
      <c r="EG24" s="33">
        <f t="shared" si="62"/>
        <v>0</v>
      </c>
      <c r="EH24" s="65">
        <f t="shared" si="63"/>
        <v>0</v>
      </c>
      <c r="EI24" s="65"/>
      <c r="EJ24" s="51"/>
      <c r="EK24" s="51"/>
      <c r="EL24" s="51">
        <f t="shared" si="64"/>
        <v>0</v>
      </c>
      <c r="EM24" s="33">
        <f t="shared" si="65"/>
        <v>0</v>
      </c>
      <c r="EN24" s="65">
        <f t="shared" si="66"/>
        <v>0</v>
      </c>
      <c r="EO24" s="65"/>
      <c r="EP24" s="51"/>
      <c r="EQ24" s="51"/>
      <c r="ER24" s="51">
        <f t="shared" si="67"/>
        <v>0</v>
      </c>
      <c r="ES24" s="33">
        <f t="shared" si="68"/>
        <v>0</v>
      </c>
      <c r="ET24" s="65">
        <f t="shared" si="69"/>
        <v>0</v>
      </c>
      <c r="EU24" s="65"/>
      <c r="EV24" s="51"/>
      <c r="EW24" s="51"/>
      <c r="EX24" s="51">
        <f t="shared" si="70"/>
        <v>0</v>
      </c>
      <c r="EY24" s="33">
        <f t="shared" si="71"/>
        <v>0</v>
      </c>
      <c r="EZ24" s="65">
        <f t="shared" si="72"/>
        <v>0</v>
      </c>
      <c r="FA24" s="65"/>
      <c r="FB24" s="33"/>
      <c r="FC24" s="33"/>
      <c r="FD24" s="33">
        <f t="shared" si="73"/>
        <v>0</v>
      </c>
      <c r="FE24" s="33">
        <f t="shared" si="74"/>
        <v>0</v>
      </c>
      <c r="FF24" s="65">
        <f t="shared" si="75"/>
        <v>0</v>
      </c>
      <c r="FG24" s="65"/>
      <c r="FH24" s="51"/>
      <c r="FI24" s="51"/>
      <c r="FJ24" s="51">
        <f t="shared" si="76"/>
        <v>0</v>
      </c>
      <c r="FK24" s="33">
        <f t="shared" si="77"/>
        <v>0</v>
      </c>
      <c r="FL24" s="65">
        <f t="shared" si="78"/>
        <v>0</v>
      </c>
      <c r="FM24" s="65"/>
      <c r="FN24" s="51"/>
      <c r="FO24" s="33"/>
      <c r="FP24" s="33"/>
      <c r="FQ24" s="33"/>
    </row>
    <row r="25" spans="1:173" s="53" customFormat="1" ht="12.75">
      <c r="A25" s="52">
        <v>45383</v>
      </c>
      <c r="C25" s="35"/>
      <c r="D25" s="35"/>
      <c r="E25" s="35">
        <f t="shared" si="0"/>
        <v>0</v>
      </c>
      <c r="F25" s="35"/>
      <c r="G25" s="35"/>
      <c r="H25" s="51"/>
      <c r="I25" s="51"/>
      <c r="J25" s="51"/>
      <c r="K25" s="51">
        <f t="shared" si="79"/>
        <v>0</v>
      </c>
      <c r="L25" s="51"/>
      <c r="M25" s="35"/>
      <c r="N25" s="51"/>
      <c r="O25" s="51">
        <f>U25+AA25+AG25+AM25+AS25+AY25+BE25+BK25+BQ25+CC25+CO25+CU25+DA25+DG25+DM25+EK25+EQ25+EW25+FC25+FI25+FO25+BW25+CI25+DS25+DY25+EE25</f>
        <v>0</v>
      </c>
      <c r="P25" s="41">
        <f t="shared" si="1"/>
        <v>0</v>
      </c>
      <c r="Q25" s="33">
        <f t="shared" si="2"/>
        <v>0</v>
      </c>
      <c r="R25" s="41">
        <f t="shared" si="3"/>
        <v>0</v>
      </c>
      <c r="S25" s="35"/>
      <c r="T25" s="51"/>
      <c r="U25" s="65">
        <f t="shared" si="80"/>
        <v>0</v>
      </c>
      <c r="V25" s="65">
        <f t="shared" si="4"/>
        <v>0</v>
      </c>
      <c r="W25" s="20">
        <f t="shared" si="5"/>
        <v>0</v>
      </c>
      <c r="X25" s="65">
        <f t="shared" si="6"/>
        <v>0</v>
      </c>
      <c r="Y25" s="65"/>
      <c r="Z25" s="51"/>
      <c r="AA25" s="65">
        <f t="shared" si="81"/>
        <v>0</v>
      </c>
      <c r="AB25" s="65">
        <f t="shared" si="7"/>
        <v>0</v>
      </c>
      <c r="AC25" s="20">
        <f t="shared" si="8"/>
        <v>0</v>
      </c>
      <c r="AD25" s="65">
        <f t="shared" si="9"/>
        <v>0</v>
      </c>
      <c r="AE25" s="65"/>
      <c r="AF25" s="51"/>
      <c r="AG25" s="33">
        <f t="shared" si="82"/>
        <v>0</v>
      </c>
      <c r="AH25" s="33">
        <f t="shared" si="10"/>
        <v>0</v>
      </c>
      <c r="AI25" s="33">
        <f t="shared" si="11"/>
        <v>0</v>
      </c>
      <c r="AJ25" s="65">
        <f t="shared" si="12"/>
        <v>0</v>
      </c>
      <c r="AK25" s="65"/>
      <c r="AL25" s="51"/>
      <c r="AM25" s="65">
        <f t="shared" si="83"/>
        <v>0</v>
      </c>
      <c r="AN25" s="65">
        <f t="shared" si="13"/>
        <v>0</v>
      </c>
      <c r="AO25" s="20">
        <f t="shared" si="14"/>
        <v>0</v>
      </c>
      <c r="AP25" s="65">
        <f t="shared" si="15"/>
        <v>0</v>
      </c>
      <c r="AQ25" s="65"/>
      <c r="AR25" s="51"/>
      <c r="AS25" s="65">
        <f t="shared" si="84"/>
        <v>0</v>
      </c>
      <c r="AT25" s="65">
        <f t="shared" si="16"/>
        <v>0</v>
      </c>
      <c r="AU25" s="20">
        <f t="shared" si="17"/>
        <v>0</v>
      </c>
      <c r="AV25" s="65">
        <f t="shared" si="18"/>
        <v>0</v>
      </c>
      <c r="AW25" s="65"/>
      <c r="AX25" s="51"/>
      <c r="AY25" s="65">
        <f t="shared" si="85"/>
        <v>0</v>
      </c>
      <c r="AZ25" s="65">
        <f t="shared" si="19"/>
        <v>0</v>
      </c>
      <c r="BA25" s="20">
        <f t="shared" si="20"/>
        <v>0</v>
      </c>
      <c r="BB25" s="65">
        <f t="shared" si="21"/>
        <v>0</v>
      </c>
      <c r="BC25" s="65"/>
      <c r="BD25" s="51"/>
      <c r="BE25" s="51">
        <f t="shared" si="86"/>
        <v>0</v>
      </c>
      <c r="BF25" s="51">
        <f t="shared" si="22"/>
        <v>0</v>
      </c>
      <c r="BG25" s="33">
        <f t="shared" si="23"/>
        <v>0</v>
      </c>
      <c r="BH25" s="65">
        <f t="shared" si="24"/>
        <v>0</v>
      </c>
      <c r="BI25" s="65"/>
      <c r="BJ25" s="51"/>
      <c r="BK25" s="33">
        <f t="shared" si="87"/>
        <v>0</v>
      </c>
      <c r="BL25" s="33">
        <f t="shared" si="25"/>
        <v>0</v>
      </c>
      <c r="BM25" s="33">
        <f t="shared" si="26"/>
        <v>0</v>
      </c>
      <c r="BN25" s="65">
        <f t="shared" si="27"/>
        <v>0</v>
      </c>
      <c r="BO25" s="65"/>
      <c r="BP25" s="51"/>
      <c r="BQ25" s="51">
        <f t="shared" si="88"/>
        <v>0</v>
      </c>
      <c r="BR25" s="51">
        <f t="shared" si="28"/>
        <v>0</v>
      </c>
      <c r="BS25" s="33">
        <f t="shared" si="29"/>
        <v>0</v>
      </c>
      <c r="BT25" s="65">
        <f t="shared" si="30"/>
        <v>0</v>
      </c>
      <c r="BU25" s="65"/>
      <c r="BV25" s="51"/>
      <c r="BW25" s="51">
        <f t="shared" si="89"/>
        <v>0</v>
      </c>
      <c r="BX25" s="51">
        <f t="shared" si="31"/>
        <v>0</v>
      </c>
      <c r="BY25" s="33">
        <f t="shared" si="32"/>
        <v>0</v>
      </c>
      <c r="BZ25" s="65">
        <f t="shared" si="33"/>
        <v>0</v>
      </c>
      <c r="CA25" s="65"/>
      <c r="CB25" s="51"/>
      <c r="CC25" s="51">
        <f t="shared" si="90"/>
        <v>0</v>
      </c>
      <c r="CD25" s="51">
        <f t="shared" si="34"/>
        <v>0</v>
      </c>
      <c r="CE25" s="33">
        <f t="shared" si="35"/>
        <v>0</v>
      </c>
      <c r="CF25" s="65">
        <f t="shared" si="36"/>
        <v>0</v>
      </c>
      <c r="CG25" s="65"/>
      <c r="CH25" s="51"/>
      <c r="CI25" s="51">
        <f t="shared" si="91"/>
        <v>0</v>
      </c>
      <c r="CJ25" s="51">
        <f t="shared" si="37"/>
        <v>0</v>
      </c>
      <c r="CK25" s="33">
        <f t="shared" si="38"/>
        <v>0</v>
      </c>
      <c r="CL25" s="65">
        <f t="shared" si="39"/>
        <v>0</v>
      </c>
      <c r="CM25" s="65"/>
      <c r="CN25" s="51"/>
      <c r="CO25" s="51">
        <f t="shared" si="92"/>
        <v>0</v>
      </c>
      <c r="CP25" s="51">
        <f t="shared" si="40"/>
        <v>0</v>
      </c>
      <c r="CQ25" s="33">
        <f t="shared" si="41"/>
        <v>0</v>
      </c>
      <c r="CR25" s="65">
        <f t="shared" si="42"/>
        <v>0</v>
      </c>
      <c r="CS25" s="65"/>
      <c r="CT25" s="51"/>
      <c r="CU25" s="33">
        <f t="shared" si="93"/>
        <v>0</v>
      </c>
      <c r="CV25" s="33">
        <f t="shared" si="43"/>
        <v>0</v>
      </c>
      <c r="CW25" s="33">
        <f t="shared" si="44"/>
        <v>0</v>
      </c>
      <c r="CX25" s="65">
        <f t="shared" si="45"/>
        <v>0</v>
      </c>
      <c r="CY25" s="65"/>
      <c r="CZ25" s="51"/>
      <c r="DA25" s="51">
        <f t="shared" si="94"/>
        <v>0</v>
      </c>
      <c r="DB25" s="51">
        <f t="shared" si="46"/>
        <v>0</v>
      </c>
      <c r="DC25" s="33">
        <f t="shared" si="47"/>
        <v>0</v>
      </c>
      <c r="DD25" s="65">
        <f t="shared" si="48"/>
        <v>0</v>
      </c>
      <c r="DE25" s="65"/>
      <c r="DF25" s="51"/>
      <c r="DG25" s="51">
        <f t="shared" si="95"/>
        <v>0</v>
      </c>
      <c r="DH25" s="51">
        <f t="shared" si="49"/>
        <v>0</v>
      </c>
      <c r="DI25" s="33">
        <f t="shared" si="50"/>
        <v>0</v>
      </c>
      <c r="DJ25" s="65">
        <f t="shared" si="51"/>
        <v>0</v>
      </c>
      <c r="DK25" s="65"/>
      <c r="DL25" s="51"/>
      <c r="DM25" s="51">
        <f t="shared" si="96"/>
        <v>0</v>
      </c>
      <c r="DN25" s="51">
        <f t="shared" si="52"/>
        <v>0</v>
      </c>
      <c r="DO25" s="33">
        <f t="shared" si="53"/>
        <v>0</v>
      </c>
      <c r="DP25" s="65">
        <f t="shared" si="54"/>
        <v>0</v>
      </c>
      <c r="DQ25" s="65"/>
      <c r="DR25" s="51"/>
      <c r="DS25" s="51">
        <f t="shared" si="97"/>
        <v>0</v>
      </c>
      <c r="DT25" s="51">
        <f t="shared" si="55"/>
        <v>0</v>
      </c>
      <c r="DU25" s="33">
        <f t="shared" si="56"/>
        <v>0</v>
      </c>
      <c r="DV25" s="65">
        <f t="shared" si="57"/>
        <v>0</v>
      </c>
      <c r="DW25" s="65"/>
      <c r="DX25" s="51"/>
      <c r="DY25" s="51">
        <f t="shared" si="98"/>
        <v>0</v>
      </c>
      <c r="DZ25" s="51">
        <f t="shared" si="58"/>
        <v>0</v>
      </c>
      <c r="EA25" s="33">
        <f t="shared" si="59"/>
        <v>0</v>
      </c>
      <c r="EB25" s="65">
        <f t="shared" si="60"/>
        <v>0</v>
      </c>
      <c r="EC25" s="65"/>
      <c r="ED25" s="51"/>
      <c r="EE25" s="51">
        <f t="shared" si="99"/>
        <v>0</v>
      </c>
      <c r="EF25" s="51">
        <f t="shared" si="61"/>
        <v>0</v>
      </c>
      <c r="EG25" s="33">
        <f t="shared" si="62"/>
        <v>0</v>
      </c>
      <c r="EH25" s="65">
        <f t="shared" si="63"/>
        <v>0</v>
      </c>
      <c r="EI25" s="65"/>
      <c r="EJ25" s="51"/>
      <c r="EK25" s="51">
        <f t="shared" si="100"/>
        <v>0</v>
      </c>
      <c r="EL25" s="51">
        <f t="shared" si="64"/>
        <v>0</v>
      </c>
      <c r="EM25" s="33">
        <f t="shared" si="65"/>
        <v>0</v>
      </c>
      <c r="EN25" s="65">
        <f t="shared" si="66"/>
        <v>0</v>
      </c>
      <c r="EO25" s="65"/>
      <c r="EP25" s="51"/>
      <c r="EQ25" s="51">
        <f t="shared" si="101"/>
        <v>0</v>
      </c>
      <c r="ER25" s="51">
        <f t="shared" si="67"/>
        <v>0</v>
      </c>
      <c r="ES25" s="33">
        <f t="shared" si="68"/>
        <v>0</v>
      </c>
      <c r="ET25" s="65">
        <f t="shared" si="69"/>
        <v>0</v>
      </c>
      <c r="EU25" s="65"/>
      <c r="EV25" s="51"/>
      <c r="EW25" s="51">
        <f t="shared" si="102"/>
        <v>0</v>
      </c>
      <c r="EX25" s="51">
        <f t="shared" si="70"/>
        <v>0</v>
      </c>
      <c r="EY25" s="33">
        <f t="shared" si="71"/>
        <v>0</v>
      </c>
      <c r="EZ25" s="65">
        <f t="shared" si="72"/>
        <v>0</v>
      </c>
      <c r="FA25" s="65"/>
      <c r="FB25" s="33"/>
      <c r="FC25" s="33">
        <f t="shared" si="103"/>
        <v>0</v>
      </c>
      <c r="FD25" s="33">
        <f t="shared" si="73"/>
        <v>0</v>
      </c>
      <c r="FE25" s="33">
        <f t="shared" si="74"/>
        <v>0</v>
      </c>
      <c r="FF25" s="65">
        <f t="shared" si="75"/>
        <v>0</v>
      </c>
      <c r="FG25" s="65"/>
      <c r="FH25" s="51"/>
      <c r="FI25" s="51">
        <f t="shared" si="104"/>
        <v>0</v>
      </c>
      <c r="FJ25" s="51">
        <f t="shared" si="76"/>
        <v>0</v>
      </c>
      <c r="FK25" s="33">
        <f t="shared" si="77"/>
        <v>0</v>
      </c>
      <c r="FL25" s="65">
        <f t="shared" si="78"/>
        <v>0</v>
      </c>
      <c r="FM25" s="65"/>
      <c r="FN25" s="51"/>
      <c r="FO25" s="33"/>
      <c r="FP25" s="33"/>
      <c r="FQ25" s="33"/>
    </row>
    <row r="26" spans="1:173" s="53" customFormat="1" ht="12.75">
      <c r="A26" s="52">
        <v>45566</v>
      </c>
      <c r="C26" s="35"/>
      <c r="D26" s="35"/>
      <c r="E26" s="35">
        <f t="shared" si="0"/>
        <v>0</v>
      </c>
      <c r="F26" s="35"/>
      <c r="G26" s="35"/>
      <c r="H26" s="51"/>
      <c r="I26" s="51"/>
      <c r="J26" s="51"/>
      <c r="K26" s="51">
        <f t="shared" si="79"/>
        <v>0</v>
      </c>
      <c r="L26" s="51"/>
      <c r="M26" s="35"/>
      <c r="N26" s="51"/>
      <c r="O26" s="51"/>
      <c r="P26" s="41">
        <f t="shared" si="1"/>
        <v>0</v>
      </c>
      <c r="Q26" s="33">
        <f t="shared" si="2"/>
        <v>0</v>
      </c>
      <c r="R26" s="41">
        <f t="shared" si="3"/>
        <v>0</v>
      </c>
      <c r="S26" s="35"/>
      <c r="T26" s="51"/>
      <c r="U26" s="65"/>
      <c r="V26" s="65">
        <f t="shared" si="4"/>
        <v>0</v>
      </c>
      <c r="W26" s="20">
        <f t="shared" si="5"/>
        <v>0</v>
      </c>
      <c r="X26" s="65">
        <f t="shared" si="6"/>
        <v>0</v>
      </c>
      <c r="Y26" s="65"/>
      <c r="Z26" s="51"/>
      <c r="AA26" s="65"/>
      <c r="AB26" s="65">
        <f t="shared" si="7"/>
        <v>0</v>
      </c>
      <c r="AC26" s="20">
        <f t="shared" si="8"/>
        <v>0</v>
      </c>
      <c r="AD26" s="65">
        <f t="shared" si="9"/>
        <v>0</v>
      </c>
      <c r="AE26" s="65"/>
      <c r="AF26" s="51"/>
      <c r="AG26" s="33"/>
      <c r="AH26" s="33">
        <f t="shared" si="10"/>
        <v>0</v>
      </c>
      <c r="AI26" s="33">
        <f t="shared" si="11"/>
        <v>0</v>
      </c>
      <c r="AJ26" s="65">
        <f t="shared" si="12"/>
        <v>0</v>
      </c>
      <c r="AK26" s="65"/>
      <c r="AL26" s="51"/>
      <c r="AM26" s="65"/>
      <c r="AN26" s="65">
        <f t="shared" si="13"/>
        <v>0</v>
      </c>
      <c r="AO26" s="20">
        <f t="shared" si="14"/>
        <v>0</v>
      </c>
      <c r="AP26" s="65">
        <f t="shared" si="15"/>
        <v>0</v>
      </c>
      <c r="AQ26" s="65"/>
      <c r="AR26" s="51"/>
      <c r="AS26" s="65"/>
      <c r="AT26" s="65">
        <f t="shared" si="16"/>
        <v>0</v>
      </c>
      <c r="AU26" s="20">
        <f t="shared" si="17"/>
        <v>0</v>
      </c>
      <c r="AV26" s="65">
        <f t="shared" si="18"/>
        <v>0</v>
      </c>
      <c r="AW26" s="65"/>
      <c r="AX26" s="51"/>
      <c r="AY26" s="65"/>
      <c r="AZ26" s="65">
        <f t="shared" si="19"/>
        <v>0</v>
      </c>
      <c r="BA26" s="20">
        <f t="shared" si="20"/>
        <v>0</v>
      </c>
      <c r="BB26" s="65">
        <f t="shared" si="21"/>
        <v>0</v>
      </c>
      <c r="BC26" s="65"/>
      <c r="BD26" s="51"/>
      <c r="BE26" s="51"/>
      <c r="BF26" s="51">
        <f t="shared" si="22"/>
        <v>0</v>
      </c>
      <c r="BG26" s="33">
        <f t="shared" si="23"/>
        <v>0</v>
      </c>
      <c r="BH26" s="65">
        <f t="shared" si="24"/>
        <v>0</v>
      </c>
      <c r="BI26" s="65"/>
      <c r="BJ26" s="51"/>
      <c r="BK26" s="33"/>
      <c r="BL26" s="33">
        <f t="shared" si="25"/>
        <v>0</v>
      </c>
      <c r="BM26" s="33">
        <f t="shared" si="26"/>
        <v>0</v>
      </c>
      <c r="BN26" s="65">
        <f t="shared" si="27"/>
        <v>0</v>
      </c>
      <c r="BO26" s="65"/>
      <c r="BP26" s="51"/>
      <c r="BQ26" s="51"/>
      <c r="BR26" s="51">
        <f t="shared" si="28"/>
        <v>0</v>
      </c>
      <c r="BS26" s="33">
        <f t="shared" si="29"/>
        <v>0</v>
      </c>
      <c r="BT26" s="65">
        <f t="shared" si="30"/>
        <v>0</v>
      </c>
      <c r="BU26" s="65"/>
      <c r="BV26" s="51"/>
      <c r="BW26" s="51"/>
      <c r="BX26" s="51">
        <f t="shared" si="31"/>
        <v>0</v>
      </c>
      <c r="BY26" s="33">
        <f t="shared" si="32"/>
        <v>0</v>
      </c>
      <c r="BZ26" s="65">
        <f t="shared" si="33"/>
        <v>0</v>
      </c>
      <c r="CA26" s="65"/>
      <c r="CB26" s="51"/>
      <c r="CC26" s="51"/>
      <c r="CD26" s="51">
        <f t="shared" si="34"/>
        <v>0</v>
      </c>
      <c r="CE26" s="33">
        <f t="shared" si="35"/>
        <v>0</v>
      </c>
      <c r="CF26" s="65">
        <f t="shared" si="36"/>
        <v>0</v>
      </c>
      <c r="CG26" s="65"/>
      <c r="CH26" s="51"/>
      <c r="CI26" s="51"/>
      <c r="CJ26" s="51">
        <f t="shared" si="37"/>
        <v>0</v>
      </c>
      <c r="CK26" s="33">
        <f t="shared" si="38"/>
        <v>0</v>
      </c>
      <c r="CL26" s="65">
        <f t="shared" si="39"/>
        <v>0</v>
      </c>
      <c r="CM26" s="65"/>
      <c r="CN26" s="51"/>
      <c r="CO26" s="51"/>
      <c r="CP26" s="51">
        <f t="shared" si="40"/>
        <v>0</v>
      </c>
      <c r="CQ26" s="33">
        <f t="shared" si="41"/>
        <v>0</v>
      </c>
      <c r="CR26" s="65">
        <f t="shared" si="42"/>
        <v>0</v>
      </c>
      <c r="CS26" s="65"/>
      <c r="CT26" s="51"/>
      <c r="CU26" s="33"/>
      <c r="CV26" s="33">
        <f t="shared" si="43"/>
        <v>0</v>
      </c>
      <c r="CW26" s="33">
        <f t="shared" si="44"/>
        <v>0</v>
      </c>
      <c r="CX26" s="65">
        <f t="shared" si="45"/>
        <v>0</v>
      </c>
      <c r="CY26" s="65"/>
      <c r="CZ26" s="51"/>
      <c r="DA26" s="51"/>
      <c r="DB26" s="51">
        <f t="shared" si="46"/>
        <v>0</v>
      </c>
      <c r="DC26" s="33">
        <f t="shared" si="47"/>
        <v>0</v>
      </c>
      <c r="DD26" s="65">
        <f t="shared" si="48"/>
        <v>0</v>
      </c>
      <c r="DE26" s="65"/>
      <c r="DF26" s="51"/>
      <c r="DG26" s="51"/>
      <c r="DH26" s="51">
        <f t="shared" si="49"/>
        <v>0</v>
      </c>
      <c r="DI26" s="33">
        <f t="shared" si="50"/>
        <v>0</v>
      </c>
      <c r="DJ26" s="65">
        <f t="shared" si="51"/>
        <v>0</v>
      </c>
      <c r="DK26" s="65"/>
      <c r="DL26" s="51"/>
      <c r="DM26" s="51"/>
      <c r="DN26" s="51">
        <f t="shared" si="52"/>
        <v>0</v>
      </c>
      <c r="DO26" s="33">
        <f t="shared" si="53"/>
        <v>0</v>
      </c>
      <c r="DP26" s="65">
        <f t="shared" si="54"/>
        <v>0</v>
      </c>
      <c r="DQ26" s="65"/>
      <c r="DR26" s="51"/>
      <c r="DS26" s="51"/>
      <c r="DT26" s="51">
        <f t="shared" si="55"/>
        <v>0</v>
      </c>
      <c r="DU26" s="33">
        <f t="shared" si="56"/>
        <v>0</v>
      </c>
      <c r="DV26" s="65">
        <f t="shared" si="57"/>
        <v>0</v>
      </c>
      <c r="DW26" s="65"/>
      <c r="DX26" s="51"/>
      <c r="DY26" s="51"/>
      <c r="DZ26" s="51">
        <f t="shared" si="58"/>
        <v>0</v>
      </c>
      <c r="EA26" s="33">
        <f t="shared" si="59"/>
        <v>0</v>
      </c>
      <c r="EB26" s="65">
        <f t="shared" si="60"/>
        <v>0</v>
      </c>
      <c r="EC26" s="65"/>
      <c r="ED26" s="51"/>
      <c r="EE26" s="51"/>
      <c r="EF26" s="51">
        <f t="shared" si="61"/>
        <v>0</v>
      </c>
      <c r="EG26" s="33">
        <f t="shared" si="62"/>
        <v>0</v>
      </c>
      <c r="EH26" s="65">
        <f t="shared" si="63"/>
        <v>0</v>
      </c>
      <c r="EI26" s="65"/>
      <c r="EJ26" s="51"/>
      <c r="EK26" s="51"/>
      <c r="EL26" s="51">
        <f t="shared" si="64"/>
        <v>0</v>
      </c>
      <c r="EM26" s="33">
        <f t="shared" si="65"/>
        <v>0</v>
      </c>
      <c r="EN26" s="65">
        <f t="shared" si="66"/>
        <v>0</v>
      </c>
      <c r="EO26" s="65"/>
      <c r="EP26" s="51"/>
      <c r="EQ26" s="51"/>
      <c r="ER26" s="51">
        <f t="shared" si="67"/>
        <v>0</v>
      </c>
      <c r="ES26" s="33">
        <f t="shared" si="68"/>
        <v>0</v>
      </c>
      <c r="ET26" s="65">
        <f t="shared" si="69"/>
        <v>0</v>
      </c>
      <c r="EU26" s="65"/>
      <c r="EV26" s="51"/>
      <c r="EW26" s="51"/>
      <c r="EX26" s="51">
        <f t="shared" si="70"/>
        <v>0</v>
      </c>
      <c r="EY26" s="33">
        <f t="shared" si="71"/>
        <v>0</v>
      </c>
      <c r="EZ26" s="65">
        <f t="shared" si="72"/>
        <v>0</v>
      </c>
      <c r="FA26" s="65"/>
      <c r="FB26" s="33"/>
      <c r="FC26" s="33"/>
      <c r="FD26" s="33">
        <f t="shared" si="73"/>
        <v>0</v>
      </c>
      <c r="FE26" s="33">
        <f t="shared" si="74"/>
        <v>0</v>
      </c>
      <c r="FF26" s="65">
        <f t="shared" si="75"/>
        <v>0</v>
      </c>
      <c r="FG26" s="65"/>
      <c r="FH26" s="51"/>
      <c r="FI26" s="51"/>
      <c r="FJ26" s="51">
        <f t="shared" si="76"/>
        <v>0</v>
      </c>
      <c r="FK26" s="33">
        <f t="shared" si="77"/>
        <v>0</v>
      </c>
      <c r="FL26" s="65">
        <f t="shared" si="78"/>
        <v>0</v>
      </c>
      <c r="FM26" s="65"/>
      <c r="FN26" s="51"/>
      <c r="FO26" s="33"/>
      <c r="FP26" s="33"/>
      <c r="FQ26" s="33"/>
    </row>
    <row r="27" spans="1:173" s="53" customFormat="1" ht="12.75">
      <c r="A27" s="52">
        <v>45748</v>
      </c>
      <c r="C27" s="35"/>
      <c r="D27" s="35"/>
      <c r="E27" s="35">
        <f t="shared" si="0"/>
        <v>0</v>
      </c>
      <c r="F27" s="35"/>
      <c r="G27" s="35"/>
      <c r="H27" s="51"/>
      <c r="I27" s="51"/>
      <c r="J27" s="51"/>
      <c r="K27" s="51">
        <f t="shared" si="79"/>
        <v>0</v>
      </c>
      <c r="L27" s="51"/>
      <c r="M27" s="35"/>
      <c r="N27" s="51"/>
      <c r="O27" s="51">
        <f>U27+AA27+AG27+AM27+AS27+AY27+BE27+BK27+BQ27+CC27+CO27+CU27+DA27+DG27+DM27+EK27+EQ27+EW27+FC27+FI27+FO27+BW27+CI27+DS27+DY27+EE27</f>
        <v>0</v>
      </c>
      <c r="P27" s="41">
        <f t="shared" si="1"/>
        <v>0</v>
      </c>
      <c r="Q27" s="33">
        <f t="shared" si="2"/>
        <v>0</v>
      </c>
      <c r="R27" s="41">
        <f t="shared" si="3"/>
        <v>0</v>
      </c>
      <c r="S27" s="35"/>
      <c r="T27" s="51"/>
      <c r="U27" s="65">
        <f t="shared" si="80"/>
        <v>0</v>
      </c>
      <c r="V27" s="65">
        <f t="shared" si="4"/>
        <v>0</v>
      </c>
      <c r="W27" s="20">
        <f t="shared" si="5"/>
        <v>0</v>
      </c>
      <c r="X27" s="65">
        <f t="shared" si="6"/>
        <v>0</v>
      </c>
      <c r="Y27" s="65"/>
      <c r="Z27" s="51"/>
      <c r="AA27" s="65">
        <f t="shared" si="81"/>
        <v>0</v>
      </c>
      <c r="AB27" s="65">
        <f t="shared" si="7"/>
        <v>0</v>
      </c>
      <c r="AC27" s="20">
        <f t="shared" si="8"/>
        <v>0</v>
      </c>
      <c r="AD27" s="65">
        <f t="shared" si="9"/>
        <v>0</v>
      </c>
      <c r="AE27" s="65"/>
      <c r="AF27" s="51"/>
      <c r="AG27" s="33">
        <f t="shared" si="82"/>
        <v>0</v>
      </c>
      <c r="AH27" s="33">
        <f t="shared" si="10"/>
        <v>0</v>
      </c>
      <c r="AI27" s="33">
        <f t="shared" si="11"/>
        <v>0</v>
      </c>
      <c r="AJ27" s="65">
        <f t="shared" si="12"/>
        <v>0</v>
      </c>
      <c r="AK27" s="65"/>
      <c r="AL27" s="51"/>
      <c r="AM27" s="65">
        <f t="shared" si="83"/>
        <v>0</v>
      </c>
      <c r="AN27" s="65">
        <f t="shared" si="13"/>
        <v>0</v>
      </c>
      <c r="AO27" s="20">
        <f t="shared" si="14"/>
        <v>0</v>
      </c>
      <c r="AP27" s="65">
        <f t="shared" si="15"/>
        <v>0</v>
      </c>
      <c r="AQ27" s="65"/>
      <c r="AR27" s="51"/>
      <c r="AS27" s="65">
        <f t="shared" si="84"/>
        <v>0</v>
      </c>
      <c r="AT27" s="65">
        <f t="shared" si="16"/>
        <v>0</v>
      </c>
      <c r="AU27" s="20">
        <f t="shared" si="17"/>
        <v>0</v>
      </c>
      <c r="AV27" s="65">
        <f t="shared" si="18"/>
        <v>0</v>
      </c>
      <c r="AW27" s="65"/>
      <c r="AX27" s="51"/>
      <c r="AY27" s="65">
        <f t="shared" si="85"/>
        <v>0</v>
      </c>
      <c r="AZ27" s="65">
        <f t="shared" si="19"/>
        <v>0</v>
      </c>
      <c r="BA27" s="20">
        <f t="shared" si="20"/>
        <v>0</v>
      </c>
      <c r="BB27" s="65">
        <f t="shared" si="21"/>
        <v>0</v>
      </c>
      <c r="BC27" s="65"/>
      <c r="BD27" s="51"/>
      <c r="BE27" s="51">
        <f t="shared" si="86"/>
        <v>0</v>
      </c>
      <c r="BF27" s="51">
        <f t="shared" si="22"/>
        <v>0</v>
      </c>
      <c r="BG27" s="33">
        <f t="shared" si="23"/>
        <v>0</v>
      </c>
      <c r="BH27" s="65">
        <f t="shared" si="24"/>
        <v>0</v>
      </c>
      <c r="BI27" s="65"/>
      <c r="BJ27" s="51"/>
      <c r="BK27" s="33">
        <f t="shared" si="87"/>
        <v>0</v>
      </c>
      <c r="BL27" s="33">
        <f t="shared" si="25"/>
        <v>0</v>
      </c>
      <c r="BM27" s="33">
        <f t="shared" si="26"/>
        <v>0</v>
      </c>
      <c r="BN27" s="65">
        <f t="shared" si="27"/>
        <v>0</v>
      </c>
      <c r="BO27" s="65"/>
      <c r="BP27" s="51"/>
      <c r="BQ27" s="51">
        <f t="shared" si="88"/>
        <v>0</v>
      </c>
      <c r="BR27" s="51">
        <f t="shared" si="28"/>
        <v>0</v>
      </c>
      <c r="BS27" s="33">
        <f t="shared" si="29"/>
        <v>0</v>
      </c>
      <c r="BT27" s="65">
        <f t="shared" si="30"/>
        <v>0</v>
      </c>
      <c r="BU27" s="65"/>
      <c r="BV27" s="51"/>
      <c r="BW27" s="51">
        <f t="shared" si="89"/>
        <v>0</v>
      </c>
      <c r="BX27" s="51">
        <f t="shared" si="31"/>
        <v>0</v>
      </c>
      <c r="BY27" s="33">
        <f t="shared" si="32"/>
        <v>0</v>
      </c>
      <c r="BZ27" s="65">
        <f t="shared" si="33"/>
        <v>0</v>
      </c>
      <c r="CA27" s="65"/>
      <c r="CB27" s="51"/>
      <c r="CC27" s="51">
        <f t="shared" si="90"/>
        <v>0</v>
      </c>
      <c r="CD27" s="51">
        <f t="shared" si="34"/>
        <v>0</v>
      </c>
      <c r="CE27" s="33">
        <f t="shared" si="35"/>
        <v>0</v>
      </c>
      <c r="CF27" s="65">
        <f t="shared" si="36"/>
        <v>0</v>
      </c>
      <c r="CG27" s="65"/>
      <c r="CH27" s="51"/>
      <c r="CI27" s="51">
        <f t="shared" si="91"/>
        <v>0</v>
      </c>
      <c r="CJ27" s="51">
        <f t="shared" si="37"/>
        <v>0</v>
      </c>
      <c r="CK27" s="33">
        <f t="shared" si="38"/>
        <v>0</v>
      </c>
      <c r="CL27" s="65">
        <f t="shared" si="39"/>
        <v>0</v>
      </c>
      <c r="CM27" s="65"/>
      <c r="CN27" s="51"/>
      <c r="CO27" s="51">
        <f t="shared" si="92"/>
        <v>0</v>
      </c>
      <c r="CP27" s="51">
        <f t="shared" si="40"/>
        <v>0</v>
      </c>
      <c r="CQ27" s="33">
        <f t="shared" si="41"/>
        <v>0</v>
      </c>
      <c r="CR27" s="65">
        <f t="shared" si="42"/>
        <v>0</v>
      </c>
      <c r="CS27" s="65"/>
      <c r="CT27" s="51"/>
      <c r="CU27" s="33">
        <f t="shared" si="93"/>
        <v>0</v>
      </c>
      <c r="CV27" s="33">
        <f t="shared" si="43"/>
        <v>0</v>
      </c>
      <c r="CW27" s="33">
        <f t="shared" si="44"/>
        <v>0</v>
      </c>
      <c r="CX27" s="65">
        <f t="shared" si="45"/>
        <v>0</v>
      </c>
      <c r="CY27" s="65"/>
      <c r="CZ27" s="51"/>
      <c r="DA27" s="51">
        <f t="shared" si="94"/>
        <v>0</v>
      </c>
      <c r="DB27" s="51">
        <f t="shared" si="46"/>
        <v>0</v>
      </c>
      <c r="DC27" s="33">
        <f t="shared" si="47"/>
        <v>0</v>
      </c>
      <c r="DD27" s="65">
        <f t="shared" si="48"/>
        <v>0</v>
      </c>
      <c r="DE27" s="65"/>
      <c r="DF27" s="51"/>
      <c r="DG27" s="51">
        <f t="shared" si="95"/>
        <v>0</v>
      </c>
      <c r="DH27" s="51">
        <f t="shared" si="49"/>
        <v>0</v>
      </c>
      <c r="DI27" s="33">
        <f t="shared" si="50"/>
        <v>0</v>
      </c>
      <c r="DJ27" s="65">
        <f t="shared" si="51"/>
        <v>0</v>
      </c>
      <c r="DK27" s="65"/>
      <c r="DL27" s="51"/>
      <c r="DM27" s="51">
        <f t="shared" si="96"/>
        <v>0</v>
      </c>
      <c r="DN27" s="51">
        <f t="shared" si="52"/>
        <v>0</v>
      </c>
      <c r="DO27" s="33">
        <f t="shared" si="53"/>
        <v>0</v>
      </c>
      <c r="DP27" s="65">
        <f t="shared" si="54"/>
        <v>0</v>
      </c>
      <c r="DQ27" s="65"/>
      <c r="DR27" s="51"/>
      <c r="DS27" s="51">
        <f t="shared" si="97"/>
        <v>0</v>
      </c>
      <c r="DT27" s="51">
        <f t="shared" si="55"/>
        <v>0</v>
      </c>
      <c r="DU27" s="33">
        <f t="shared" si="56"/>
        <v>0</v>
      </c>
      <c r="DV27" s="65">
        <f t="shared" si="57"/>
        <v>0</v>
      </c>
      <c r="DW27" s="65"/>
      <c r="DX27" s="51"/>
      <c r="DY27" s="51">
        <f t="shared" si="98"/>
        <v>0</v>
      </c>
      <c r="DZ27" s="51">
        <f t="shared" si="58"/>
        <v>0</v>
      </c>
      <c r="EA27" s="33">
        <f t="shared" si="59"/>
        <v>0</v>
      </c>
      <c r="EB27" s="65">
        <f t="shared" si="60"/>
        <v>0</v>
      </c>
      <c r="EC27" s="65"/>
      <c r="ED27" s="51"/>
      <c r="EE27" s="51">
        <f t="shared" si="99"/>
        <v>0</v>
      </c>
      <c r="EF27" s="51">
        <f t="shared" si="61"/>
        <v>0</v>
      </c>
      <c r="EG27" s="33">
        <f t="shared" si="62"/>
        <v>0</v>
      </c>
      <c r="EH27" s="65">
        <f t="shared" si="63"/>
        <v>0</v>
      </c>
      <c r="EI27" s="65"/>
      <c r="EJ27" s="51"/>
      <c r="EK27" s="51">
        <f t="shared" si="100"/>
        <v>0</v>
      </c>
      <c r="EL27" s="51">
        <f t="shared" si="64"/>
        <v>0</v>
      </c>
      <c r="EM27" s="33">
        <f t="shared" si="65"/>
        <v>0</v>
      </c>
      <c r="EN27" s="65">
        <f t="shared" si="66"/>
        <v>0</v>
      </c>
      <c r="EO27" s="65"/>
      <c r="EP27" s="51"/>
      <c r="EQ27" s="51">
        <f t="shared" si="101"/>
        <v>0</v>
      </c>
      <c r="ER27" s="51">
        <f t="shared" si="67"/>
        <v>0</v>
      </c>
      <c r="ES27" s="33">
        <f t="shared" si="68"/>
        <v>0</v>
      </c>
      <c r="ET27" s="65">
        <f t="shared" si="69"/>
        <v>0</v>
      </c>
      <c r="EU27" s="65"/>
      <c r="EV27" s="51"/>
      <c r="EW27" s="51">
        <f t="shared" si="102"/>
        <v>0</v>
      </c>
      <c r="EX27" s="51">
        <f t="shared" si="70"/>
        <v>0</v>
      </c>
      <c r="EY27" s="33">
        <f t="shared" si="71"/>
        <v>0</v>
      </c>
      <c r="EZ27" s="65">
        <f t="shared" si="72"/>
        <v>0</v>
      </c>
      <c r="FA27" s="65"/>
      <c r="FB27" s="33"/>
      <c r="FC27" s="33">
        <f t="shared" si="103"/>
        <v>0</v>
      </c>
      <c r="FD27" s="33">
        <f t="shared" si="73"/>
        <v>0</v>
      </c>
      <c r="FE27" s="33">
        <f t="shared" si="74"/>
        <v>0</v>
      </c>
      <c r="FF27" s="65">
        <f t="shared" si="75"/>
        <v>0</v>
      </c>
      <c r="FG27" s="65"/>
      <c r="FH27" s="51"/>
      <c r="FI27" s="51">
        <f t="shared" si="104"/>
        <v>0</v>
      </c>
      <c r="FJ27" s="51">
        <f t="shared" si="76"/>
        <v>0</v>
      </c>
      <c r="FK27" s="33">
        <f t="shared" si="77"/>
        <v>0</v>
      </c>
      <c r="FL27" s="65">
        <f t="shared" si="78"/>
        <v>0</v>
      </c>
      <c r="FM27" s="65"/>
      <c r="FN27" s="51"/>
      <c r="FO27" s="33"/>
      <c r="FP27" s="33"/>
      <c r="FQ27" s="33"/>
    </row>
    <row r="28" spans="1:173" s="53" customFormat="1" ht="12.75">
      <c r="A28" s="52">
        <v>45931</v>
      </c>
      <c r="C28" s="35"/>
      <c r="D28" s="35"/>
      <c r="E28" s="35">
        <f t="shared" si="0"/>
        <v>0</v>
      </c>
      <c r="F28" s="35"/>
      <c r="G28" s="35"/>
      <c r="H28" s="51"/>
      <c r="I28" s="51"/>
      <c r="J28" s="51"/>
      <c r="K28" s="51">
        <f t="shared" si="79"/>
        <v>0</v>
      </c>
      <c r="L28" s="51"/>
      <c r="M28" s="35"/>
      <c r="N28" s="51"/>
      <c r="O28" s="51"/>
      <c r="P28" s="41">
        <f t="shared" si="1"/>
        <v>0</v>
      </c>
      <c r="Q28" s="33">
        <f t="shared" si="2"/>
        <v>0</v>
      </c>
      <c r="R28" s="41">
        <f t="shared" si="3"/>
        <v>0</v>
      </c>
      <c r="S28" s="35"/>
      <c r="T28" s="51"/>
      <c r="U28" s="65"/>
      <c r="V28" s="65">
        <f t="shared" si="4"/>
        <v>0</v>
      </c>
      <c r="W28" s="20">
        <f t="shared" si="5"/>
        <v>0</v>
      </c>
      <c r="X28" s="65">
        <f t="shared" si="6"/>
        <v>0</v>
      </c>
      <c r="Y28" s="65"/>
      <c r="Z28" s="51"/>
      <c r="AA28" s="65"/>
      <c r="AB28" s="65">
        <f t="shared" si="7"/>
        <v>0</v>
      </c>
      <c r="AC28" s="20">
        <f t="shared" si="8"/>
        <v>0</v>
      </c>
      <c r="AD28" s="65">
        <f t="shared" si="9"/>
        <v>0</v>
      </c>
      <c r="AE28" s="65"/>
      <c r="AF28" s="51"/>
      <c r="AG28" s="33"/>
      <c r="AH28" s="33">
        <f t="shared" si="10"/>
        <v>0</v>
      </c>
      <c r="AI28" s="33">
        <f t="shared" si="11"/>
        <v>0</v>
      </c>
      <c r="AJ28" s="65">
        <f t="shared" si="12"/>
        <v>0</v>
      </c>
      <c r="AK28" s="65"/>
      <c r="AL28" s="51"/>
      <c r="AM28" s="65"/>
      <c r="AN28" s="65">
        <f t="shared" si="13"/>
        <v>0</v>
      </c>
      <c r="AO28" s="20">
        <f t="shared" si="14"/>
        <v>0</v>
      </c>
      <c r="AP28" s="65">
        <f t="shared" si="15"/>
        <v>0</v>
      </c>
      <c r="AQ28" s="65"/>
      <c r="AR28" s="51"/>
      <c r="AS28" s="65"/>
      <c r="AT28" s="65">
        <f t="shared" si="16"/>
        <v>0</v>
      </c>
      <c r="AU28" s="20">
        <f t="shared" si="17"/>
        <v>0</v>
      </c>
      <c r="AV28" s="65">
        <f t="shared" si="18"/>
        <v>0</v>
      </c>
      <c r="AW28" s="65"/>
      <c r="AX28" s="51"/>
      <c r="AY28" s="65"/>
      <c r="AZ28" s="65">
        <f t="shared" si="19"/>
        <v>0</v>
      </c>
      <c r="BA28" s="20">
        <f t="shared" si="20"/>
        <v>0</v>
      </c>
      <c r="BB28" s="65">
        <f t="shared" si="21"/>
        <v>0</v>
      </c>
      <c r="BC28" s="65"/>
      <c r="BD28" s="51"/>
      <c r="BE28" s="51"/>
      <c r="BF28" s="51">
        <f t="shared" si="22"/>
        <v>0</v>
      </c>
      <c r="BG28" s="33">
        <f t="shared" si="23"/>
        <v>0</v>
      </c>
      <c r="BH28" s="65">
        <f t="shared" si="24"/>
        <v>0</v>
      </c>
      <c r="BI28" s="65"/>
      <c r="BJ28" s="51"/>
      <c r="BK28" s="33"/>
      <c r="BL28" s="33">
        <f t="shared" si="25"/>
        <v>0</v>
      </c>
      <c r="BM28" s="33">
        <f t="shared" si="26"/>
        <v>0</v>
      </c>
      <c r="BN28" s="65">
        <f t="shared" si="27"/>
        <v>0</v>
      </c>
      <c r="BO28" s="65"/>
      <c r="BP28" s="51"/>
      <c r="BQ28" s="51"/>
      <c r="BR28" s="51">
        <f t="shared" si="28"/>
        <v>0</v>
      </c>
      <c r="BS28" s="33">
        <f t="shared" si="29"/>
        <v>0</v>
      </c>
      <c r="BT28" s="65">
        <f t="shared" si="30"/>
        <v>0</v>
      </c>
      <c r="BU28" s="65"/>
      <c r="BV28" s="51"/>
      <c r="BW28" s="51"/>
      <c r="BX28" s="51">
        <f t="shared" si="31"/>
        <v>0</v>
      </c>
      <c r="BY28" s="33">
        <f t="shared" si="32"/>
        <v>0</v>
      </c>
      <c r="BZ28" s="65">
        <f t="shared" si="33"/>
        <v>0</v>
      </c>
      <c r="CA28" s="65"/>
      <c r="CB28" s="51"/>
      <c r="CC28" s="51"/>
      <c r="CD28" s="51">
        <f t="shared" si="34"/>
        <v>0</v>
      </c>
      <c r="CE28" s="33">
        <f t="shared" si="35"/>
        <v>0</v>
      </c>
      <c r="CF28" s="65">
        <f t="shared" si="36"/>
        <v>0</v>
      </c>
      <c r="CG28" s="65"/>
      <c r="CH28" s="51"/>
      <c r="CI28" s="51"/>
      <c r="CJ28" s="51">
        <f t="shared" si="37"/>
        <v>0</v>
      </c>
      <c r="CK28" s="33">
        <f t="shared" si="38"/>
        <v>0</v>
      </c>
      <c r="CL28" s="65">
        <f t="shared" si="39"/>
        <v>0</v>
      </c>
      <c r="CM28" s="65"/>
      <c r="CN28" s="51"/>
      <c r="CO28" s="51"/>
      <c r="CP28" s="51">
        <f t="shared" si="40"/>
        <v>0</v>
      </c>
      <c r="CQ28" s="33">
        <f t="shared" si="41"/>
        <v>0</v>
      </c>
      <c r="CR28" s="65">
        <f t="shared" si="42"/>
        <v>0</v>
      </c>
      <c r="CS28" s="65"/>
      <c r="CT28" s="51"/>
      <c r="CU28" s="33"/>
      <c r="CV28" s="33">
        <f t="shared" si="43"/>
        <v>0</v>
      </c>
      <c r="CW28" s="33">
        <f t="shared" si="44"/>
        <v>0</v>
      </c>
      <c r="CX28" s="65">
        <f t="shared" si="45"/>
        <v>0</v>
      </c>
      <c r="CY28" s="65"/>
      <c r="CZ28" s="51"/>
      <c r="DA28" s="51"/>
      <c r="DB28" s="51">
        <f t="shared" si="46"/>
        <v>0</v>
      </c>
      <c r="DC28" s="33">
        <f t="shared" si="47"/>
        <v>0</v>
      </c>
      <c r="DD28" s="65">
        <f t="shared" si="48"/>
        <v>0</v>
      </c>
      <c r="DE28" s="65"/>
      <c r="DF28" s="51"/>
      <c r="DG28" s="51"/>
      <c r="DH28" s="51">
        <f t="shared" si="49"/>
        <v>0</v>
      </c>
      <c r="DI28" s="33">
        <f t="shared" si="50"/>
        <v>0</v>
      </c>
      <c r="DJ28" s="65">
        <f t="shared" si="51"/>
        <v>0</v>
      </c>
      <c r="DK28" s="65"/>
      <c r="DL28" s="51"/>
      <c r="DM28" s="51"/>
      <c r="DN28" s="51">
        <f t="shared" si="52"/>
        <v>0</v>
      </c>
      <c r="DO28" s="33">
        <f t="shared" si="53"/>
        <v>0</v>
      </c>
      <c r="DP28" s="65">
        <f t="shared" si="54"/>
        <v>0</v>
      </c>
      <c r="DQ28" s="65"/>
      <c r="DR28" s="51"/>
      <c r="DS28" s="51"/>
      <c r="DT28" s="51">
        <f t="shared" si="55"/>
        <v>0</v>
      </c>
      <c r="DU28" s="33">
        <f t="shared" si="56"/>
        <v>0</v>
      </c>
      <c r="DV28" s="65">
        <f t="shared" si="57"/>
        <v>0</v>
      </c>
      <c r="DW28" s="65"/>
      <c r="DX28" s="51"/>
      <c r="DY28" s="51"/>
      <c r="DZ28" s="51">
        <f t="shared" si="58"/>
        <v>0</v>
      </c>
      <c r="EA28" s="33">
        <f t="shared" si="59"/>
        <v>0</v>
      </c>
      <c r="EB28" s="65">
        <f t="shared" si="60"/>
        <v>0</v>
      </c>
      <c r="EC28" s="65"/>
      <c r="ED28" s="51"/>
      <c r="EE28" s="51"/>
      <c r="EF28" s="51">
        <f t="shared" si="61"/>
        <v>0</v>
      </c>
      <c r="EG28" s="33">
        <f t="shared" si="62"/>
        <v>0</v>
      </c>
      <c r="EH28" s="65">
        <f t="shared" si="63"/>
        <v>0</v>
      </c>
      <c r="EI28" s="65"/>
      <c r="EJ28" s="51"/>
      <c r="EK28" s="51"/>
      <c r="EL28" s="51">
        <f t="shared" si="64"/>
        <v>0</v>
      </c>
      <c r="EM28" s="33">
        <f t="shared" si="65"/>
        <v>0</v>
      </c>
      <c r="EN28" s="65">
        <f t="shared" si="66"/>
        <v>0</v>
      </c>
      <c r="EO28" s="65"/>
      <c r="EP28" s="51"/>
      <c r="EQ28" s="51"/>
      <c r="ER28" s="51">
        <f t="shared" si="67"/>
        <v>0</v>
      </c>
      <c r="ES28" s="33">
        <f t="shared" si="68"/>
        <v>0</v>
      </c>
      <c r="ET28" s="65">
        <f t="shared" si="69"/>
        <v>0</v>
      </c>
      <c r="EU28" s="65"/>
      <c r="EV28" s="51"/>
      <c r="EW28" s="51"/>
      <c r="EX28" s="51">
        <f t="shared" si="70"/>
        <v>0</v>
      </c>
      <c r="EY28" s="33">
        <f t="shared" si="71"/>
        <v>0</v>
      </c>
      <c r="EZ28" s="65">
        <f t="shared" si="72"/>
        <v>0</v>
      </c>
      <c r="FA28" s="65"/>
      <c r="FB28" s="33"/>
      <c r="FC28" s="33"/>
      <c r="FD28" s="33">
        <f t="shared" si="73"/>
        <v>0</v>
      </c>
      <c r="FE28" s="33">
        <f t="shared" si="74"/>
        <v>0</v>
      </c>
      <c r="FF28" s="65">
        <f t="shared" si="75"/>
        <v>0</v>
      </c>
      <c r="FG28" s="65"/>
      <c r="FH28" s="51"/>
      <c r="FI28" s="51"/>
      <c r="FJ28" s="51">
        <f t="shared" si="76"/>
        <v>0</v>
      </c>
      <c r="FK28" s="33">
        <f t="shared" si="77"/>
        <v>0</v>
      </c>
      <c r="FL28" s="65">
        <f t="shared" si="78"/>
        <v>0</v>
      </c>
      <c r="FM28" s="65"/>
      <c r="FN28" s="51"/>
      <c r="FO28" s="33"/>
      <c r="FP28" s="33"/>
      <c r="FQ28" s="33"/>
    </row>
    <row r="29" spans="1:173" s="53" customFormat="1" ht="12.75">
      <c r="A29" s="52">
        <v>46113</v>
      </c>
      <c r="C29" s="35"/>
      <c r="D29" s="35"/>
      <c r="E29" s="35">
        <f t="shared" si="0"/>
        <v>0</v>
      </c>
      <c r="F29" s="35"/>
      <c r="G29" s="35"/>
      <c r="H29" s="51"/>
      <c r="I29" s="51"/>
      <c r="J29" s="51"/>
      <c r="K29" s="51">
        <f t="shared" si="79"/>
        <v>0</v>
      </c>
      <c r="L29" s="51"/>
      <c r="M29" s="35"/>
      <c r="N29" s="51"/>
      <c r="O29" s="51">
        <f>U29+AA29+AG29+AM29+AS29+AY29+BE29+BK29+BQ29+CC29+CO29+CU29+DA29+DG29+DM29+EK29+EQ29+EW29+FC29+FI29+FO29+BW29+CI29+DS29+DY29+EE29</f>
        <v>0</v>
      </c>
      <c r="P29" s="41">
        <f t="shared" si="1"/>
        <v>0</v>
      </c>
      <c r="Q29" s="33">
        <f t="shared" si="2"/>
        <v>0</v>
      </c>
      <c r="R29" s="41">
        <f t="shared" si="3"/>
        <v>0</v>
      </c>
      <c r="S29" s="35"/>
      <c r="T29" s="51"/>
      <c r="U29" s="65">
        <f t="shared" si="80"/>
        <v>0</v>
      </c>
      <c r="V29" s="65">
        <f t="shared" si="4"/>
        <v>0</v>
      </c>
      <c r="W29" s="20">
        <f t="shared" si="5"/>
        <v>0</v>
      </c>
      <c r="X29" s="65">
        <f t="shared" si="6"/>
        <v>0</v>
      </c>
      <c r="Y29" s="65"/>
      <c r="Z29" s="51"/>
      <c r="AA29" s="65">
        <f t="shared" si="81"/>
        <v>0</v>
      </c>
      <c r="AB29" s="65">
        <f t="shared" si="7"/>
        <v>0</v>
      </c>
      <c r="AC29" s="20">
        <f t="shared" si="8"/>
        <v>0</v>
      </c>
      <c r="AD29" s="65">
        <f t="shared" si="9"/>
        <v>0</v>
      </c>
      <c r="AE29" s="65"/>
      <c r="AF29" s="51"/>
      <c r="AG29" s="33">
        <f t="shared" si="82"/>
        <v>0</v>
      </c>
      <c r="AH29" s="33">
        <f t="shared" si="10"/>
        <v>0</v>
      </c>
      <c r="AI29" s="33">
        <f t="shared" si="11"/>
        <v>0</v>
      </c>
      <c r="AJ29" s="65">
        <f t="shared" si="12"/>
        <v>0</v>
      </c>
      <c r="AK29" s="65"/>
      <c r="AL29" s="51"/>
      <c r="AM29" s="65">
        <f t="shared" si="83"/>
        <v>0</v>
      </c>
      <c r="AN29" s="65">
        <f t="shared" si="13"/>
        <v>0</v>
      </c>
      <c r="AO29" s="20">
        <f t="shared" si="14"/>
        <v>0</v>
      </c>
      <c r="AP29" s="65">
        <f t="shared" si="15"/>
        <v>0</v>
      </c>
      <c r="AQ29" s="65"/>
      <c r="AR29" s="51"/>
      <c r="AS29" s="65">
        <f t="shared" si="84"/>
        <v>0</v>
      </c>
      <c r="AT29" s="65">
        <f t="shared" si="16"/>
        <v>0</v>
      </c>
      <c r="AU29" s="20">
        <f t="shared" si="17"/>
        <v>0</v>
      </c>
      <c r="AV29" s="65">
        <f t="shared" si="18"/>
        <v>0</v>
      </c>
      <c r="AW29" s="65"/>
      <c r="AX29" s="51"/>
      <c r="AY29" s="65">
        <f t="shared" si="85"/>
        <v>0</v>
      </c>
      <c r="AZ29" s="65">
        <f t="shared" si="19"/>
        <v>0</v>
      </c>
      <c r="BA29" s="20">
        <f t="shared" si="20"/>
        <v>0</v>
      </c>
      <c r="BB29" s="65">
        <f t="shared" si="21"/>
        <v>0</v>
      </c>
      <c r="BC29" s="65"/>
      <c r="BD29" s="51"/>
      <c r="BE29" s="51">
        <f t="shared" si="86"/>
        <v>0</v>
      </c>
      <c r="BF29" s="51">
        <f t="shared" si="22"/>
        <v>0</v>
      </c>
      <c r="BG29" s="33">
        <f t="shared" si="23"/>
        <v>0</v>
      </c>
      <c r="BH29" s="65">
        <f t="shared" si="24"/>
        <v>0</v>
      </c>
      <c r="BI29" s="65"/>
      <c r="BJ29" s="51"/>
      <c r="BK29" s="33">
        <f t="shared" si="87"/>
        <v>0</v>
      </c>
      <c r="BL29" s="33">
        <f t="shared" si="25"/>
        <v>0</v>
      </c>
      <c r="BM29" s="33">
        <f t="shared" si="26"/>
        <v>0</v>
      </c>
      <c r="BN29" s="65">
        <f t="shared" si="27"/>
        <v>0</v>
      </c>
      <c r="BO29" s="65"/>
      <c r="BP29" s="51"/>
      <c r="BQ29" s="51">
        <f t="shared" si="88"/>
        <v>0</v>
      </c>
      <c r="BR29" s="51">
        <f t="shared" si="28"/>
        <v>0</v>
      </c>
      <c r="BS29" s="33">
        <f t="shared" si="29"/>
        <v>0</v>
      </c>
      <c r="BT29" s="65">
        <f t="shared" si="30"/>
        <v>0</v>
      </c>
      <c r="BU29" s="65"/>
      <c r="BV29" s="51"/>
      <c r="BW29" s="51">
        <f t="shared" si="89"/>
        <v>0</v>
      </c>
      <c r="BX29" s="51">
        <f t="shared" si="31"/>
        <v>0</v>
      </c>
      <c r="BY29" s="33">
        <f t="shared" si="32"/>
        <v>0</v>
      </c>
      <c r="BZ29" s="65">
        <f t="shared" si="33"/>
        <v>0</v>
      </c>
      <c r="CA29" s="65"/>
      <c r="CB29" s="51"/>
      <c r="CC29" s="51">
        <f t="shared" si="90"/>
        <v>0</v>
      </c>
      <c r="CD29" s="51">
        <f t="shared" si="34"/>
        <v>0</v>
      </c>
      <c r="CE29" s="33">
        <f t="shared" si="35"/>
        <v>0</v>
      </c>
      <c r="CF29" s="65">
        <f t="shared" si="36"/>
        <v>0</v>
      </c>
      <c r="CG29" s="65"/>
      <c r="CH29" s="51"/>
      <c r="CI29" s="51">
        <f t="shared" si="91"/>
        <v>0</v>
      </c>
      <c r="CJ29" s="51">
        <f t="shared" si="37"/>
        <v>0</v>
      </c>
      <c r="CK29" s="33">
        <f t="shared" si="38"/>
        <v>0</v>
      </c>
      <c r="CL29" s="65">
        <f t="shared" si="39"/>
        <v>0</v>
      </c>
      <c r="CM29" s="65"/>
      <c r="CN29" s="51"/>
      <c r="CO29" s="51">
        <f t="shared" si="92"/>
        <v>0</v>
      </c>
      <c r="CP29" s="51">
        <f t="shared" si="40"/>
        <v>0</v>
      </c>
      <c r="CQ29" s="33">
        <f t="shared" si="41"/>
        <v>0</v>
      </c>
      <c r="CR29" s="65">
        <f t="shared" si="42"/>
        <v>0</v>
      </c>
      <c r="CS29" s="65"/>
      <c r="CT29" s="51"/>
      <c r="CU29" s="33">
        <f t="shared" si="93"/>
        <v>0</v>
      </c>
      <c r="CV29" s="33">
        <f t="shared" si="43"/>
        <v>0</v>
      </c>
      <c r="CW29" s="33">
        <f t="shared" si="44"/>
        <v>0</v>
      </c>
      <c r="CX29" s="65">
        <f t="shared" si="45"/>
        <v>0</v>
      </c>
      <c r="CY29" s="65"/>
      <c r="CZ29" s="51"/>
      <c r="DA29" s="51">
        <f t="shared" si="94"/>
        <v>0</v>
      </c>
      <c r="DB29" s="51">
        <f t="shared" si="46"/>
        <v>0</v>
      </c>
      <c r="DC29" s="33">
        <f t="shared" si="47"/>
        <v>0</v>
      </c>
      <c r="DD29" s="65">
        <f t="shared" si="48"/>
        <v>0</v>
      </c>
      <c r="DE29" s="65"/>
      <c r="DF29" s="51"/>
      <c r="DG29" s="51">
        <f t="shared" si="95"/>
        <v>0</v>
      </c>
      <c r="DH29" s="51">
        <f t="shared" si="49"/>
        <v>0</v>
      </c>
      <c r="DI29" s="33">
        <f t="shared" si="50"/>
        <v>0</v>
      </c>
      <c r="DJ29" s="65">
        <f t="shared" si="51"/>
        <v>0</v>
      </c>
      <c r="DK29" s="65"/>
      <c r="DL29" s="51"/>
      <c r="DM29" s="51">
        <f t="shared" si="96"/>
        <v>0</v>
      </c>
      <c r="DN29" s="51">
        <f t="shared" si="52"/>
        <v>0</v>
      </c>
      <c r="DO29" s="33">
        <f t="shared" si="53"/>
        <v>0</v>
      </c>
      <c r="DP29" s="65">
        <f t="shared" si="54"/>
        <v>0</v>
      </c>
      <c r="DQ29" s="65"/>
      <c r="DR29" s="51"/>
      <c r="DS29" s="51">
        <f t="shared" si="97"/>
        <v>0</v>
      </c>
      <c r="DT29" s="51">
        <f t="shared" si="55"/>
        <v>0</v>
      </c>
      <c r="DU29" s="33">
        <f t="shared" si="56"/>
        <v>0</v>
      </c>
      <c r="DV29" s="65">
        <f t="shared" si="57"/>
        <v>0</v>
      </c>
      <c r="DW29" s="65"/>
      <c r="DX29" s="51"/>
      <c r="DY29" s="51">
        <f t="shared" si="98"/>
        <v>0</v>
      </c>
      <c r="DZ29" s="51">
        <f t="shared" si="58"/>
        <v>0</v>
      </c>
      <c r="EA29" s="33">
        <f t="shared" si="59"/>
        <v>0</v>
      </c>
      <c r="EB29" s="65">
        <f t="shared" si="60"/>
        <v>0</v>
      </c>
      <c r="EC29" s="65"/>
      <c r="ED29" s="51"/>
      <c r="EE29" s="51">
        <f t="shared" si="99"/>
        <v>0</v>
      </c>
      <c r="EF29" s="51">
        <f t="shared" si="61"/>
        <v>0</v>
      </c>
      <c r="EG29" s="33">
        <f t="shared" si="62"/>
        <v>0</v>
      </c>
      <c r="EH29" s="65">
        <f t="shared" si="63"/>
        <v>0</v>
      </c>
      <c r="EI29" s="65"/>
      <c r="EJ29" s="51"/>
      <c r="EK29" s="51">
        <f t="shared" si="100"/>
        <v>0</v>
      </c>
      <c r="EL29" s="51">
        <f t="shared" si="64"/>
        <v>0</v>
      </c>
      <c r="EM29" s="33">
        <f t="shared" si="65"/>
        <v>0</v>
      </c>
      <c r="EN29" s="65">
        <f t="shared" si="66"/>
        <v>0</v>
      </c>
      <c r="EO29" s="65"/>
      <c r="EP29" s="51"/>
      <c r="EQ29" s="51">
        <f t="shared" si="101"/>
        <v>0</v>
      </c>
      <c r="ER29" s="51">
        <f t="shared" si="67"/>
        <v>0</v>
      </c>
      <c r="ES29" s="33">
        <f t="shared" si="68"/>
        <v>0</v>
      </c>
      <c r="ET29" s="65">
        <f t="shared" si="69"/>
        <v>0</v>
      </c>
      <c r="EU29" s="65"/>
      <c r="EV29" s="51"/>
      <c r="EW29" s="51">
        <f t="shared" si="102"/>
        <v>0</v>
      </c>
      <c r="EX29" s="51">
        <f t="shared" si="70"/>
        <v>0</v>
      </c>
      <c r="EY29" s="33">
        <f t="shared" si="71"/>
        <v>0</v>
      </c>
      <c r="EZ29" s="65">
        <f t="shared" si="72"/>
        <v>0</v>
      </c>
      <c r="FA29" s="65"/>
      <c r="FB29" s="33"/>
      <c r="FC29" s="33">
        <f t="shared" si="103"/>
        <v>0</v>
      </c>
      <c r="FD29" s="33">
        <f t="shared" si="73"/>
        <v>0</v>
      </c>
      <c r="FE29" s="33">
        <f t="shared" si="74"/>
        <v>0</v>
      </c>
      <c r="FF29" s="65">
        <f t="shared" si="75"/>
        <v>0</v>
      </c>
      <c r="FG29" s="65"/>
      <c r="FH29" s="51"/>
      <c r="FI29" s="51">
        <f t="shared" si="104"/>
        <v>0</v>
      </c>
      <c r="FJ29" s="51">
        <f t="shared" si="76"/>
        <v>0</v>
      </c>
      <c r="FK29" s="33">
        <f t="shared" si="77"/>
        <v>0</v>
      </c>
      <c r="FL29" s="65">
        <f t="shared" si="78"/>
        <v>0</v>
      </c>
      <c r="FM29" s="65"/>
      <c r="FN29" s="51"/>
      <c r="FO29" s="33"/>
      <c r="FP29" s="33"/>
      <c r="FQ29" s="33"/>
    </row>
    <row r="30" spans="1:173" s="53" customFormat="1" ht="12.75">
      <c r="A30" s="52">
        <v>46296</v>
      </c>
      <c r="C30" s="35"/>
      <c r="D30" s="35"/>
      <c r="E30" s="35">
        <f t="shared" si="0"/>
        <v>0</v>
      </c>
      <c r="F30" s="35"/>
      <c r="G30" s="35"/>
      <c r="H30" s="51"/>
      <c r="I30" s="51"/>
      <c r="J30" s="51"/>
      <c r="K30" s="51">
        <f t="shared" si="79"/>
        <v>0</v>
      </c>
      <c r="L30" s="51"/>
      <c r="M30" s="35"/>
      <c r="N30" s="51"/>
      <c r="O30" s="51"/>
      <c r="P30" s="41">
        <f t="shared" si="1"/>
        <v>0</v>
      </c>
      <c r="Q30" s="33">
        <f t="shared" si="2"/>
        <v>0</v>
      </c>
      <c r="R30" s="41">
        <f t="shared" si="3"/>
        <v>0</v>
      </c>
      <c r="S30" s="35"/>
      <c r="T30" s="51"/>
      <c r="U30" s="65"/>
      <c r="V30" s="65">
        <f t="shared" si="4"/>
        <v>0</v>
      </c>
      <c r="W30" s="20">
        <f t="shared" si="5"/>
        <v>0</v>
      </c>
      <c r="X30" s="65">
        <f t="shared" si="6"/>
        <v>0</v>
      </c>
      <c r="Y30" s="65"/>
      <c r="Z30" s="51"/>
      <c r="AA30" s="65"/>
      <c r="AB30" s="65">
        <f t="shared" si="7"/>
        <v>0</v>
      </c>
      <c r="AC30" s="20">
        <f t="shared" si="8"/>
        <v>0</v>
      </c>
      <c r="AD30" s="65">
        <f t="shared" si="9"/>
        <v>0</v>
      </c>
      <c r="AE30" s="65"/>
      <c r="AF30" s="51"/>
      <c r="AG30" s="33"/>
      <c r="AH30" s="33">
        <f t="shared" si="10"/>
        <v>0</v>
      </c>
      <c r="AI30" s="33">
        <f t="shared" si="11"/>
        <v>0</v>
      </c>
      <c r="AJ30" s="65">
        <f t="shared" si="12"/>
        <v>0</v>
      </c>
      <c r="AK30" s="65"/>
      <c r="AL30" s="51"/>
      <c r="AM30" s="65"/>
      <c r="AN30" s="65">
        <f t="shared" si="13"/>
        <v>0</v>
      </c>
      <c r="AO30" s="20">
        <f t="shared" si="14"/>
        <v>0</v>
      </c>
      <c r="AP30" s="65">
        <f t="shared" si="15"/>
        <v>0</v>
      </c>
      <c r="AQ30" s="65"/>
      <c r="AR30" s="51"/>
      <c r="AS30" s="65"/>
      <c r="AT30" s="65">
        <f t="shared" si="16"/>
        <v>0</v>
      </c>
      <c r="AU30" s="20">
        <f t="shared" si="17"/>
        <v>0</v>
      </c>
      <c r="AV30" s="65">
        <f t="shared" si="18"/>
        <v>0</v>
      </c>
      <c r="AW30" s="65"/>
      <c r="AX30" s="51"/>
      <c r="AY30" s="65"/>
      <c r="AZ30" s="65">
        <f t="shared" si="19"/>
        <v>0</v>
      </c>
      <c r="BA30" s="20">
        <f t="shared" si="20"/>
        <v>0</v>
      </c>
      <c r="BB30" s="65">
        <f t="shared" si="21"/>
        <v>0</v>
      </c>
      <c r="BC30" s="65"/>
      <c r="BD30" s="51"/>
      <c r="BE30" s="51"/>
      <c r="BF30" s="51">
        <f t="shared" si="22"/>
        <v>0</v>
      </c>
      <c r="BG30" s="33">
        <f t="shared" si="23"/>
        <v>0</v>
      </c>
      <c r="BH30" s="65">
        <f t="shared" si="24"/>
        <v>0</v>
      </c>
      <c r="BI30" s="65"/>
      <c r="BJ30" s="51"/>
      <c r="BK30" s="33"/>
      <c r="BL30" s="33">
        <f t="shared" si="25"/>
        <v>0</v>
      </c>
      <c r="BM30" s="33">
        <f t="shared" si="26"/>
        <v>0</v>
      </c>
      <c r="BN30" s="65">
        <f t="shared" si="27"/>
        <v>0</v>
      </c>
      <c r="BO30" s="65"/>
      <c r="BP30" s="51"/>
      <c r="BQ30" s="51"/>
      <c r="BR30" s="51">
        <f t="shared" si="28"/>
        <v>0</v>
      </c>
      <c r="BS30" s="33">
        <f t="shared" si="29"/>
        <v>0</v>
      </c>
      <c r="BT30" s="65">
        <f t="shared" si="30"/>
        <v>0</v>
      </c>
      <c r="BU30" s="65"/>
      <c r="BV30" s="51"/>
      <c r="BW30" s="51"/>
      <c r="BX30" s="51">
        <f t="shared" si="31"/>
        <v>0</v>
      </c>
      <c r="BY30" s="33">
        <f t="shared" si="32"/>
        <v>0</v>
      </c>
      <c r="BZ30" s="65">
        <f t="shared" si="33"/>
        <v>0</v>
      </c>
      <c r="CA30" s="65"/>
      <c r="CB30" s="51"/>
      <c r="CC30" s="51"/>
      <c r="CD30" s="51">
        <f t="shared" si="34"/>
        <v>0</v>
      </c>
      <c r="CE30" s="33">
        <f t="shared" si="35"/>
        <v>0</v>
      </c>
      <c r="CF30" s="65">
        <f t="shared" si="36"/>
        <v>0</v>
      </c>
      <c r="CG30" s="65"/>
      <c r="CH30" s="51"/>
      <c r="CI30" s="51"/>
      <c r="CJ30" s="51">
        <f t="shared" si="37"/>
        <v>0</v>
      </c>
      <c r="CK30" s="33">
        <f t="shared" si="38"/>
        <v>0</v>
      </c>
      <c r="CL30" s="65">
        <f t="shared" si="39"/>
        <v>0</v>
      </c>
      <c r="CM30" s="65"/>
      <c r="CN30" s="51"/>
      <c r="CO30" s="51"/>
      <c r="CP30" s="51">
        <f t="shared" si="40"/>
        <v>0</v>
      </c>
      <c r="CQ30" s="33">
        <f t="shared" si="41"/>
        <v>0</v>
      </c>
      <c r="CR30" s="65">
        <f t="shared" si="42"/>
        <v>0</v>
      </c>
      <c r="CS30" s="65"/>
      <c r="CT30" s="51"/>
      <c r="CU30" s="33"/>
      <c r="CV30" s="33">
        <f t="shared" si="43"/>
        <v>0</v>
      </c>
      <c r="CW30" s="33">
        <f t="shared" si="44"/>
        <v>0</v>
      </c>
      <c r="CX30" s="65">
        <f t="shared" si="45"/>
        <v>0</v>
      </c>
      <c r="CY30" s="65"/>
      <c r="CZ30" s="51"/>
      <c r="DA30" s="51"/>
      <c r="DB30" s="51">
        <f t="shared" si="46"/>
        <v>0</v>
      </c>
      <c r="DC30" s="33">
        <f t="shared" si="47"/>
        <v>0</v>
      </c>
      <c r="DD30" s="65">
        <f t="shared" si="48"/>
        <v>0</v>
      </c>
      <c r="DE30" s="65"/>
      <c r="DF30" s="51"/>
      <c r="DG30" s="51"/>
      <c r="DH30" s="51">
        <f t="shared" si="49"/>
        <v>0</v>
      </c>
      <c r="DI30" s="33">
        <f t="shared" si="50"/>
        <v>0</v>
      </c>
      <c r="DJ30" s="65">
        <f t="shared" si="51"/>
        <v>0</v>
      </c>
      <c r="DK30" s="65"/>
      <c r="DL30" s="51"/>
      <c r="DM30" s="51"/>
      <c r="DN30" s="51">
        <f t="shared" si="52"/>
        <v>0</v>
      </c>
      <c r="DO30" s="33">
        <f t="shared" si="53"/>
        <v>0</v>
      </c>
      <c r="DP30" s="65">
        <f t="shared" si="54"/>
        <v>0</v>
      </c>
      <c r="DQ30" s="65"/>
      <c r="DR30" s="51"/>
      <c r="DS30" s="51"/>
      <c r="DT30" s="51">
        <f t="shared" si="55"/>
        <v>0</v>
      </c>
      <c r="DU30" s="33">
        <f t="shared" si="56"/>
        <v>0</v>
      </c>
      <c r="DV30" s="65">
        <f t="shared" si="57"/>
        <v>0</v>
      </c>
      <c r="DW30" s="65"/>
      <c r="DX30" s="51"/>
      <c r="DY30" s="51"/>
      <c r="DZ30" s="51">
        <f t="shared" si="58"/>
        <v>0</v>
      </c>
      <c r="EA30" s="33">
        <f t="shared" si="59"/>
        <v>0</v>
      </c>
      <c r="EB30" s="65">
        <f t="shared" si="60"/>
        <v>0</v>
      </c>
      <c r="EC30" s="65"/>
      <c r="ED30" s="51"/>
      <c r="EE30" s="51"/>
      <c r="EF30" s="51">
        <f t="shared" si="61"/>
        <v>0</v>
      </c>
      <c r="EG30" s="33">
        <f t="shared" si="62"/>
        <v>0</v>
      </c>
      <c r="EH30" s="65">
        <f t="shared" si="63"/>
        <v>0</v>
      </c>
      <c r="EI30" s="65"/>
      <c r="EJ30" s="51"/>
      <c r="EK30" s="51"/>
      <c r="EL30" s="51">
        <f t="shared" si="64"/>
        <v>0</v>
      </c>
      <c r="EM30" s="33">
        <f t="shared" si="65"/>
        <v>0</v>
      </c>
      <c r="EN30" s="65">
        <f t="shared" si="66"/>
        <v>0</v>
      </c>
      <c r="EO30" s="65"/>
      <c r="EP30" s="51"/>
      <c r="EQ30" s="51"/>
      <c r="ER30" s="51">
        <f t="shared" si="67"/>
        <v>0</v>
      </c>
      <c r="ES30" s="33">
        <f t="shared" si="68"/>
        <v>0</v>
      </c>
      <c r="ET30" s="65">
        <f t="shared" si="69"/>
        <v>0</v>
      </c>
      <c r="EU30" s="65"/>
      <c r="EV30" s="51"/>
      <c r="EW30" s="51"/>
      <c r="EX30" s="51">
        <f t="shared" si="70"/>
        <v>0</v>
      </c>
      <c r="EY30" s="33">
        <f t="shared" si="71"/>
        <v>0</v>
      </c>
      <c r="EZ30" s="65">
        <f t="shared" si="72"/>
        <v>0</v>
      </c>
      <c r="FA30" s="65"/>
      <c r="FB30" s="33"/>
      <c r="FC30" s="33"/>
      <c r="FD30" s="33">
        <f t="shared" si="73"/>
        <v>0</v>
      </c>
      <c r="FE30" s="33">
        <f t="shared" si="74"/>
        <v>0</v>
      </c>
      <c r="FF30" s="65">
        <f t="shared" si="75"/>
        <v>0</v>
      </c>
      <c r="FG30" s="65"/>
      <c r="FH30" s="51"/>
      <c r="FI30" s="51"/>
      <c r="FJ30" s="51">
        <f t="shared" si="76"/>
        <v>0</v>
      </c>
      <c r="FK30" s="33">
        <f t="shared" si="77"/>
        <v>0</v>
      </c>
      <c r="FL30" s="65">
        <f t="shared" si="78"/>
        <v>0</v>
      </c>
      <c r="FM30" s="65"/>
      <c r="FN30" s="51"/>
      <c r="FO30" s="33"/>
      <c r="FP30" s="33"/>
      <c r="FQ30" s="33"/>
    </row>
    <row r="31" spans="1:173" s="53" customFormat="1" ht="12.75">
      <c r="A31" s="52">
        <v>46478</v>
      </c>
      <c r="C31" s="35"/>
      <c r="D31" s="35"/>
      <c r="E31" s="35">
        <f t="shared" si="0"/>
        <v>0</v>
      </c>
      <c r="F31" s="35"/>
      <c r="G31" s="35"/>
      <c r="H31" s="51"/>
      <c r="I31" s="51"/>
      <c r="J31" s="51"/>
      <c r="K31" s="51">
        <f t="shared" si="79"/>
        <v>0</v>
      </c>
      <c r="L31" s="51"/>
      <c r="M31" s="35"/>
      <c r="N31" s="51"/>
      <c r="O31" s="51">
        <f>U31+AA31+AG31+AM31+AS31+AY31+BE31+BK31+BQ31+CC31+CO31+CU31+DA31+DG31+DM31+EK31+EQ31+EW31+FC31+FI31+FO31+BW31+CI31+DS31+DY31+EE31</f>
        <v>0</v>
      </c>
      <c r="P31" s="41">
        <f t="shared" si="1"/>
        <v>0</v>
      </c>
      <c r="Q31" s="33">
        <f t="shared" si="2"/>
        <v>0</v>
      </c>
      <c r="R31" s="41">
        <f t="shared" si="3"/>
        <v>0</v>
      </c>
      <c r="S31" s="35"/>
      <c r="T31" s="51"/>
      <c r="U31" s="65">
        <f t="shared" si="80"/>
        <v>0</v>
      </c>
      <c r="V31" s="65">
        <f t="shared" si="4"/>
        <v>0</v>
      </c>
      <c r="W31" s="20">
        <f t="shared" si="5"/>
        <v>0</v>
      </c>
      <c r="X31" s="65">
        <f t="shared" si="6"/>
        <v>0</v>
      </c>
      <c r="Y31" s="65"/>
      <c r="Z31" s="51"/>
      <c r="AA31" s="65">
        <f t="shared" si="81"/>
        <v>0</v>
      </c>
      <c r="AB31" s="65">
        <f t="shared" si="7"/>
        <v>0</v>
      </c>
      <c r="AC31" s="20">
        <f t="shared" si="8"/>
        <v>0</v>
      </c>
      <c r="AD31" s="65">
        <f t="shared" si="9"/>
        <v>0</v>
      </c>
      <c r="AE31" s="65"/>
      <c r="AF31" s="51"/>
      <c r="AG31" s="33">
        <f t="shared" si="82"/>
        <v>0</v>
      </c>
      <c r="AH31" s="33">
        <f t="shared" si="10"/>
        <v>0</v>
      </c>
      <c r="AI31" s="33">
        <f t="shared" si="11"/>
        <v>0</v>
      </c>
      <c r="AJ31" s="65">
        <f t="shared" si="12"/>
        <v>0</v>
      </c>
      <c r="AK31" s="65"/>
      <c r="AL31" s="51"/>
      <c r="AM31" s="65">
        <f t="shared" si="83"/>
        <v>0</v>
      </c>
      <c r="AN31" s="65">
        <f t="shared" si="13"/>
        <v>0</v>
      </c>
      <c r="AO31" s="20">
        <f t="shared" si="14"/>
        <v>0</v>
      </c>
      <c r="AP31" s="65">
        <f t="shared" si="15"/>
        <v>0</v>
      </c>
      <c r="AQ31" s="65"/>
      <c r="AR31" s="51"/>
      <c r="AS31" s="65">
        <f t="shared" si="84"/>
        <v>0</v>
      </c>
      <c r="AT31" s="65">
        <f t="shared" si="16"/>
        <v>0</v>
      </c>
      <c r="AU31" s="20">
        <f t="shared" si="17"/>
        <v>0</v>
      </c>
      <c r="AV31" s="65">
        <f t="shared" si="18"/>
        <v>0</v>
      </c>
      <c r="AW31" s="65"/>
      <c r="AX31" s="51"/>
      <c r="AY31" s="65">
        <f t="shared" si="85"/>
        <v>0</v>
      </c>
      <c r="AZ31" s="65">
        <f t="shared" si="19"/>
        <v>0</v>
      </c>
      <c r="BA31" s="20">
        <f t="shared" si="20"/>
        <v>0</v>
      </c>
      <c r="BB31" s="65">
        <f t="shared" si="21"/>
        <v>0</v>
      </c>
      <c r="BC31" s="65"/>
      <c r="BD31" s="51"/>
      <c r="BE31" s="51">
        <f t="shared" si="86"/>
        <v>0</v>
      </c>
      <c r="BF31" s="51">
        <f t="shared" si="22"/>
        <v>0</v>
      </c>
      <c r="BG31" s="33">
        <f t="shared" si="23"/>
        <v>0</v>
      </c>
      <c r="BH31" s="65">
        <f t="shared" si="24"/>
        <v>0</v>
      </c>
      <c r="BI31" s="65"/>
      <c r="BJ31" s="51"/>
      <c r="BK31" s="33">
        <f t="shared" si="87"/>
        <v>0</v>
      </c>
      <c r="BL31" s="33">
        <f t="shared" si="25"/>
        <v>0</v>
      </c>
      <c r="BM31" s="33">
        <f t="shared" si="26"/>
        <v>0</v>
      </c>
      <c r="BN31" s="65">
        <f t="shared" si="27"/>
        <v>0</v>
      </c>
      <c r="BO31" s="65"/>
      <c r="BP31" s="51"/>
      <c r="BQ31" s="51">
        <f t="shared" si="88"/>
        <v>0</v>
      </c>
      <c r="BR31" s="51">
        <f t="shared" si="28"/>
        <v>0</v>
      </c>
      <c r="BS31" s="33">
        <f t="shared" si="29"/>
        <v>0</v>
      </c>
      <c r="BT31" s="65">
        <f t="shared" si="30"/>
        <v>0</v>
      </c>
      <c r="BU31" s="65"/>
      <c r="BV31" s="51"/>
      <c r="BW31" s="51">
        <f t="shared" si="89"/>
        <v>0</v>
      </c>
      <c r="BX31" s="51">
        <f t="shared" si="31"/>
        <v>0</v>
      </c>
      <c r="BY31" s="33">
        <f t="shared" si="32"/>
        <v>0</v>
      </c>
      <c r="BZ31" s="65">
        <f t="shared" si="33"/>
        <v>0</v>
      </c>
      <c r="CA31" s="65"/>
      <c r="CB31" s="51"/>
      <c r="CC31" s="51">
        <f t="shared" si="90"/>
        <v>0</v>
      </c>
      <c r="CD31" s="51">
        <f t="shared" si="34"/>
        <v>0</v>
      </c>
      <c r="CE31" s="33">
        <f t="shared" si="35"/>
        <v>0</v>
      </c>
      <c r="CF31" s="65">
        <f t="shared" si="36"/>
        <v>0</v>
      </c>
      <c r="CG31" s="65"/>
      <c r="CH31" s="51"/>
      <c r="CI31" s="51">
        <f t="shared" si="91"/>
        <v>0</v>
      </c>
      <c r="CJ31" s="51">
        <f t="shared" si="37"/>
        <v>0</v>
      </c>
      <c r="CK31" s="33">
        <f t="shared" si="38"/>
        <v>0</v>
      </c>
      <c r="CL31" s="65">
        <f t="shared" si="39"/>
        <v>0</v>
      </c>
      <c r="CM31" s="65"/>
      <c r="CN31" s="51"/>
      <c r="CO31" s="51">
        <f t="shared" si="92"/>
        <v>0</v>
      </c>
      <c r="CP31" s="51">
        <f t="shared" si="40"/>
        <v>0</v>
      </c>
      <c r="CQ31" s="33">
        <f t="shared" si="41"/>
        <v>0</v>
      </c>
      <c r="CR31" s="65">
        <f t="shared" si="42"/>
        <v>0</v>
      </c>
      <c r="CS31" s="65"/>
      <c r="CT31" s="51"/>
      <c r="CU31" s="33">
        <f t="shared" si="93"/>
        <v>0</v>
      </c>
      <c r="CV31" s="33">
        <f t="shared" si="43"/>
        <v>0</v>
      </c>
      <c r="CW31" s="33">
        <f t="shared" si="44"/>
        <v>0</v>
      </c>
      <c r="CX31" s="65">
        <f t="shared" si="45"/>
        <v>0</v>
      </c>
      <c r="CY31" s="65"/>
      <c r="CZ31" s="51"/>
      <c r="DA31" s="51">
        <f t="shared" si="94"/>
        <v>0</v>
      </c>
      <c r="DB31" s="51">
        <f t="shared" si="46"/>
        <v>0</v>
      </c>
      <c r="DC31" s="33">
        <f t="shared" si="47"/>
        <v>0</v>
      </c>
      <c r="DD31" s="65">
        <f t="shared" si="48"/>
        <v>0</v>
      </c>
      <c r="DE31" s="65"/>
      <c r="DF31" s="51"/>
      <c r="DG31" s="51">
        <f t="shared" si="95"/>
        <v>0</v>
      </c>
      <c r="DH31" s="51">
        <f t="shared" si="49"/>
        <v>0</v>
      </c>
      <c r="DI31" s="33">
        <f t="shared" si="50"/>
        <v>0</v>
      </c>
      <c r="DJ31" s="65">
        <f t="shared" si="51"/>
        <v>0</v>
      </c>
      <c r="DK31" s="65"/>
      <c r="DL31" s="51"/>
      <c r="DM31" s="51">
        <f t="shared" si="96"/>
        <v>0</v>
      </c>
      <c r="DN31" s="51">
        <f t="shared" si="52"/>
        <v>0</v>
      </c>
      <c r="DO31" s="33">
        <f t="shared" si="53"/>
        <v>0</v>
      </c>
      <c r="DP31" s="65">
        <f t="shared" si="54"/>
        <v>0</v>
      </c>
      <c r="DQ31" s="65"/>
      <c r="DR31" s="51"/>
      <c r="DS31" s="51">
        <f t="shared" si="97"/>
        <v>0</v>
      </c>
      <c r="DT31" s="51">
        <f t="shared" si="55"/>
        <v>0</v>
      </c>
      <c r="DU31" s="33">
        <f t="shared" si="56"/>
        <v>0</v>
      </c>
      <c r="DV31" s="65">
        <f t="shared" si="57"/>
        <v>0</v>
      </c>
      <c r="DW31" s="65"/>
      <c r="DX31" s="51"/>
      <c r="DY31" s="51">
        <f t="shared" si="98"/>
        <v>0</v>
      </c>
      <c r="DZ31" s="51">
        <f t="shared" si="58"/>
        <v>0</v>
      </c>
      <c r="EA31" s="33">
        <f t="shared" si="59"/>
        <v>0</v>
      </c>
      <c r="EB31" s="65">
        <f t="shared" si="60"/>
        <v>0</v>
      </c>
      <c r="EC31" s="65"/>
      <c r="ED31" s="51"/>
      <c r="EE31" s="51">
        <f t="shared" si="99"/>
        <v>0</v>
      </c>
      <c r="EF31" s="51">
        <f t="shared" si="61"/>
        <v>0</v>
      </c>
      <c r="EG31" s="33">
        <f t="shared" si="62"/>
        <v>0</v>
      </c>
      <c r="EH31" s="65">
        <f t="shared" si="63"/>
        <v>0</v>
      </c>
      <c r="EI31" s="65"/>
      <c r="EJ31" s="51"/>
      <c r="EK31" s="51">
        <f t="shared" si="100"/>
        <v>0</v>
      </c>
      <c r="EL31" s="51">
        <f t="shared" si="64"/>
        <v>0</v>
      </c>
      <c r="EM31" s="33">
        <f t="shared" si="65"/>
        <v>0</v>
      </c>
      <c r="EN31" s="65">
        <f t="shared" si="66"/>
        <v>0</v>
      </c>
      <c r="EO31" s="65"/>
      <c r="EP31" s="51"/>
      <c r="EQ31" s="51">
        <f t="shared" si="101"/>
        <v>0</v>
      </c>
      <c r="ER31" s="51">
        <f t="shared" si="67"/>
        <v>0</v>
      </c>
      <c r="ES31" s="33">
        <f t="shared" si="68"/>
        <v>0</v>
      </c>
      <c r="ET31" s="65">
        <f t="shared" si="69"/>
        <v>0</v>
      </c>
      <c r="EU31" s="65"/>
      <c r="EV31" s="51"/>
      <c r="EW31" s="51">
        <f t="shared" si="102"/>
        <v>0</v>
      </c>
      <c r="EX31" s="51">
        <f t="shared" si="70"/>
        <v>0</v>
      </c>
      <c r="EY31" s="33">
        <f t="shared" si="71"/>
        <v>0</v>
      </c>
      <c r="EZ31" s="65">
        <f t="shared" si="72"/>
        <v>0</v>
      </c>
      <c r="FA31" s="65"/>
      <c r="FB31" s="33"/>
      <c r="FC31" s="33">
        <f t="shared" si="103"/>
        <v>0</v>
      </c>
      <c r="FD31" s="33">
        <f t="shared" si="73"/>
        <v>0</v>
      </c>
      <c r="FE31" s="33">
        <f t="shared" si="74"/>
        <v>0</v>
      </c>
      <c r="FF31" s="65">
        <f t="shared" si="75"/>
        <v>0</v>
      </c>
      <c r="FG31" s="65"/>
      <c r="FH31" s="51"/>
      <c r="FI31" s="51">
        <f t="shared" si="104"/>
        <v>0</v>
      </c>
      <c r="FJ31" s="51">
        <f t="shared" si="76"/>
        <v>0</v>
      </c>
      <c r="FK31" s="33">
        <f t="shared" si="77"/>
        <v>0</v>
      </c>
      <c r="FL31" s="65">
        <f t="shared" si="78"/>
        <v>0</v>
      </c>
      <c r="FM31" s="65"/>
      <c r="FN31" s="51"/>
      <c r="FO31" s="33"/>
      <c r="FP31" s="33"/>
      <c r="FQ31" s="33"/>
    </row>
    <row r="32" spans="1:173" s="53" customFormat="1" ht="12.75">
      <c r="A32" s="52">
        <v>46661</v>
      </c>
      <c r="C32" s="35"/>
      <c r="D32" s="35"/>
      <c r="E32" s="35">
        <f t="shared" si="0"/>
        <v>0</v>
      </c>
      <c r="F32" s="35"/>
      <c r="G32" s="35"/>
      <c r="H32" s="51"/>
      <c r="I32" s="51"/>
      <c r="J32" s="51"/>
      <c r="K32" s="51">
        <f t="shared" si="79"/>
        <v>0</v>
      </c>
      <c r="L32" s="51"/>
      <c r="M32" s="35"/>
      <c r="N32" s="51"/>
      <c r="O32" s="51"/>
      <c r="P32" s="41">
        <f t="shared" si="1"/>
        <v>0</v>
      </c>
      <c r="Q32" s="33">
        <f t="shared" si="2"/>
        <v>0</v>
      </c>
      <c r="R32" s="41">
        <f t="shared" si="3"/>
        <v>0</v>
      </c>
      <c r="S32" s="35"/>
      <c r="T32" s="51"/>
      <c r="U32" s="65"/>
      <c r="V32" s="65">
        <f t="shared" si="4"/>
        <v>0</v>
      </c>
      <c r="W32" s="20">
        <f t="shared" si="5"/>
        <v>0</v>
      </c>
      <c r="X32" s="65">
        <f t="shared" si="6"/>
        <v>0</v>
      </c>
      <c r="Y32" s="65"/>
      <c r="Z32" s="51"/>
      <c r="AA32" s="65"/>
      <c r="AB32" s="65">
        <f t="shared" si="7"/>
        <v>0</v>
      </c>
      <c r="AC32" s="20">
        <f t="shared" si="8"/>
        <v>0</v>
      </c>
      <c r="AD32" s="65">
        <f t="shared" si="9"/>
        <v>0</v>
      </c>
      <c r="AE32" s="65"/>
      <c r="AF32" s="51"/>
      <c r="AG32" s="33"/>
      <c r="AH32" s="33">
        <f t="shared" si="10"/>
        <v>0</v>
      </c>
      <c r="AI32" s="33">
        <f t="shared" si="11"/>
        <v>0</v>
      </c>
      <c r="AJ32" s="65">
        <f t="shared" si="12"/>
        <v>0</v>
      </c>
      <c r="AK32" s="65"/>
      <c r="AL32" s="51"/>
      <c r="AM32" s="65"/>
      <c r="AN32" s="65">
        <f t="shared" si="13"/>
        <v>0</v>
      </c>
      <c r="AO32" s="20">
        <f t="shared" si="14"/>
        <v>0</v>
      </c>
      <c r="AP32" s="65">
        <f t="shared" si="15"/>
        <v>0</v>
      </c>
      <c r="AQ32" s="65"/>
      <c r="AR32" s="51"/>
      <c r="AS32" s="65"/>
      <c r="AT32" s="65">
        <f t="shared" si="16"/>
        <v>0</v>
      </c>
      <c r="AU32" s="20">
        <f t="shared" si="17"/>
        <v>0</v>
      </c>
      <c r="AV32" s="65">
        <f t="shared" si="18"/>
        <v>0</v>
      </c>
      <c r="AW32" s="65"/>
      <c r="AX32" s="51"/>
      <c r="AY32" s="65"/>
      <c r="AZ32" s="65">
        <f t="shared" si="19"/>
        <v>0</v>
      </c>
      <c r="BA32" s="20">
        <f t="shared" si="20"/>
        <v>0</v>
      </c>
      <c r="BB32" s="65">
        <f t="shared" si="21"/>
        <v>0</v>
      </c>
      <c r="BC32" s="65"/>
      <c r="BD32" s="51"/>
      <c r="BE32" s="51"/>
      <c r="BF32" s="51">
        <f t="shared" si="22"/>
        <v>0</v>
      </c>
      <c r="BG32" s="33">
        <f t="shared" si="23"/>
        <v>0</v>
      </c>
      <c r="BH32" s="65">
        <f t="shared" si="24"/>
        <v>0</v>
      </c>
      <c r="BI32" s="65"/>
      <c r="BJ32" s="51"/>
      <c r="BK32" s="33"/>
      <c r="BL32" s="33">
        <f t="shared" si="25"/>
        <v>0</v>
      </c>
      <c r="BM32" s="33">
        <f t="shared" si="26"/>
        <v>0</v>
      </c>
      <c r="BN32" s="65">
        <f t="shared" si="27"/>
        <v>0</v>
      </c>
      <c r="BO32" s="65"/>
      <c r="BP32" s="51"/>
      <c r="BQ32" s="51"/>
      <c r="BR32" s="51">
        <f t="shared" si="28"/>
        <v>0</v>
      </c>
      <c r="BS32" s="33">
        <f t="shared" si="29"/>
        <v>0</v>
      </c>
      <c r="BT32" s="65">
        <f t="shared" si="30"/>
        <v>0</v>
      </c>
      <c r="BU32" s="65"/>
      <c r="BV32" s="51"/>
      <c r="BW32" s="51"/>
      <c r="BX32" s="51">
        <f t="shared" si="31"/>
        <v>0</v>
      </c>
      <c r="BY32" s="33">
        <f t="shared" si="32"/>
        <v>0</v>
      </c>
      <c r="BZ32" s="65">
        <f t="shared" si="33"/>
        <v>0</v>
      </c>
      <c r="CA32" s="65"/>
      <c r="CB32" s="51"/>
      <c r="CC32" s="51"/>
      <c r="CD32" s="51">
        <f t="shared" si="34"/>
        <v>0</v>
      </c>
      <c r="CE32" s="33">
        <f t="shared" si="35"/>
        <v>0</v>
      </c>
      <c r="CF32" s="65">
        <f t="shared" si="36"/>
        <v>0</v>
      </c>
      <c r="CG32" s="65"/>
      <c r="CH32" s="51"/>
      <c r="CI32" s="51"/>
      <c r="CJ32" s="51">
        <f t="shared" si="37"/>
        <v>0</v>
      </c>
      <c r="CK32" s="33">
        <f t="shared" si="38"/>
        <v>0</v>
      </c>
      <c r="CL32" s="65">
        <f t="shared" si="39"/>
        <v>0</v>
      </c>
      <c r="CM32" s="65"/>
      <c r="CN32" s="51"/>
      <c r="CO32" s="51"/>
      <c r="CP32" s="51">
        <f t="shared" si="40"/>
        <v>0</v>
      </c>
      <c r="CQ32" s="33">
        <f t="shared" si="41"/>
        <v>0</v>
      </c>
      <c r="CR32" s="65">
        <f t="shared" si="42"/>
        <v>0</v>
      </c>
      <c r="CS32" s="65"/>
      <c r="CT32" s="51"/>
      <c r="CU32" s="33"/>
      <c r="CV32" s="33">
        <f t="shared" si="43"/>
        <v>0</v>
      </c>
      <c r="CW32" s="33">
        <f t="shared" si="44"/>
        <v>0</v>
      </c>
      <c r="CX32" s="65">
        <f t="shared" si="45"/>
        <v>0</v>
      </c>
      <c r="CY32" s="65"/>
      <c r="CZ32" s="51"/>
      <c r="DA32" s="51"/>
      <c r="DB32" s="51">
        <f t="shared" si="46"/>
        <v>0</v>
      </c>
      <c r="DC32" s="33">
        <f t="shared" si="47"/>
        <v>0</v>
      </c>
      <c r="DD32" s="65">
        <f t="shared" si="48"/>
        <v>0</v>
      </c>
      <c r="DE32" s="65"/>
      <c r="DF32" s="51"/>
      <c r="DG32" s="51"/>
      <c r="DH32" s="51">
        <f t="shared" si="49"/>
        <v>0</v>
      </c>
      <c r="DI32" s="33">
        <f t="shared" si="50"/>
        <v>0</v>
      </c>
      <c r="DJ32" s="65">
        <f t="shared" si="51"/>
        <v>0</v>
      </c>
      <c r="DK32" s="65"/>
      <c r="DL32" s="51"/>
      <c r="DM32" s="51"/>
      <c r="DN32" s="51">
        <f t="shared" si="52"/>
        <v>0</v>
      </c>
      <c r="DO32" s="33">
        <f t="shared" si="53"/>
        <v>0</v>
      </c>
      <c r="DP32" s="65">
        <f t="shared" si="54"/>
        <v>0</v>
      </c>
      <c r="DQ32" s="65"/>
      <c r="DR32" s="51"/>
      <c r="DS32" s="51"/>
      <c r="DT32" s="51">
        <f t="shared" si="55"/>
        <v>0</v>
      </c>
      <c r="DU32" s="33">
        <f t="shared" si="56"/>
        <v>0</v>
      </c>
      <c r="DV32" s="65">
        <f t="shared" si="57"/>
        <v>0</v>
      </c>
      <c r="DW32" s="65"/>
      <c r="DX32" s="51"/>
      <c r="DY32" s="51"/>
      <c r="DZ32" s="51">
        <f t="shared" si="58"/>
        <v>0</v>
      </c>
      <c r="EA32" s="33">
        <f t="shared" si="59"/>
        <v>0</v>
      </c>
      <c r="EB32" s="65">
        <f t="shared" si="60"/>
        <v>0</v>
      </c>
      <c r="EC32" s="65"/>
      <c r="ED32" s="51"/>
      <c r="EE32" s="51"/>
      <c r="EF32" s="51">
        <f t="shared" si="61"/>
        <v>0</v>
      </c>
      <c r="EG32" s="33">
        <f t="shared" si="62"/>
        <v>0</v>
      </c>
      <c r="EH32" s="65">
        <f t="shared" si="63"/>
        <v>0</v>
      </c>
      <c r="EI32" s="65"/>
      <c r="EJ32" s="51"/>
      <c r="EK32" s="51"/>
      <c r="EL32" s="51">
        <f t="shared" si="64"/>
        <v>0</v>
      </c>
      <c r="EM32" s="33">
        <f t="shared" si="65"/>
        <v>0</v>
      </c>
      <c r="EN32" s="65">
        <f t="shared" si="66"/>
        <v>0</v>
      </c>
      <c r="EO32" s="65"/>
      <c r="EP32" s="51"/>
      <c r="EQ32" s="51"/>
      <c r="ER32" s="51">
        <f t="shared" si="67"/>
        <v>0</v>
      </c>
      <c r="ES32" s="33">
        <f t="shared" si="68"/>
        <v>0</v>
      </c>
      <c r="ET32" s="65">
        <f t="shared" si="69"/>
        <v>0</v>
      </c>
      <c r="EU32" s="65"/>
      <c r="EV32" s="51"/>
      <c r="EW32" s="51"/>
      <c r="EX32" s="51">
        <f t="shared" si="70"/>
        <v>0</v>
      </c>
      <c r="EY32" s="33">
        <f t="shared" si="71"/>
        <v>0</v>
      </c>
      <c r="EZ32" s="65">
        <f t="shared" si="72"/>
        <v>0</v>
      </c>
      <c r="FA32" s="65"/>
      <c r="FB32" s="33"/>
      <c r="FC32" s="33"/>
      <c r="FD32" s="33">
        <f t="shared" si="73"/>
        <v>0</v>
      </c>
      <c r="FE32" s="33">
        <f t="shared" si="74"/>
        <v>0</v>
      </c>
      <c r="FF32" s="65">
        <f t="shared" si="75"/>
        <v>0</v>
      </c>
      <c r="FG32" s="65"/>
      <c r="FH32" s="51"/>
      <c r="FI32" s="51"/>
      <c r="FJ32" s="51">
        <f t="shared" si="76"/>
        <v>0</v>
      </c>
      <c r="FK32" s="33">
        <f t="shared" si="77"/>
        <v>0</v>
      </c>
      <c r="FL32" s="65">
        <f t="shared" si="78"/>
        <v>0</v>
      </c>
      <c r="FM32" s="65"/>
      <c r="FN32" s="51"/>
      <c r="FO32" s="33"/>
      <c r="FP32" s="33"/>
      <c r="FQ32" s="33"/>
    </row>
    <row r="33" spans="1:173" s="53" customFormat="1" ht="12.75">
      <c r="A33" s="52">
        <v>46844</v>
      </c>
      <c r="C33" s="35"/>
      <c r="D33" s="35"/>
      <c r="E33" s="35">
        <f t="shared" si="0"/>
        <v>0</v>
      </c>
      <c r="F33" s="35"/>
      <c r="G33" s="35"/>
      <c r="H33" s="51"/>
      <c r="I33" s="51"/>
      <c r="J33" s="51"/>
      <c r="K33" s="51">
        <f t="shared" si="79"/>
        <v>0</v>
      </c>
      <c r="L33" s="51"/>
      <c r="M33" s="35"/>
      <c r="N33" s="51"/>
      <c r="O33" s="51">
        <f>U33+AA33+AG33+AM33+AS33+AY33+BE33+BK33+BQ33+CC33+CO33+CU33+DA33+DG33+DM33+EK33+EQ33+EW33+FC33+FI33+FO33+BW33+CI33+DS33+DY33+EE33</f>
        <v>0</v>
      </c>
      <c r="P33" s="41">
        <f t="shared" si="1"/>
        <v>0</v>
      </c>
      <c r="Q33" s="33">
        <f t="shared" si="2"/>
        <v>0</v>
      </c>
      <c r="R33" s="41">
        <f t="shared" si="3"/>
        <v>0</v>
      </c>
      <c r="S33" s="35"/>
      <c r="T33" s="51"/>
      <c r="U33" s="65">
        <f t="shared" si="80"/>
        <v>0</v>
      </c>
      <c r="V33" s="65">
        <f t="shared" si="4"/>
        <v>0</v>
      </c>
      <c r="W33" s="20">
        <f t="shared" si="5"/>
        <v>0</v>
      </c>
      <c r="X33" s="65">
        <f t="shared" si="6"/>
        <v>0</v>
      </c>
      <c r="Y33" s="65"/>
      <c r="Z33" s="51"/>
      <c r="AA33" s="65">
        <f t="shared" si="81"/>
        <v>0</v>
      </c>
      <c r="AB33" s="65">
        <f t="shared" si="7"/>
        <v>0</v>
      </c>
      <c r="AC33" s="20">
        <f t="shared" si="8"/>
        <v>0</v>
      </c>
      <c r="AD33" s="65">
        <f t="shared" si="9"/>
        <v>0</v>
      </c>
      <c r="AE33" s="65"/>
      <c r="AF33" s="51"/>
      <c r="AG33" s="33">
        <f t="shared" si="82"/>
        <v>0</v>
      </c>
      <c r="AH33" s="33">
        <f t="shared" si="10"/>
        <v>0</v>
      </c>
      <c r="AI33" s="33">
        <f t="shared" si="11"/>
        <v>0</v>
      </c>
      <c r="AJ33" s="65">
        <f t="shared" si="12"/>
        <v>0</v>
      </c>
      <c r="AK33" s="65"/>
      <c r="AL33" s="51"/>
      <c r="AM33" s="65">
        <f t="shared" si="83"/>
        <v>0</v>
      </c>
      <c r="AN33" s="65">
        <f t="shared" si="13"/>
        <v>0</v>
      </c>
      <c r="AO33" s="20">
        <f t="shared" si="14"/>
        <v>0</v>
      </c>
      <c r="AP33" s="65">
        <f t="shared" si="15"/>
        <v>0</v>
      </c>
      <c r="AQ33" s="65"/>
      <c r="AR33" s="51"/>
      <c r="AS33" s="65">
        <f t="shared" si="84"/>
        <v>0</v>
      </c>
      <c r="AT33" s="65">
        <f t="shared" si="16"/>
        <v>0</v>
      </c>
      <c r="AU33" s="20">
        <f t="shared" si="17"/>
        <v>0</v>
      </c>
      <c r="AV33" s="65">
        <f t="shared" si="18"/>
        <v>0</v>
      </c>
      <c r="AW33" s="65"/>
      <c r="AX33" s="51"/>
      <c r="AY33" s="65">
        <f t="shared" si="85"/>
        <v>0</v>
      </c>
      <c r="AZ33" s="65">
        <f t="shared" si="19"/>
        <v>0</v>
      </c>
      <c r="BA33" s="20">
        <f t="shared" si="20"/>
        <v>0</v>
      </c>
      <c r="BB33" s="65">
        <f t="shared" si="21"/>
        <v>0</v>
      </c>
      <c r="BC33" s="65"/>
      <c r="BD33" s="51"/>
      <c r="BE33" s="51">
        <f t="shared" si="86"/>
        <v>0</v>
      </c>
      <c r="BF33" s="51">
        <f t="shared" si="22"/>
        <v>0</v>
      </c>
      <c r="BG33" s="33">
        <f t="shared" si="23"/>
        <v>0</v>
      </c>
      <c r="BH33" s="65">
        <f t="shared" si="24"/>
        <v>0</v>
      </c>
      <c r="BI33" s="65"/>
      <c r="BJ33" s="51"/>
      <c r="BK33" s="33">
        <f t="shared" si="87"/>
        <v>0</v>
      </c>
      <c r="BL33" s="33">
        <f t="shared" si="25"/>
        <v>0</v>
      </c>
      <c r="BM33" s="33">
        <f t="shared" si="26"/>
        <v>0</v>
      </c>
      <c r="BN33" s="65">
        <f t="shared" si="27"/>
        <v>0</v>
      </c>
      <c r="BO33" s="65"/>
      <c r="BP33" s="51"/>
      <c r="BQ33" s="51">
        <f t="shared" si="88"/>
        <v>0</v>
      </c>
      <c r="BR33" s="51">
        <f t="shared" si="28"/>
        <v>0</v>
      </c>
      <c r="BS33" s="33">
        <f t="shared" si="29"/>
        <v>0</v>
      </c>
      <c r="BT33" s="65">
        <f t="shared" si="30"/>
        <v>0</v>
      </c>
      <c r="BU33" s="65"/>
      <c r="BV33" s="51"/>
      <c r="BW33" s="51">
        <f t="shared" si="89"/>
        <v>0</v>
      </c>
      <c r="BX33" s="51">
        <f t="shared" si="31"/>
        <v>0</v>
      </c>
      <c r="BY33" s="33">
        <f t="shared" si="32"/>
        <v>0</v>
      </c>
      <c r="BZ33" s="65">
        <f t="shared" si="33"/>
        <v>0</v>
      </c>
      <c r="CA33" s="65"/>
      <c r="CB33" s="51"/>
      <c r="CC33" s="51">
        <f t="shared" si="90"/>
        <v>0</v>
      </c>
      <c r="CD33" s="51">
        <f t="shared" si="34"/>
        <v>0</v>
      </c>
      <c r="CE33" s="33">
        <f t="shared" si="35"/>
        <v>0</v>
      </c>
      <c r="CF33" s="65">
        <f t="shared" si="36"/>
        <v>0</v>
      </c>
      <c r="CG33" s="65"/>
      <c r="CH33" s="51"/>
      <c r="CI33" s="51">
        <f t="shared" si="91"/>
        <v>0</v>
      </c>
      <c r="CJ33" s="51">
        <f t="shared" si="37"/>
        <v>0</v>
      </c>
      <c r="CK33" s="33">
        <f t="shared" si="38"/>
        <v>0</v>
      </c>
      <c r="CL33" s="65">
        <f t="shared" si="39"/>
        <v>0</v>
      </c>
      <c r="CM33" s="65"/>
      <c r="CN33" s="51"/>
      <c r="CO33" s="51">
        <f t="shared" si="92"/>
        <v>0</v>
      </c>
      <c r="CP33" s="51">
        <f t="shared" si="40"/>
        <v>0</v>
      </c>
      <c r="CQ33" s="33">
        <f t="shared" si="41"/>
        <v>0</v>
      </c>
      <c r="CR33" s="65">
        <f t="shared" si="42"/>
        <v>0</v>
      </c>
      <c r="CS33" s="65"/>
      <c r="CT33" s="51"/>
      <c r="CU33" s="33">
        <f t="shared" si="93"/>
        <v>0</v>
      </c>
      <c r="CV33" s="33">
        <f t="shared" si="43"/>
        <v>0</v>
      </c>
      <c r="CW33" s="33">
        <f t="shared" si="44"/>
        <v>0</v>
      </c>
      <c r="CX33" s="65">
        <f t="shared" si="45"/>
        <v>0</v>
      </c>
      <c r="CY33" s="65"/>
      <c r="CZ33" s="51"/>
      <c r="DA33" s="51">
        <f t="shared" si="94"/>
        <v>0</v>
      </c>
      <c r="DB33" s="51">
        <f t="shared" si="46"/>
        <v>0</v>
      </c>
      <c r="DC33" s="33">
        <f t="shared" si="47"/>
        <v>0</v>
      </c>
      <c r="DD33" s="65">
        <f t="shared" si="48"/>
        <v>0</v>
      </c>
      <c r="DE33" s="65"/>
      <c r="DF33" s="51"/>
      <c r="DG33" s="51">
        <f t="shared" si="95"/>
        <v>0</v>
      </c>
      <c r="DH33" s="51">
        <f t="shared" si="49"/>
        <v>0</v>
      </c>
      <c r="DI33" s="33">
        <f t="shared" si="50"/>
        <v>0</v>
      </c>
      <c r="DJ33" s="65">
        <f t="shared" si="51"/>
        <v>0</v>
      </c>
      <c r="DK33" s="65"/>
      <c r="DL33" s="51"/>
      <c r="DM33" s="51">
        <f t="shared" si="96"/>
        <v>0</v>
      </c>
      <c r="DN33" s="51">
        <f t="shared" si="52"/>
        <v>0</v>
      </c>
      <c r="DO33" s="33">
        <f t="shared" si="53"/>
        <v>0</v>
      </c>
      <c r="DP33" s="65">
        <f t="shared" si="54"/>
        <v>0</v>
      </c>
      <c r="DQ33" s="65"/>
      <c r="DR33" s="51"/>
      <c r="DS33" s="51">
        <f t="shared" si="97"/>
        <v>0</v>
      </c>
      <c r="DT33" s="51">
        <f t="shared" si="55"/>
        <v>0</v>
      </c>
      <c r="DU33" s="33">
        <f t="shared" si="56"/>
        <v>0</v>
      </c>
      <c r="DV33" s="65">
        <f t="shared" si="57"/>
        <v>0</v>
      </c>
      <c r="DW33" s="65"/>
      <c r="DX33" s="51"/>
      <c r="DY33" s="51">
        <f t="shared" si="98"/>
        <v>0</v>
      </c>
      <c r="DZ33" s="51">
        <f t="shared" si="58"/>
        <v>0</v>
      </c>
      <c r="EA33" s="33">
        <f t="shared" si="59"/>
        <v>0</v>
      </c>
      <c r="EB33" s="65">
        <f t="shared" si="60"/>
        <v>0</v>
      </c>
      <c r="EC33" s="65"/>
      <c r="ED33" s="51"/>
      <c r="EE33" s="51">
        <f t="shared" si="99"/>
        <v>0</v>
      </c>
      <c r="EF33" s="51">
        <f t="shared" si="61"/>
        <v>0</v>
      </c>
      <c r="EG33" s="33">
        <f t="shared" si="62"/>
        <v>0</v>
      </c>
      <c r="EH33" s="65">
        <f t="shared" si="63"/>
        <v>0</v>
      </c>
      <c r="EI33" s="65"/>
      <c r="EJ33" s="51"/>
      <c r="EK33" s="51">
        <f t="shared" si="100"/>
        <v>0</v>
      </c>
      <c r="EL33" s="51">
        <f t="shared" si="64"/>
        <v>0</v>
      </c>
      <c r="EM33" s="33">
        <f t="shared" si="65"/>
        <v>0</v>
      </c>
      <c r="EN33" s="65">
        <f t="shared" si="66"/>
        <v>0</v>
      </c>
      <c r="EO33" s="65"/>
      <c r="EP33" s="51"/>
      <c r="EQ33" s="51">
        <f t="shared" si="101"/>
        <v>0</v>
      </c>
      <c r="ER33" s="51">
        <f t="shared" si="67"/>
        <v>0</v>
      </c>
      <c r="ES33" s="33">
        <f t="shared" si="68"/>
        <v>0</v>
      </c>
      <c r="ET33" s="65">
        <f t="shared" si="69"/>
        <v>0</v>
      </c>
      <c r="EU33" s="65"/>
      <c r="EV33" s="51"/>
      <c r="EW33" s="51">
        <f t="shared" si="102"/>
        <v>0</v>
      </c>
      <c r="EX33" s="51">
        <f t="shared" si="70"/>
        <v>0</v>
      </c>
      <c r="EY33" s="33">
        <f t="shared" si="71"/>
        <v>0</v>
      </c>
      <c r="EZ33" s="65">
        <f t="shared" si="72"/>
        <v>0</v>
      </c>
      <c r="FA33" s="65"/>
      <c r="FB33" s="33"/>
      <c r="FC33" s="33">
        <f t="shared" si="103"/>
        <v>0</v>
      </c>
      <c r="FD33" s="33">
        <f t="shared" si="73"/>
        <v>0</v>
      </c>
      <c r="FE33" s="33">
        <f t="shared" si="74"/>
        <v>0</v>
      </c>
      <c r="FF33" s="65">
        <f t="shared" si="75"/>
        <v>0</v>
      </c>
      <c r="FG33" s="65"/>
      <c r="FH33" s="51"/>
      <c r="FI33" s="51">
        <f t="shared" si="104"/>
        <v>0</v>
      </c>
      <c r="FJ33" s="51">
        <f t="shared" si="76"/>
        <v>0</v>
      </c>
      <c r="FK33" s="33">
        <f t="shared" si="77"/>
        <v>0</v>
      </c>
      <c r="FL33" s="65">
        <f t="shared" si="78"/>
        <v>0</v>
      </c>
      <c r="FM33" s="65"/>
      <c r="FN33" s="51"/>
      <c r="FO33" s="33"/>
      <c r="FP33" s="33"/>
      <c r="FQ33" s="33"/>
    </row>
    <row r="34" spans="1:173" s="53" customFormat="1" ht="12.75">
      <c r="A34" s="52">
        <v>47027</v>
      </c>
      <c r="C34" s="35"/>
      <c r="D34" s="35"/>
      <c r="E34" s="35">
        <f t="shared" si="0"/>
        <v>0</v>
      </c>
      <c r="F34" s="35"/>
      <c r="G34" s="35"/>
      <c r="H34" s="51"/>
      <c r="I34" s="51"/>
      <c r="J34" s="51"/>
      <c r="K34" s="51">
        <f t="shared" si="79"/>
        <v>0</v>
      </c>
      <c r="L34" s="51"/>
      <c r="M34" s="35"/>
      <c r="N34" s="51"/>
      <c r="O34" s="51"/>
      <c r="P34" s="41">
        <f t="shared" si="1"/>
        <v>0</v>
      </c>
      <c r="Q34" s="33">
        <f t="shared" si="2"/>
        <v>0</v>
      </c>
      <c r="R34" s="41">
        <f t="shared" si="3"/>
        <v>0</v>
      </c>
      <c r="S34" s="35"/>
      <c r="T34" s="51"/>
      <c r="U34" s="65"/>
      <c r="V34" s="65">
        <f t="shared" si="4"/>
        <v>0</v>
      </c>
      <c r="W34" s="20">
        <f t="shared" si="5"/>
        <v>0</v>
      </c>
      <c r="X34" s="65">
        <f t="shared" si="6"/>
        <v>0</v>
      </c>
      <c r="Y34" s="65"/>
      <c r="Z34" s="51"/>
      <c r="AA34" s="65"/>
      <c r="AB34" s="65">
        <f t="shared" si="7"/>
        <v>0</v>
      </c>
      <c r="AC34" s="20">
        <f t="shared" si="8"/>
        <v>0</v>
      </c>
      <c r="AD34" s="65">
        <f t="shared" si="9"/>
        <v>0</v>
      </c>
      <c r="AE34" s="65"/>
      <c r="AF34" s="51"/>
      <c r="AG34" s="33"/>
      <c r="AH34" s="33">
        <f t="shared" si="10"/>
        <v>0</v>
      </c>
      <c r="AI34" s="33">
        <f t="shared" si="11"/>
        <v>0</v>
      </c>
      <c r="AJ34" s="65">
        <f t="shared" si="12"/>
        <v>0</v>
      </c>
      <c r="AK34" s="65"/>
      <c r="AL34" s="51"/>
      <c r="AM34" s="65"/>
      <c r="AN34" s="65">
        <f t="shared" si="13"/>
        <v>0</v>
      </c>
      <c r="AO34" s="20">
        <f t="shared" si="14"/>
        <v>0</v>
      </c>
      <c r="AP34" s="65">
        <f t="shared" si="15"/>
        <v>0</v>
      </c>
      <c r="AQ34" s="65"/>
      <c r="AR34" s="51"/>
      <c r="AS34" s="65"/>
      <c r="AT34" s="65">
        <f t="shared" si="16"/>
        <v>0</v>
      </c>
      <c r="AU34" s="20">
        <f t="shared" si="17"/>
        <v>0</v>
      </c>
      <c r="AV34" s="65">
        <f t="shared" si="18"/>
        <v>0</v>
      </c>
      <c r="AW34" s="65"/>
      <c r="AX34" s="51"/>
      <c r="AY34" s="65"/>
      <c r="AZ34" s="65">
        <f t="shared" si="19"/>
        <v>0</v>
      </c>
      <c r="BA34" s="20">
        <f t="shared" si="20"/>
        <v>0</v>
      </c>
      <c r="BB34" s="65">
        <f t="shared" si="21"/>
        <v>0</v>
      </c>
      <c r="BC34" s="65"/>
      <c r="BD34" s="51"/>
      <c r="BE34" s="51"/>
      <c r="BF34" s="51">
        <f t="shared" si="22"/>
        <v>0</v>
      </c>
      <c r="BG34" s="33">
        <f t="shared" si="23"/>
        <v>0</v>
      </c>
      <c r="BH34" s="65">
        <f t="shared" si="24"/>
        <v>0</v>
      </c>
      <c r="BI34" s="65"/>
      <c r="BJ34" s="51"/>
      <c r="BK34" s="33"/>
      <c r="BL34" s="33">
        <f t="shared" si="25"/>
        <v>0</v>
      </c>
      <c r="BM34" s="33">
        <f t="shared" si="26"/>
        <v>0</v>
      </c>
      <c r="BN34" s="65">
        <f t="shared" si="27"/>
        <v>0</v>
      </c>
      <c r="BO34" s="65"/>
      <c r="BP34" s="51"/>
      <c r="BQ34" s="51"/>
      <c r="BR34" s="51">
        <f t="shared" si="28"/>
        <v>0</v>
      </c>
      <c r="BS34" s="33">
        <f t="shared" si="29"/>
        <v>0</v>
      </c>
      <c r="BT34" s="65">
        <f t="shared" si="30"/>
        <v>0</v>
      </c>
      <c r="BU34" s="65"/>
      <c r="BV34" s="51"/>
      <c r="BW34" s="51"/>
      <c r="BX34" s="51">
        <f t="shared" si="31"/>
        <v>0</v>
      </c>
      <c r="BY34" s="33">
        <f t="shared" si="32"/>
        <v>0</v>
      </c>
      <c r="BZ34" s="65">
        <f t="shared" si="33"/>
        <v>0</v>
      </c>
      <c r="CA34" s="65"/>
      <c r="CB34" s="51"/>
      <c r="CC34" s="51"/>
      <c r="CD34" s="51">
        <f t="shared" si="34"/>
        <v>0</v>
      </c>
      <c r="CE34" s="33">
        <f t="shared" si="35"/>
        <v>0</v>
      </c>
      <c r="CF34" s="65">
        <f t="shared" si="36"/>
        <v>0</v>
      </c>
      <c r="CG34" s="65"/>
      <c r="CH34" s="51"/>
      <c r="CI34" s="51"/>
      <c r="CJ34" s="51">
        <f t="shared" si="37"/>
        <v>0</v>
      </c>
      <c r="CK34" s="33">
        <f t="shared" si="38"/>
        <v>0</v>
      </c>
      <c r="CL34" s="65">
        <f t="shared" si="39"/>
        <v>0</v>
      </c>
      <c r="CM34" s="65"/>
      <c r="CN34" s="51"/>
      <c r="CO34" s="51"/>
      <c r="CP34" s="51">
        <f t="shared" si="40"/>
        <v>0</v>
      </c>
      <c r="CQ34" s="33">
        <f t="shared" si="41"/>
        <v>0</v>
      </c>
      <c r="CR34" s="65">
        <f t="shared" si="42"/>
        <v>0</v>
      </c>
      <c r="CS34" s="65"/>
      <c r="CT34" s="51"/>
      <c r="CU34" s="33"/>
      <c r="CV34" s="33">
        <f t="shared" si="43"/>
        <v>0</v>
      </c>
      <c r="CW34" s="33">
        <f t="shared" si="44"/>
        <v>0</v>
      </c>
      <c r="CX34" s="65">
        <f t="shared" si="45"/>
        <v>0</v>
      </c>
      <c r="CY34" s="65"/>
      <c r="CZ34" s="51"/>
      <c r="DA34" s="51"/>
      <c r="DB34" s="51">
        <f t="shared" si="46"/>
        <v>0</v>
      </c>
      <c r="DC34" s="33">
        <f t="shared" si="47"/>
        <v>0</v>
      </c>
      <c r="DD34" s="65">
        <f t="shared" si="48"/>
        <v>0</v>
      </c>
      <c r="DE34" s="65"/>
      <c r="DF34" s="51"/>
      <c r="DG34" s="51"/>
      <c r="DH34" s="51">
        <f t="shared" si="49"/>
        <v>0</v>
      </c>
      <c r="DI34" s="33">
        <f t="shared" si="50"/>
        <v>0</v>
      </c>
      <c r="DJ34" s="65">
        <f t="shared" si="51"/>
        <v>0</v>
      </c>
      <c r="DK34" s="65"/>
      <c r="DL34" s="51"/>
      <c r="DM34" s="51"/>
      <c r="DN34" s="51">
        <f t="shared" si="52"/>
        <v>0</v>
      </c>
      <c r="DO34" s="33">
        <f t="shared" si="53"/>
        <v>0</v>
      </c>
      <c r="DP34" s="65">
        <f t="shared" si="54"/>
        <v>0</v>
      </c>
      <c r="DQ34" s="65"/>
      <c r="DR34" s="51"/>
      <c r="DS34" s="51"/>
      <c r="DT34" s="51">
        <f t="shared" si="55"/>
        <v>0</v>
      </c>
      <c r="DU34" s="33">
        <f t="shared" si="56"/>
        <v>0</v>
      </c>
      <c r="DV34" s="65">
        <f t="shared" si="57"/>
        <v>0</v>
      </c>
      <c r="DW34" s="65"/>
      <c r="DX34" s="51"/>
      <c r="DY34" s="51"/>
      <c r="DZ34" s="51">
        <f t="shared" si="58"/>
        <v>0</v>
      </c>
      <c r="EA34" s="33">
        <f t="shared" si="59"/>
        <v>0</v>
      </c>
      <c r="EB34" s="65">
        <f t="shared" si="60"/>
        <v>0</v>
      </c>
      <c r="EC34" s="65"/>
      <c r="ED34" s="51"/>
      <c r="EE34" s="51"/>
      <c r="EF34" s="51">
        <f t="shared" si="61"/>
        <v>0</v>
      </c>
      <c r="EG34" s="33">
        <f t="shared" si="62"/>
        <v>0</v>
      </c>
      <c r="EH34" s="65">
        <f t="shared" si="63"/>
        <v>0</v>
      </c>
      <c r="EI34" s="65"/>
      <c r="EJ34" s="51"/>
      <c r="EK34" s="51"/>
      <c r="EL34" s="51">
        <f t="shared" si="64"/>
        <v>0</v>
      </c>
      <c r="EM34" s="33">
        <f t="shared" si="65"/>
        <v>0</v>
      </c>
      <c r="EN34" s="65">
        <f t="shared" si="66"/>
        <v>0</v>
      </c>
      <c r="EO34" s="65"/>
      <c r="EP34" s="51"/>
      <c r="EQ34" s="51"/>
      <c r="ER34" s="51">
        <f t="shared" si="67"/>
        <v>0</v>
      </c>
      <c r="ES34" s="33">
        <f t="shared" si="68"/>
        <v>0</v>
      </c>
      <c r="ET34" s="65">
        <f t="shared" si="69"/>
        <v>0</v>
      </c>
      <c r="EU34" s="65"/>
      <c r="EV34" s="51"/>
      <c r="EW34" s="51"/>
      <c r="EX34" s="51">
        <f t="shared" si="70"/>
        <v>0</v>
      </c>
      <c r="EY34" s="33">
        <f t="shared" si="71"/>
        <v>0</v>
      </c>
      <c r="EZ34" s="65">
        <f t="shared" si="72"/>
        <v>0</v>
      </c>
      <c r="FA34" s="65"/>
      <c r="FB34" s="33"/>
      <c r="FC34" s="33"/>
      <c r="FD34" s="33">
        <f t="shared" si="73"/>
        <v>0</v>
      </c>
      <c r="FE34" s="33">
        <f t="shared" si="74"/>
        <v>0</v>
      </c>
      <c r="FF34" s="65">
        <f t="shared" si="75"/>
        <v>0</v>
      </c>
      <c r="FG34" s="65"/>
      <c r="FH34" s="51"/>
      <c r="FI34" s="51"/>
      <c r="FJ34" s="51">
        <f t="shared" si="76"/>
        <v>0</v>
      </c>
      <c r="FK34" s="33">
        <f t="shared" si="77"/>
        <v>0</v>
      </c>
      <c r="FL34" s="65">
        <f t="shared" si="78"/>
        <v>0</v>
      </c>
      <c r="FM34" s="65"/>
      <c r="FN34" s="51"/>
      <c r="FO34" s="33"/>
      <c r="FP34" s="33"/>
      <c r="FQ34" s="33"/>
    </row>
    <row r="35" spans="1:173" s="53" customFormat="1" ht="12.75">
      <c r="A35" s="52">
        <v>47209</v>
      </c>
      <c r="C35" s="35"/>
      <c r="D35" s="35"/>
      <c r="E35" s="35">
        <f t="shared" si="0"/>
        <v>0</v>
      </c>
      <c r="F35" s="35"/>
      <c r="G35" s="35"/>
      <c r="H35" s="51"/>
      <c r="I35" s="51"/>
      <c r="J35" s="51"/>
      <c r="K35" s="51">
        <f t="shared" si="79"/>
        <v>0</v>
      </c>
      <c r="L35" s="51"/>
      <c r="M35" s="35"/>
      <c r="N35" s="51"/>
      <c r="O35" s="51">
        <f>U35+AA35+AG35+AM35+AS35+AY35+BE35+BK35+BQ35+CC35+CO35+CU35+DA35+DG35+DM35+EK35+EQ35+EW35+FC35+FI35+FO35+BW35+CI35+DS35+DY35+EE35</f>
        <v>0</v>
      </c>
      <c r="P35" s="41">
        <f t="shared" si="1"/>
        <v>0</v>
      </c>
      <c r="Q35" s="33">
        <f t="shared" si="2"/>
        <v>0</v>
      </c>
      <c r="R35" s="41">
        <f t="shared" si="3"/>
        <v>0</v>
      </c>
      <c r="S35" s="35"/>
      <c r="T35" s="51"/>
      <c r="U35" s="65">
        <f t="shared" si="80"/>
        <v>0</v>
      </c>
      <c r="V35" s="65">
        <f t="shared" si="4"/>
        <v>0</v>
      </c>
      <c r="W35" s="20">
        <f t="shared" si="5"/>
        <v>0</v>
      </c>
      <c r="X35" s="65">
        <f t="shared" si="6"/>
        <v>0</v>
      </c>
      <c r="Y35" s="65"/>
      <c r="Z35" s="51"/>
      <c r="AA35" s="65">
        <f t="shared" si="81"/>
        <v>0</v>
      </c>
      <c r="AB35" s="65">
        <f t="shared" si="7"/>
        <v>0</v>
      </c>
      <c r="AC35" s="20">
        <f t="shared" si="8"/>
        <v>0</v>
      </c>
      <c r="AD35" s="65">
        <f t="shared" si="9"/>
        <v>0</v>
      </c>
      <c r="AE35" s="65"/>
      <c r="AF35" s="51"/>
      <c r="AG35" s="33">
        <f t="shared" si="82"/>
        <v>0</v>
      </c>
      <c r="AH35" s="33">
        <f t="shared" si="10"/>
        <v>0</v>
      </c>
      <c r="AI35" s="33">
        <f t="shared" si="11"/>
        <v>0</v>
      </c>
      <c r="AJ35" s="65">
        <f t="shared" si="12"/>
        <v>0</v>
      </c>
      <c r="AK35" s="65"/>
      <c r="AL35" s="51"/>
      <c r="AM35" s="65">
        <f t="shared" si="83"/>
        <v>0</v>
      </c>
      <c r="AN35" s="65">
        <f t="shared" si="13"/>
        <v>0</v>
      </c>
      <c r="AO35" s="20">
        <f t="shared" si="14"/>
        <v>0</v>
      </c>
      <c r="AP35" s="65">
        <f t="shared" si="15"/>
        <v>0</v>
      </c>
      <c r="AQ35" s="65"/>
      <c r="AR35" s="51"/>
      <c r="AS35" s="65">
        <f t="shared" si="84"/>
        <v>0</v>
      </c>
      <c r="AT35" s="65">
        <f t="shared" si="16"/>
        <v>0</v>
      </c>
      <c r="AU35" s="20">
        <f t="shared" si="17"/>
        <v>0</v>
      </c>
      <c r="AV35" s="65">
        <f t="shared" si="18"/>
        <v>0</v>
      </c>
      <c r="AW35" s="65"/>
      <c r="AX35" s="51"/>
      <c r="AY35" s="65">
        <f t="shared" si="85"/>
        <v>0</v>
      </c>
      <c r="AZ35" s="65">
        <f t="shared" si="19"/>
        <v>0</v>
      </c>
      <c r="BA35" s="20">
        <f t="shared" si="20"/>
        <v>0</v>
      </c>
      <c r="BB35" s="65">
        <f t="shared" si="21"/>
        <v>0</v>
      </c>
      <c r="BC35" s="65"/>
      <c r="BD35" s="51"/>
      <c r="BE35" s="51">
        <f t="shared" si="86"/>
        <v>0</v>
      </c>
      <c r="BF35" s="51">
        <f t="shared" si="22"/>
        <v>0</v>
      </c>
      <c r="BG35" s="33">
        <f t="shared" si="23"/>
        <v>0</v>
      </c>
      <c r="BH35" s="65">
        <f t="shared" si="24"/>
        <v>0</v>
      </c>
      <c r="BI35" s="65"/>
      <c r="BJ35" s="51"/>
      <c r="BK35" s="33">
        <f t="shared" si="87"/>
        <v>0</v>
      </c>
      <c r="BL35" s="33">
        <f t="shared" si="25"/>
        <v>0</v>
      </c>
      <c r="BM35" s="33">
        <f t="shared" si="26"/>
        <v>0</v>
      </c>
      <c r="BN35" s="65">
        <f t="shared" si="27"/>
        <v>0</v>
      </c>
      <c r="BO35" s="65"/>
      <c r="BP35" s="51"/>
      <c r="BQ35" s="51">
        <f t="shared" si="88"/>
        <v>0</v>
      </c>
      <c r="BR35" s="51">
        <f t="shared" si="28"/>
        <v>0</v>
      </c>
      <c r="BS35" s="33">
        <f t="shared" si="29"/>
        <v>0</v>
      </c>
      <c r="BT35" s="65">
        <f t="shared" si="30"/>
        <v>0</v>
      </c>
      <c r="BU35" s="65"/>
      <c r="BV35" s="51"/>
      <c r="BW35" s="51">
        <f t="shared" si="89"/>
        <v>0</v>
      </c>
      <c r="BX35" s="51">
        <f t="shared" si="31"/>
        <v>0</v>
      </c>
      <c r="BY35" s="33">
        <f t="shared" si="32"/>
        <v>0</v>
      </c>
      <c r="BZ35" s="65">
        <f t="shared" si="33"/>
        <v>0</v>
      </c>
      <c r="CA35" s="65"/>
      <c r="CB35" s="51"/>
      <c r="CC35" s="51">
        <f t="shared" si="90"/>
        <v>0</v>
      </c>
      <c r="CD35" s="51">
        <f t="shared" si="34"/>
        <v>0</v>
      </c>
      <c r="CE35" s="33">
        <f t="shared" si="35"/>
        <v>0</v>
      </c>
      <c r="CF35" s="65">
        <f t="shared" si="36"/>
        <v>0</v>
      </c>
      <c r="CG35" s="65"/>
      <c r="CH35" s="51"/>
      <c r="CI35" s="51">
        <f t="shared" si="91"/>
        <v>0</v>
      </c>
      <c r="CJ35" s="51">
        <f t="shared" si="37"/>
        <v>0</v>
      </c>
      <c r="CK35" s="33">
        <f t="shared" si="38"/>
        <v>0</v>
      </c>
      <c r="CL35" s="65">
        <f t="shared" si="39"/>
        <v>0</v>
      </c>
      <c r="CM35" s="65"/>
      <c r="CN35" s="51"/>
      <c r="CO35" s="51">
        <f t="shared" si="92"/>
        <v>0</v>
      </c>
      <c r="CP35" s="51">
        <f t="shared" si="40"/>
        <v>0</v>
      </c>
      <c r="CQ35" s="33">
        <f t="shared" si="41"/>
        <v>0</v>
      </c>
      <c r="CR35" s="65">
        <f t="shared" si="42"/>
        <v>0</v>
      </c>
      <c r="CS35" s="65"/>
      <c r="CT35" s="51"/>
      <c r="CU35" s="33">
        <f t="shared" si="93"/>
        <v>0</v>
      </c>
      <c r="CV35" s="33">
        <f t="shared" si="43"/>
        <v>0</v>
      </c>
      <c r="CW35" s="33">
        <f t="shared" si="44"/>
        <v>0</v>
      </c>
      <c r="CX35" s="65">
        <f t="shared" si="45"/>
        <v>0</v>
      </c>
      <c r="CY35" s="65"/>
      <c r="CZ35" s="51"/>
      <c r="DA35" s="51">
        <f t="shared" si="94"/>
        <v>0</v>
      </c>
      <c r="DB35" s="51">
        <f t="shared" si="46"/>
        <v>0</v>
      </c>
      <c r="DC35" s="33">
        <f t="shared" si="47"/>
        <v>0</v>
      </c>
      <c r="DD35" s="65">
        <f t="shared" si="48"/>
        <v>0</v>
      </c>
      <c r="DE35" s="65"/>
      <c r="DF35" s="51"/>
      <c r="DG35" s="51">
        <f t="shared" si="95"/>
        <v>0</v>
      </c>
      <c r="DH35" s="51">
        <f t="shared" si="49"/>
        <v>0</v>
      </c>
      <c r="DI35" s="33">
        <f t="shared" si="50"/>
        <v>0</v>
      </c>
      <c r="DJ35" s="65">
        <f t="shared" si="51"/>
        <v>0</v>
      </c>
      <c r="DK35" s="65"/>
      <c r="DL35" s="51"/>
      <c r="DM35" s="51">
        <f t="shared" si="96"/>
        <v>0</v>
      </c>
      <c r="DN35" s="51">
        <f t="shared" si="52"/>
        <v>0</v>
      </c>
      <c r="DO35" s="33">
        <f t="shared" si="53"/>
        <v>0</v>
      </c>
      <c r="DP35" s="65">
        <f t="shared" si="54"/>
        <v>0</v>
      </c>
      <c r="DQ35" s="65"/>
      <c r="DR35" s="51"/>
      <c r="DS35" s="51">
        <f t="shared" si="97"/>
        <v>0</v>
      </c>
      <c r="DT35" s="51">
        <f t="shared" si="55"/>
        <v>0</v>
      </c>
      <c r="DU35" s="33">
        <f t="shared" si="56"/>
        <v>0</v>
      </c>
      <c r="DV35" s="65">
        <f t="shared" si="57"/>
        <v>0</v>
      </c>
      <c r="DW35" s="65"/>
      <c r="DX35" s="51"/>
      <c r="DY35" s="51">
        <f t="shared" si="98"/>
        <v>0</v>
      </c>
      <c r="DZ35" s="51">
        <f t="shared" si="58"/>
        <v>0</v>
      </c>
      <c r="EA35" s="33">
        <f t="shared" si="59"/>
        <v>0</v>
      </c>
      <c r="EB35" s="65">
        <f t="shared" si="60"/>
        <v>0</v>
      </c>
      <c r="EC35" s="65"/>
      <c r="ED35" s="51"/>
      <c r="EE35" s="51">
        <f t="shared" si="99"/>
        <v>0</v>
      </c>
      <c r="EF35" s="51">
        <f t="shared" si="61"/>
        <v>0</v>
      </c>
      <c r="EG35" s="33">
        <f t="shared" si="62"/>
        <v>0</v>
      </c>
      <c r="EH35" s="65">
        <f t="shared" si="63"/>
        <v>0</v>
      </c>
      <c r="EI35" s="65"/>
      <c r="EJ35" s="51"/>
      <c r="EK35" s="51">
        <f t="shared" si="100"/>
        <v>0</v>
      </c>
      <c r="EL35" s="51">
        <f t="shared" si="64"/>
        <v>0</v>
      </c>
      <c r="EM35" s="33">
        <f t="shared" si="65"/>
        <v>0</v>
      </c>
      <c r="EN35" s="65">
        <f t="shared" si="66"/>
        <v>0</v>
      </c>
      <c r="EO35" s="65"/>
      <c r="EP35" s="51"/>
      <c r="EQ35" s="51">
        <f t="shared" si="101"/>
        <v>0</v>
      </c>
      <c r="ER35" s="51">
        <f t="shared" si="67"/>
        <v>0</v>
      </c>
      <c r="ES35" s="33">
        <f t="shared" si="68"/>
        <v>0</v>
      </c>
      <c r="ET35" s="65">
        <f t="shared" si="69"/>
        <v>0</v>
      </c>
      <c r="EU35" s="65"/>
      <c r="EV35" s="51"/>
      <c r="EW35" s="51">
        <f t="shared" si="102"/>
        <v>0</v>
      </c>
      <c r="EX35" s="51">
        <f t="shared" si="70"/>
        <v>0</v>
      </c>
      <c r="EY35" s="33">
        <f t="shared" si="71"/>
        <v>0</v>
      </c>
      <c r="EZ35" s="65">
        <f t="shared" si="72"/>
        <v>0</v>
      </c>
      <c r="FA35" s="65"/>
      <c r="FB35" s="33"/>
      <c r="FC35" s="33">
        <f t="shared" si="103"/>
        <v>0</v>
      </c>
      <c r="FD35" s="33">
        <f t="shared" si="73"/>
        <v>0</v>
      </c>
      <c r="FE35" s="33">
        <f t="shared" si="74"/>
        <v>0</v>
      </c>
      <c r="FF35" s="65">
        <f t="shared" si="75"/>
        <v>0</v>
      </c>
      <c r="FG35" s="65"/>
      <c r="FH35" s="51"/>
      <c r="FI35" s="51">
        <f t="shared" si="104"/>
        <v>0</v>
      </c>
      <c r="FJ35" s="51">
        <f t="shared" si="76"/>
        <v>0</v>
      </c>
      <c r="FK35" s="33">
        <f t="shared" si="77"/>
        <v>0</v>
      </c>
      <c r="FL35" s="65">
        <f t="shared" si="78"/>
        <v>0</v>
      </c>
      <c r="FM35" s="65"/>
      <c r="FN35" s="51"/>
      <c r="FO35" s="33"/>
      <c r="FP35" s="33"/>
      <c r="FQ35" s="33"/>
    </row>
    <row r="36" spans="3:173" ht="12.75">
      <c r="C36" s="41"/>
      <c r="D36" s="41"/>
      <c r="E36" s="41"/>
      <c r="F36" s="41"/>
      <c r="G36" s="41"/>
      <c r="M36" s="41"/>
      <c r="S36" s="41"/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J36" s="20"/>
      <c r="AK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X36" s="33"/>
      <c r="AY36" s="20"/>
      <c r="AZ36" s="20"/>
      <c r="BA36" s="20"/>
      <c r="BB36" s="20"/>
      <c r="BC36" s="20"/>
      <c r="BD36" s="33"/>
      <c r="BE36" s="33"/>
      <c r="BF36" s="33"/>
      <c r="BG36" s="33"/>
      <c r="BJ36" s="33"/>
      <c r="BK36" s="33"/>
      <c r="BL36" s="33"/>
      <c r="BM36" s="33"/>
      <c r="BP36" s="33"/>
      <c r="BQ36" s="33"/>
      <c r="BR36" s="33"/>
      <c r="BS36" s="33"/>
      <c r="BV36" s="33"/>
      <c r="BW36" s="33"/>
      <c r="BX36" s="33"/>
      <c r="BY36" s="33"/>
      <c r="CB36" s="33"/>
      <c r="CC36" s="33"/>
      <c r="CD36" s="33"/>
      <c r="CE36" s="33"/>
      <c r="CH36" s="33"/>
      <c r="CI36" s="33"/>
      <c r="CJ36" s="33"/>
      <c r="CK36" s="33"/>
      <c r="CN36" s="33"/>
      <c r="CO36" s="33"/>
      <c r="CP36" s="33"/>
      <c r="CQ36" s="33"/>
      <c r="CT36" s="33"/>
      <c r="CU36" s="33"/>
      <c r="CV36" s="33"/>
      <c r="CW36" s="33"/>
      <c r="CZ36" s="33"/>
      <c r="DA36" s="33"/>
      <c r="DB36" s="33"/>
      <c r="DC36" s="33"/>
      <c r="DF36" s="33"/>
      <c r="DG36" s="33"/>
      <c r="DH36" s="33"/>
      <c r="DI36" s="33"/>
      <c r="DL36" s="33"/>
      <c r="DM36" s="33"/>
      <c r="DN36" s="33"/>
      <c r="DO36" s="33"/>
      <c r="DR36" s="33"/>
      <c r="DS36" s="33"/>
      <c r="DT36" s="33"/>
      <c r="DU36" s="33"/>
      <c r="DX36" s="33"/>
      <c r="DY36" s="33"/>
      <c r="DZ36" s="33"/>
      <c r="EA36" s="33"/>
      <c r="ED36" s="33"/>
      <c r="EE36" s="33"/>
      <c r="EF36" s="33"/>
      <c r="EG36" s="33"/>
      <c r="EJ36" s="33"/>
      <c r="EK36" s="33"/>
      <c r="EL36" s="33"/>
      <c r="EM36" s="33"/>
      <c r="EP36" s="33"/>
      <c r="EQ36" s="33"/>
      <c r="ER36" s="33"/>
      <c r="ES36" s="33"/>
      <c r="EV36" s="33"/>
      <c r="EW36" s="33"/>
      <c r="EX36" s="33"/>
      <c r="EY36" s="33"/>
      <c r="FB36" s="33"/>
      <c r="FC36" s="33"/>
      <c r="FD36" s="33"/>
      <c r="FE36" s="33"/>
      <c r="FH36" s="33"/>
      <c r="FI36" s="33"/>
      <c r="FJ36" s="33"/>
      <c r="FK36" s="33"/>
      <c r="FN36" s="33"/>
      <c r="FO36" s="33"/>
      <c r="FP36" s="33"/>
      <c r="FQ36" s="33"/>
    </row>
    <row r="37" spans="1:173" ht="13.5" thickBot="1">
      <c r="A37" s="31" t="s">
        <v>4</v>
      </c>
      <c r="C37" s="50">
        <f>SUM(C8:C36)</f>
        <v>10090000</v>
      </c>
      <c r="D37" s="50">
        <f>SUM(D8:D36)</f>
        <v>2329887</v>
      </c>
      <c r="E37" s="50">
        <f>SUM(E8:E36)</f>
        <v>12419887</v>
      </c>
      <c r="F37" s="50">
        <f>SUM(F8:F36)</f>
        <v>2010219</v>
      </c>
      <c r="G37" s="50">
        <f>SUM(G8:G36)</f>
        <v>1083852</v>
      </c>
      <c r="I37" s="50">
        <f>SUM(I8:I36)</f>
        <v>3244474.8149999995</v>
      </c>
      <c r="J37" s="50">
        <f>SUM(J8:J36)</f>
        <v>749183.3194545</v>
      </c>
      <c r="K37" s="50">
        <f>SUM(K8:K36)</f>
        <v>3993658.1344545</v>
      </c>
      <c r="L37" s="50">
        <f>SUM(L8:L36)</f>
        <v>646392.9552165002</v>
      </c>
      <c r="M37" s="50">
        <f>SUM(M8:M36)</f>
        <v>348516.40408199996</v>
      </c>
      <c r="O37" s="50">
        <f>SUM(O8:O36)</f>
        <v>6845525.1850000005</v>
      </c>
      <c r="P37" s="50">
        <f>SUM(P8:P36)</f>
        <v>1580703.6805455002</v>
      </c>
      <c r="Q37" s="50">
        <f>SUM(Q8:Q36)</f>
        <v>8426228.8655455</v>
      </c>
      <c r="R37" s="50">
        <f>SUM(R8:R36)</f>
        <v>1363826.0447835003</v>
      </c>
      <c r="S37" s="50">
        <f>SUM(S8:S36)</f>
        <v>735335.5959180002</v>
      </c>
      <c r="U37" s="50">
        <f>SUM(U8:U36)</f>
        <v>555116.4850000001</v>
      </c>
      <c r="V37" s="50">
        <f>SUM(V8:V36)</f>
        <v>128182.22813549996</v>
      </c>
      <c r="W37" s="50">
        <f>SUM(W8:W36)</f>
        <v>683298.7131355</v>
      </c>
      <c r="X37" s="50">
        <f>SUM(X8:X36)</f>
        <v>110595.21361349999</v>
      </c>
      <c r="Y37" s="50">
        <f>SUM(Y8:Y36)</f>
        <v>59629.743557999995</v>
      </c>
      <c r="AA37" s="50">
        <f>SUM(AA8:AA36)</f>
        <v>677677.6969999999</v>
      </c>
      <c r="AB37" s="50">
        <f>SUM(AB8:AB36)</f>
        <v>156482.89954709995</v>
      </c>
      <c r="AC37" s="50">
        <f>SUM(AC8:AC36)</f>
        <v>834160.5965471</v>
      </c>
      <c r="AD37" s="50">
        <f>SUM(AD8:AD36)</f>
        <v>135012.94176269998</v>
      </c>
      <c r="AE37" s="50">
        <f>SUM(AE8:AE36)</f>
        <v>72795.0770316</v>
      </c>
      <c r="AG37" s="50">
        <f>SUM(AG8:AG36)</f>
        <v>2481.1310000000003</v>
      </c>
      <c r="AH37" s="50">
        <f>SUM(AH8:AH36)</f>
        <v>572.9192133000001</v>
      </c>
      <c r="AI37" s="50">
        <f>SUM(AI8:AI36)</f>
        <v>3054.0502133000005</v>
      </c>
      <c r="AJ37" s="50">
        <f>SUM(AJ8:AJ36)</f>
        <v>494.3128521</v>
      </c>
      <c r="AK37" s="50">
        <f>SUM(AK8:AK36)</f>
        <v>266.51920680000006</v>
      </c>
      <c r="AM37" s="50">
        <f>SUM(AM8:AM36)</f>
        <v>146467.44900000002</v>
      </c>
      <c r="AN37" s="50">
        <f>SUM(AN8:AN36)</f>
        <v>33820.87268070001</v>
      </c>
      <c r="AO37" s="50">
        <f>SUM(AO8:AO36)</f>
        <v>180288.32168070003</v>
      </c>
      <c r="AP37" s="50">
        <f>SUM(AP8:AP36)</f>
        <v>29180.540025899998</v>
      </c>
      <c r="AQ37" s="50">
        <f>SUM(AQ8:AQ36)</f>
        <v>15733.304017199998</v>
      </c>
      <c r="AS37" s="50">
        <f>SUM(AS8:AS36)</f>
        <v>673936.3250000001</v>
      </c>
      <c r="AT37" s="50">
        <f>SUM(AT8:AT36)</f>
        <v>155618.97744750004</v>
      </c>
      <c r="AU37" s="50">
        <f>SUM(AU8:AU36)</f>
        <v>829555.3024475002</v>
      </c>
      <c r="AV37" s="50">
        <f>SUM(AV8:AV36)</f>
        <v>134267.55255749996</v>
      </c>
      <c r="AW37" s="50">
        <f>SUM(AW8:AW36)</f>
        <v>72393.18471</v>
      </c>
      <c r="AX37" s="33"/>
      <c r="AY37" s="50">
        <f>SUM(AY8:AY36)</f>
        <v>106243.664</v>
      </c>
      <c r="AZ37" s="50">
        <f>SUM(AZ8:AZ36)</f>
        <v>24532.778155199994</v>
      </c>
      <c r="BA37" s="50">
        <f>SUM(BA8:BA36)</f>
        <v>130776.4421552</v>
      </c>
      <c r="BB37" s="50">
        <f>SUM(BB8:BB36)</f>
        <v>21166.8019824</v>
      </c>
      <c r="BC37" s="50">
        <f>SUM(BC8:BC36)</f>
        <v>11412.5280192</v>
      </c>
      <c r="BD37" s="33"/>
      <c r="BE37" s="50">
        <f>SUM(BE8:BE36)</f>
        <v>5901.641</v>
      </c>
      <c r="BF37" s="50">
        <f>SUM(BF8:BF36)</f>
        <v>1362.7509062999998</v>
      </c>
      <c r="BG37" s="50">
        <f>SUM(BG8:BG36)</f>
        <v>7264.391906299999</v>
      </c>
      <c r="BH37" s="50">
        <f>SUM(BH8:BH36)</f>
        <v>1175.7770931</v>
      </c>
      <c r="BI37" s="50">
        <f>SUM(BI8:BI36)</f>
        <v>633.9450348</v>
      </c>
      <c r="BJ37" s="33"/>
      <c r="BK37" s="50">
        <f>SUM(BK8:BK36)</f>
        <v>67979.357</v>
      </c>
      <c r="BL37" s="50">
        <f>SUM(BL8:BL36)</f>
        <v>15697.147685100002</v>
      </c>
      <c r="BM37" s="50">
        <f>SUM(BM8:BM36)</f>
        <v>83676.50468510001</v>
      </c>
      <c r="BN37" s="50">
        <f>SUM(BN8:BN36)</f>
        <v>13543.448468699999</v>
      </c>
      <c r="BO37" s="50">
        <f>SUM(BO8:BO36)</f>
        <v>7302.236079600002</v>
      </c>
      <c r="BP37" s="33"/>
      <c r="BQ37" s="50">
        <f>SUM(BQ8:BQ36)</f>
        <v>95033.674</v>
      </c>
      <c r="BR37" s="50">
        <f>SUM(BR8:BR36)</f>
        <v>21944.2736982</v>
      </c>
      <c r="BS37" s="50">
        <f>SUM(BS8:BS36)</f>
        <v>116977.94769819999</v>
      </c>
      <c r="BT37" s="50">
        <f>SUM(BT8:BT36)</f>
        <v>18933.448673399995</v>
      </c>
      <c r="BU37" s="50">
        <f>SUM(BU8:BU36)</f>
        <v>10208.368447199999</v>
      </c>
      <c r="BV37" s="33"/>
      <c r="BW37" s="50">
        <f>SUM(BW8:BW36)</f>
        <v>13294.583999999999</v>
      </c>
      <c r="BX37" s="50">
        <f>SUM(BX8:BX36)</f>
        <v>3069.8591111999995</v>
      </c>
      <c r="BY37" s="50">
        <f>SUM(BY8:BY36)</f>
        <v>16364.443111199998</v>
      </c>
      <c r="BZ37" s="50">
        <f>SUM(BZ8:BZ36)</f>
        <v>2648.6645544000003</v>
      </c>
      <c r="CA37" s="50">
        <f>SUM(CA8:CA36)</f>
        <v>1428.0833952000003</v>
      </c>
      <c r="CB37" s="33"/>
      <c r="CC37" s="50">
        <f>SUM(CC8:CC36)</f>
        <v>69064.032</v>
      </c>
      <c r="CD37" s="50">
        <f>SUM(CD8:CD36)</f>
        <v>15947.610537600001</v>
      </c>
      <c r="CE37" s="50">
        <f>SUM(CE8:CE36)</f>
        <v>85011.64253760001</v>
      </c>
      <c r="CF37" s="50">
        <f>SUM(CF8:CF36)</f>
        <v>13759.547011200004</v>
      </c>
      <c r="CG37" s="50">
        <f>SUM(CG8:CG36)</f>
        <v>7418.7501696</v>
      </c>
      <c r="CH37" s="33"/>
      <c r="CI37" s="50">
        <f>SUM(CI8:CI36)</f>
        <v>3925.01</v>
      </c>
      <c r="CJ37" s="50">
        <f>SUM(CJ8:CJ36)</f>
        <v>906.3260430000001</v>
      </c>
      <c r="CK37" s="50">
        <f>SUM(CK8:CK36)</f>
        <v>4831.336043</v>
      </c>
      <c r="CL37" s="50">
        <f>SUM(CL8:CL36)</f>
        <v>781.9751909999998</v>
      </c>
      <c r="CM37" s="50">
        <f>SUM(CM8:CM36)</f>
        <v>421.61842799999994</v>
      </c>
      <c r="CN37" s="33"/>
      <c r="CO37" s="50">
        <f>SUM(CO8:CO36)</f>
        <v>13872.741000000002</v>
      </c>
      <c r="CP37" s="50">
        <f>SUM(CP8:CP36)</f>
        <v>3203.3616363</v>
      </c>
      <c r="CQ37" s="50">
        <f>SUM(CQ8:CQ36)</f>
        <v>17076.102636300002</v>
      </c>
      <c r="CR37" s="50">
        <f>SUM(CR8:CR36)</f>
        <v>2763.8501031000005</v>
      </c>
      <c r="CS37" s="50">
        <f>SUM(CS8:CS36)</f>
        <v>1490.1881148000002</v>
      </c>
      <c r="CT37" s="33"/>
      <c r="CU37" s="50">
        <f>SUM(CU8:CU36)</f>
        <v>50426.793</v>
      </c>
      <c r="CV37" s="50">
        <f>SUM(CV8:CV36)</f>
        <v>11644.076259899999</v>
      </c>
      <c r="CW37" s="50">
        <f>SUM(CW8:CW36)</f>
        <v>62070.869259900006</v>
      </c>
      <c r="CX37" s="50">
        <f>SUM(CX8:CX36)</f>
        <v>10046.471496300002</v>
      </c>
      <c r="CY37" s="50">
        <f>SUM(CY8:CY36)</f>
        <v>5416.7671404</v>
      </c>
      <c r="CZ37" s="33"/>
      <c r="DA37" s="50">
        <f>SUM(DA8:DA36)</f>
        <v>344367.66400000005</v>
      </c>
      <c r="DB37" s="50">
        <f>SUM(DB8:DB36)</f>
        <v>79518.1113552</v>
      </c>
      <c r="DC37" s="50">
        <f>SUM(DC8:DC36)</f>
        <v>423885.77535520005</v>
      </c>
      <c r="DD37" s="50">
        <f>SUM(DD8:DD36)</f>
        <v>68607.97038240002</v>
      </c>
      <c r="DE37" s="50">
        <f>SUM(DE8:DE36)</f>
        <v>36991.4352192</v>
      </c>
      <c r="DF37" s="33"/>
      <c r="DG37" s="50">
        <f>SUM(DG8:DG36)</f>
        <v>1425223.599</v>
      </c>
      <c r="DH37" s="50">
        <f>SUM(DH8:DH36)</f>
        <v>329099.1016257</v>
      </c>
      <c r="DI37" s="50">
        <f>SUM(DI8:DI36)</f>
        <v>1754322.7006257</v>
      </c>
      <c r="DJ37" s="50">
        <f>SUM(DJ8:DJ36)</f>
        <v>283945.64499090007</v>
      </c>
      <c r="DK37" s="50">
        <f>SUM(DK8:DK36)</f>
        <v>153095.28723719998</v>
      </c>
      <c r="DL37" s="33"/>
      <c r="DM37" s="50">
        <f>SUM(DM8:DM36)</f>
        <v>262005.01200000002</v>
      </c>
      <c r="DN37" s="50">
        <f>SUM(DN8:DN36)</f>
        <v>60499.70975160001</v>
      </c>
      <c r="DO37" s="50">
        <f>SUM(DO8:DO36)</f>
        <v>322504.72175160004</v>
      </c>
      <c r="DP37" s="50">
        <f>SUM(DP8:DP36)</f>
        <v>52198.95472919999</v>
      </c>
      <c r="DQ37" s="50">
        <f>SUM(DQ8:DQ36)</f>
        <v>28144.1681136</v>
      </c>
      <c r="DR37" s="33"/>
      <c r="DS37" s="50">
        <f>SUM(DS8:DS36)</f>
        <v>897020.1710000001</v>
      </c>
      <c r="DT37" s="50">
        <f>SUM(DT8:DT36)</f>
        <v>207131.3810853</v>
      </c>
      <c r="DU37" s="50">
        <f>SUM(DU8:DU36)</f>
        <v>1104151.5520853</v>
      </c>
      <c r="DV37" s="50">
        <f>SUM(DV8:DV36)</f>
        <v>178712.28851609997</v>
      </c>
      <c r="DW37" s="50">
        <f>SUM(DW8:DW36)</f>
        <v>96356.5021188</v>
      </c>
      <c r="DX37" s="33"/>
      <c r="DY37" s="50">
        <f>SUM(DY8:DY36)</f>
        <v>191250.90499999997</v>
      </c>
      <c r="DZ37" s="50">
        <f>SUM(DZ8:DZ36)</f>
        <v>44161.8431415</v>
      </c>
      <c r="EA37" s="50">
        <f>SUM(EA8:EA36)</f>
        <v>235412.7481415</v>
      </c>
      <c r="EB37" s="50">
        <f>SUM(EB8:EB36)</f>
        <v>38102.6960355</v>
      </c>
      <c r="EC37" s="50">
        <f>SUM(EC8:EC36)</f>
        <v>20543.872734</v>
      </c>
      <c r="ED37" s="33"/>
      <c r="EE37" s="50">
        <f>SUM(EE8:EE36)</f>
        <v>15580.978</v>
      </c>
      <c r="EF37" s="50">
        <f>SUM(EF8:EF36)</f>
        <v>3597.811505399999</v>
      </c>
      <c r="EG37" s="50">
        <f>SUM(EG8:EG36)</f>
        <v>19178.789505399996</v>
      </c>
      <c r="EH37" s="50">
        <f>SUM(EH8:EH36)</f>
        <v>3104.180179799999</v>
      </c>
      <c r="EI37" s="50">
        <f>SUM(EI8:EI36)</f>
        <v>1673.6842583999999</v>
      </c>
      <c r="EJ37" s="33"/>
      <c r="EK37" s="50">
        <f>SUM(EK8:EK36)</f>
        <v>18582.752999999997</v>
      </c>
      <c r="EL37" s="50">
        <f>SUM(EL8:EL36)</f>
        <v>4290.952887899999</v>
      </c>
      <c r="EM37" s="50">
        <f>SUM(EM8:EM36)</f>
        <v>22873.7058879</v>
      </c>
      <c r="EN37" s="50">
        <f>SUM(EN8:EN36)</f>
        <v>3702.2203322999985</v>
      </c>
      <c r="EO37" s="50">
        <f>SUM(EO8:EO36)</f>
        <v>1996.1302284</v>
      </c>
      <c r="EP37" s="33"/>
      <c r="EQ37" s="50">
        <f>SUM(EQ8:EQ36)</f>
        <v>37900.058</v>
      </c>
      <c r="ER37" s="50">
        <f>SUM(ER8:ER36)</f>
        <v>8751.5215494</v>
      </c>
      <c r="ES37" s="50">
        <f>SUM(ES8:ES36)</f>
        <v>46651.5795494</v>
      </c>
      <c r="ET37" s="50">
        <f>SUM(ET8:ET36)</f>
        <v>7550.7846078</v>
      </c>
      <c r="EU37" s="50">
        <f>SUM(EU8:EU36)</f>
        <v>4071.1648824</v>
      </c>
      <c r="EV37" s="33"/>
      <c r="EW37" s="50">
        <f>SUM(EW8:EW36)</f>
        <v>1044654.024</v>
      </c>
      <c r="EX37" s="50">
        <f>SUM(EX8:EX36)</f>
        <v>241221.58870320005</v>
      </c>
      <c r="EY37" s="50">
        <f>SUM(EY8:EY36)</f>
        <v>1285875.6127032</v>
      </c>
      <c r="EZ37" s="50">
        <f>SUM(EZ8:EZ36)</f>
        <v>208125.2098584</v>
      </c>
      <c r="FA37" s="50">
        <f>SUM(FA8:FA36)</f>
        <v>112215.09942719998</v>
      </c>
      <c r="FB37" s="41"/>
      <c r="FC37" s="50">
        <f>SUM(FC8:FC36)</f>
        <v>40571.89</v>
      </c>
      <c r="FD37" s="50">
        <f>SUM(FD8:FD36)</f>
        <v>9368.475627000002</v>
      </c>
      <c r="FE37" s="50">
        <f>SUM(FE8:FE36)</f>
        <v>49940.365627</v>
      </c>
      <c r="FF37" s="50">
        <f>SUM(FF8:FF36)</f>
        <v>8083.090598999998</v>
      </c>
      <c r="FG37" s="50">
        <f>SUM(FG8:FG36)</f>
        <v>4358.168892000001</v>
      </c>
      <c r="FH37" s="33"/>
      <c r="FI37" s="50">
        <f>SUM(FI8:FI36)</f>
        <v>86947.54800000001</v>
      </c>
      <c r="FJ37" s="50">
        <f>SUM(FJ8:FJ36)</f>
        <v>20077.1022564</v>
      </c>
      <c r="FK37" s="50">
        <f>SUM(FK8:FK36)</f>
        <v>107024.65025640001</v>
      </c>
      <c r="FL37" s="50">
        <f>SUM(FL8:FL36)</f>
        <v>17322.4591668</v>
      </c>
      <c r="FM37" s="50">
        <f>SUM(FM8:FM36)</f>
        <v>9339.7694544</v>
      </c>
      <c r="FN37" s="33"/>
      <c r="FO37" s="50">
        <f>SUM(FO8:FO36)</f>
        <v>0</v>
      </c>
      <c r="FP37" s="50">
        <f>SUM(FP8:FP36)</f>
        <v>0</v>
      </c>
      <c r="FQ37" s="50">
        <f>SUM(FQ8:FQ36)</f>
        <v>0</v>
      </c>
    </row>
    <row r="38" spans="21:55" ht="13.5" thickTop="1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3:55" ht="12.75">
      <c r="C39" s="35">
        <f>I37+O37</f>
        <v>10090000</v>
      </c>
      <c r="D39" s="35">
        <f>J37+P37</f>
        <v>2329887</v>
      </c>
      <c r="F39" s="35">
        <f>L37+R37</f>
        <v>2010219.0000000005</v>
      </c>
      <c r="G39" s="35">
        <f>M37+S37</f>
        <v>1083852.0000000002</v>
      </c>
      <c r="P39" s="33"/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</row>
    <row r="40" spans="21:55" ht="12.75"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</row>
    <row r="41" spans="21:55" ht="12.75">
      <c r="U41" s="20"/>
      <c r="V41" s="20"/>
      <c r="W41" s="20"/>
      <c r="X41" s="20"/>
      <c r="Y41" s="20"/>
      <c r="AA41" s="20"/>
      <c r="AB41" s="20"/>
      <c r="AC41" s="20"/>
      <c r="AD41" s="20"/>
      <c r="AE41" s="20"/>
      <c r="AM41" s="20"/>
      <c r="AN41" s="20"/>
      <c r="AO41" s="20"/>
      <c r="AP41" s="20"/>
      <c r="AQ41" s="20"/>
      <c r="AS41" s="20"/>
      <c r="AT41" s="20"/>
      <c r="AU41" s="20"/>
      <c r="AV41" s="20"/>
      <c r="AW41" s="20"/>
      <c r="AY41" s="20"/>
      <c r="AZ41" s="20"/>
      <c r="BA41" s="20"/>
      <c r="BB41" s="20"/>
      <c r="BC41" s="20"/>
    </row>
    <row r="42" spans="21:55" ht="12.75">
      <c r="U42" s="20"/>
      <c r="V42" s="20"/>
      <c r="W42" s="20"/>
      <c r="X42" s="20"/>
      <c r="Y42" s="20"/>
      <c r="AA42" s="20"/>
      <c r="AB42" s="20"/>
      <c r="AC42" s="20"/>
      <c r="AD42" s="20"/>
      <c r="AE42" s="20"/>
      <c r="AM42" s="20"/>
      <c r="AN42" s="20"/>
      <c r="AO42" s="20"/>
      <c r="AP42" s="20"/>
      <c r="AQ42" s="20"/>
      <c r="AS42" s="20"/>
      <c r="AT42" s="20"/>
      <c r="AU42" s="20"/>
      <c r="AV42" s="20"/>
      <c r="AW42" s="20"/>
      <c r="AY42" s="20"/>
      <c r="AZ42" s="20"/>
      <c r="BA42" s="20"/>
      <c r="BB42" s="20"/>
      <c r="BC42" s="20"/>
    </row>
    <row r="43" spans="21:55" ht="12.75">
      <c r="U43" s="20"/>
      <c r="V43" s="20"/>
      <c r="W43" s="20"/>
      <c r="X43" s="20"/>
      <c r="Y43" s="20"/>
      <c r="AA43" s="20"/>
      <c r="AB43" s="20"/>
      <c r="AC43" s="20"/>
      <c r="AD43" s="20"/>
      <c r="AE43" s="20"/>
      <c r="AM43" s="20"/>
      <c r="AN43" s="20"/>
      <c r="AO43" s="20"/>
      <c r="AP43" s="20"/>
      <c r="AQ43" s="20"/>
      <c r="AS43" s="20"/>
      <c r="AT43" s="20"/>
      <c r="AU43" s="20"/>
      <c r="AV43" s="20"/>
      <c r="AW43" s="20"/>
      <c r="AY43" s="20"/>
      <c r="AZ43" s="20"/>
      <c r="BA43" s="20"/>
      <c r="BB43" s="20"/>
      <c r="BC43" s="20"/>
    </row>
    <row r="44" spans="21:55" ht="12.75">
      <c r="U44" s="20"/>
      <c r="V44" s="20"/>
      <c r="W44" s="20"/>
      <c r="X44" s="20"/>
      <c r="Y44" s="20"/>
      <c r="AA44" s="20"/>
      <c r="AB44" s="20"/>
      <c r="AC44" s="20"/>
      <c r="AD44" s="20"/>
      <c r="AE44" s="20"/>
      <c r="AM44" s="20"/>
      <c r="AN44" s="20"/>
      <c r="AO44" s="20"/>
      <c r="AP44" s="20"/>
      <c r="AQ44" s="20"/>
      <c r="AS44" s="20"/>
      <c r="AT44" s="20"/>
      <c r="AU44" s="20"/>
      <c r="AV44" s="20"/>
      <c r="AW44" s="20"/>
      <c r="AY44" s="20"/>
      <c r="AZ44" s="20"/>
      <c r="BA44" s="20"/>
      <c r="BB44" s="20"/>
      <c r="BC44" s="20"/>
    </row>
    <row r="45" spans="21:55" ht="12.75">
      <c r="U45" s="20"/>
      <c r="V45" s="20"/>
      <c r="W45" s="20"/>
      <c r="X45" s="20"/>
      <c r="Y45" s="20"/>
      <c r="AA45" s="20"/>
      <c r="AB45" s="20"/>
      <c r="AC45" s="20"/>
      <c r="AD45" s="20"/>
      <c r="AE45" s="20"/>
      <c r="AM45" s="20"/>
      <c r="AN45" s="20"/>
      <c r="AO45" s="20"/>
      <c r="AP45" s="20"/>
      <c r="AQ45" s="20"/>
      <c r="AS45" s="20"/>
      <c r="AT45" s="20"/>
      <c r="AU45" s="20"/>
      <c r="AV45" s="20"/>
      <c r="AW45" s="20"/>
      <c r="AY45" s="20"/>
      <c r="AZ45" s="20"/>
      <c r="BA45" s="20"/>
      <c r="BB45" s="20"/>
      <c r="BC45" s="20"/>
    </row>
    <row r="46" spans="21:55" ht="12.75">
      <c r="U46" s="20"/>
      <c r="V46" s="20"/>
      <c r="W46" s="20"/>
      <c r="X46" s="20"/>
      <c r="Y46" s="20"/>
      <c r="AA46" s="20"/>
      <c r="AB46" s="20"/>
      <c r="AC46" s="20"/>
      <c r="AD46" s="20"/>
      <c r="AE46" s="20"/>
      <c r="AM46" s="20"/>
      <c r="AN46" s="20"/>
      <c r="AO46" s="20"/>
      <c r="AP46" s="20"/>
      <c r="AQ46" s="20"/>
      <c r="AS46" s="20"/>
      <c r="AT46" s="20"/>
      <c r="AU46" s="20"/>
      <c r="AV46" s="20"/>
      <c r="AW46" s="20"/>
      <c r="AY46" s="20"/>
      <c r="AZ46" s="20"/>
      <c r="BA46" s="20"/>
      <c r="BB46" s="20"/>
      <c r="BC46" s="20"/>
    </row>
    <row r="47" spans="21:55" ht="12.75">
      <c r="U47" s="20"/>
      <c r="V47" s="20"/>
      <c r="W47" s="20"/>
      <c r="X47" s="20"/>
      <c r="Y47" s="20"/>
      <c r="AA47" s="20"/>
      <c r="AB47" s="20"/>
      <c r="AC47" s="20"/>
      <c r="AD47" s="20"/>
      <c r="AE47" s="20"/>
      <c r="AM47" s="20"/>
      <c r="AN47" s="20"/>
      <c r="AO47" s="20"/>
      <c r="AP47" s="20"/>
      <c r="AQ47" s="20"/>
      <c r="AS47" s="20"/>
      <c r="AT47" s="20"/>
      <c r="AU47" s="20"/>
      <c r="AV47" s="20"/>
      <c r="AW47" s="20"/>
      <c r="AY47" s="20"/>
      <c r="AZ47" s="20"/>
      <c r="BA47" s="20"/>
      <c r="BB47" s="20"/>
      <c r="BC47" s="20"/>
    </row>
    <row r="48" spans="21:55" ht="12.75">
      <c r="U48" s="20"/>
      <c r="V48" s="20"/>
      <c r="W48" s="20"/>
      <c r="X48" s="20"/>
      <c r="Y48" s="20"/>
      <c r="AA48" s="20"/>
      <c r="AB48" s="20"/>
      <c r="AC48" s="20"/>
      <c r="AD48" s="20"/>
      <c r="AE48" s="20"/>
      <c r="AM48" s="20"/>
      <c r="AN48" s="20"/>
      <c r="AO48" s="20"/>
      <c r="AP48" s="20"/>
      <c r="AQ48" s="20"/>
      <c r="AS48" s="20"/>
      <c r="AT48" s="20"/>
      <c r="AU48" s="20"/>
      <c r="AV48" s="20"/>
      <c r="AW48" s="20"/>
      <c r="AY48" s="20"/>
      <c r="AZ48" s="20"/>
      <c r="BA48" s="20"/>
      <c r="BB48" s="20"/>
      <c r="BC48" s="20"/>
    </row>
    <row r="49" spans="21:173" ht="12.75">
      <c r="U49" s="20"/>
      <c r="V49" s="20"/>
      <c r="W49" s="20"/>
      <c r="X49" s="20"/>
      <c r="Y49" s="20"/>
      <c r="AA49" s="20"/>
      <c r="AB49" s="20"/>
      <c r="AC49" s="20"/>
      <c r="AD49" s="20"/>
      <c r="AE49" s="20"/>
      <c r="AM49" s="20"/>
      <c r="AN49" s="20"/>
      <c r="AO49" s="20"/>
      <c r="AP49" s="20"/>
      <c r="AQ49" s="20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</row>
    <row r="50" spans="9:173" ht="12.75">
      <c r="I50"/>
      <c r="J50"/>
      <c r="K50"/>
      <c r="L50"/>
      <c r="M50"/>
      <c r="U50" s="20"/>
      <c r="V50" s="20"/>
      <c r="W50" s="20"/>
      <c r="X50" s="20"/>
      <c r="Y50" s="20"/>
      <c r="AA50" s="20"/>
      <c r="AB50" s="20"/>
      <c r="AC50" s="20"/>
      <c r="AD50" s="20"/>
      <c r="AE50" s="20"/>
      <c r="AM50" s="20"/>
      <c r="AN50" s="20"/>
      <c r="AO50" s="20"/>
      <c r="AP50" s="20"/>
      <c r="AQ50" s="2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</row>
    <row r="51" spans="1:173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</row>
    <row r="52" spans="1:173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</row>
    <row r="53" spans="1:173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20"/>
      <c r="V53" s="20"/>
      <c r="W53" s="20"/>
      <c r="X53" s="20"/>
      <c r="Y53" s="20"/>
      <c r="Z53"/>
      <c r="AA53" s="20"/>
      <c r="AB53" s="20"/>
      <c r="AC53" s="20"/>
      <c r="AD53" s="20"/>
      <c r="AE53" s="20"/>
      <c r="AF53"/>
      <c r="AG53"/>
      <c r="AH53"/>
      <c r="AI53"/>
      <c r="AJ53"/>
      <c r="AK53"/>
      <c r="AL53"/>
      <c r="AM53" s="20"/>
      <c r="AN53" s="20"/>
      <c r="AO53" s="20"/>
      <c r="AP53" s="20"/>
      <c r="AQ53" s="20"/>
      <c r="AR53"/>
      <c r="AS53" s="20"/>
      <c r="AT53" s="20"/>
      <c r="AU53" s="20"/>
      <c r="AV53" s="20"/>
      <c r="AW53" s="20"/>
      <c r="AY53" s="20"/>
      <c r="AZ53" s="20"/>
      <c r="BA53" s="20"/>
      <c r="BB53" s="20"/>
      <c r="BC53" s="20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</row>
    <row r="54" spans="1:173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20"/>
      <c r="V54" s="20"/>
      <c r="W54" s="20"/>
      <c r="X54" s="20"/>
      <c r="Y54" s="20"/>
      <c r="Z54"/>
      <c r="AA54" s="20"/>
      <c r="AB54" s="20"/>
      <c r="AC54" s="20"/>
      <c r="AD54" s="20"/>
      <c r="AE54" s="20"/>
      <c r="AF54"/>
      <c r="AG54"/>
      <c r="AH54"/>
      <c r="AI54"/>
      <c r="AJ54"/>
      <c r="AK54"/>
      <c r="AL54"/>
      <c r="AM54" s="20"/>
      <c r="AN54" s="20"/>
      <c r="AO54" s="20"/>
      <c r="AP54" s="20"/>
      <c r="AQ54" s="20"/>
      <c r="AR54"/>
      <c r="AS54" s="20"/>
      <c r="AT54" s="20"/>
      <c r="AU54" s="20"/>
      <c r="AV54" s="20"/>
      <c r="AW54" s="20"/>
      <c r="AY54" s="20"/>
      <c r="AZ54" s="20"/>
      <c r="BA54" s="20"/>
      <c r="BB54" s="20"/>
      <c r="BC54" s="20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</row>
    <row r="55" spans="1:173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20"/>
      <c r="V55" s="20"/>
      <c r="W55" s="20"/>
      <c r="X55" s="20"/>
      <c r="Y55" s="20"/>
      <c r="Z55"/>
      <c r="AA55" s="20"/>
      <c r="AB55" s="20"/>
      <c r="AC55" s="20"/>
      <c r="AD55" s="20"/>
      <c r="AE55" s="20"/>
      <c r="AF55"/>
      <c r="AG55"/>
      <c r="AH55"/>
      <c r="AI55"/>
      <c r="AJ55"/>
      <c r="AK55"/>
      <c r="AL55"/>
      <c r="AM55" s="20"/>
      <c r="AN55" s="20"/>
      <c r="AO55" s="20"/>
      <c r="AP55" s="20"/>
      <c r="AQ55" s="20"/>
      <c r="AR55"/>
      <c r="AS55" s="20"/>
      <c r="AT55" s="20"/>
      <c r="AU55" s="20"/>
      <c r="AV55" s="20"/>
      <c r="AW55" s="20"/>
      <c r="AY55" s="20"/>
      <c r="AZ55" s="20"/>
      <c r="BA55" s="20"/>
      <c r="BB55" s="20"/>
      <c r="BC55" s="20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</row>
    <row r="56" spans="1:173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20"/>
      <c r="V56" s="20"/>
      <c r="W56" s="20"/>
      <c r="X56" s="20"/>
      <c r="Y56" s="20"/>
      <c r="Z56"/>
      <c r="AA56" s="20"/>
      <c r="AB56" s="20"/>
      <c r="AC56" s="20"/>
      <c r="AD56" s="20"/>
      <c r="AE56" s="20"/>
      <c r="AF56"/>
      <c r="AG56"/>
      <c r="AH56"/>
      <c r="AI56"/>
      <c r="AJ56"/>
      <c r="AK56"/>
      <c r="AL56"/>
      <c r="AM56" s="20"/>
      <c r="AN56" s="20"/>
      <c r="AO56" s="20"/>
      <c r="AP56" s="20"/>
      <c r="AQ56" s="20"/>
      <c r="AR56"/>
      <c r="AS56" s="20"/>
      <c r="AT56" s="20"/>
      <c r="AU56" s="20"/>
      <c r="AV56" s="20"/>
      <c r="AW56" s="20"/>
      <c r="AY56" s="20"/>
      <c r="AZ56" s="20"/>
      <c r="BA56" s="20"/>
      <c r="BB56" s="20"/>
      <c r="BC56" s="20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</row>
    <row r="57" spans="1:173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U57" s="20"/>
      <c r="V57" s="20"/>
      <c r="W57" s="20"/>
      <c r="X57" s="20"/>
      <c r="Y57" s="20"/>
      <c r="Z57"/>
      <c r="AA57" s="20"/>
      <c r="AB57" s="20"/>
      <c r="AC57" s="20"/>
      <c r="AD57" s="20"/>
      <c r="AE57" s="20"/>
      <c r="AF57"/>
      <c r="AG57"/>
      <c r="AH57"/>
      <c r="AI57"/>
      <c r="AJ57"/>
      <c r="AK57"/>
      <c r="AL57"/>
      <c r="AM57" s="20"/>
      <c r="AN57" s="20"/>
      <c r="AO57" s="20"/>
      <c r="AP57" s="20"/>
      <c r="AQ57" s="20"/>
      <c r="AR57"/>
      <c r="AS57" s="20"/>
      <c r="AT57" s="20"/>
      <c r="AU57" s="20"/>
      <c r="AV57" s="20"/>
      <c r="AW57" s="20"/>
      <c r="AY57" s="20"/>
      <c r="AZ57" s="20"/>
      <c r="BA57" s="20"/>
      <c r="BB57" s="20"/>
      <c r="BC57" s="20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</row>
    <row r="58" spans="1:173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U58" s="20"/>
      <c r="V58" s="20"/>
      <c r="W58" s="20"/>
      <c r="X58" s="20"/>
      <c r="Y58" s="20"/>
      <c r="Z58"/>
      <c r="AA58" s="20"/>
      <c r="AB58" s="20"/>
      <c r="AC58" s="20"/>
      <c r="AD58" s="20"/>
      <c r="AE58" s="20"/>
      <c r="AF58"/>
      <c r="AG58"/>
      <c r="AH58"/>
      <c r="AI58"/>
      <c r="AJ58"/>
      <c r="AK58"/>
      <c r="AL58"/>
      <c r="AM58" s="20"/>
      <c r="AN58" s="20"/>
      <c r="AO58" s="20"/>
      <c r="AP58" s="20"/>
      <c r="AQ58" s="20"/>
      <c r="AR58"/>
      <c r="AS58" s="20"/>
      <c r="AT58" s="20"/>
      <c r="AU58" s="20"/>
      <c r="AV58" s="20"/>
      <c r="AW58" s="20"/>
      <c r="AY58" s="20"/>
      <c r="AZ58" s="20"/>
      <c r="BA58" s="20"/>
      <c r="BB58" s="20"/>
      <c r="BC58" s="20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</row>
    <row r="59" spans="1:173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U59" s="20"/>
      <c r="V59" s="20"/>
      <c r="W59" s="20"/>
      <c r="X59" s="20"/>
      <c r="Y59" s="20"/>
      <c r="Z59"/>
      <c r="AA59" s="20"/>
      <c r="AB59" s="20"/>
      <c r="AC59" s="20"/>
      <c r="AD59" s="20"/>
      <c r="AE59" s="20"/>
      <c r="AF59"/>
      <c r="AG59"/>
      <c r="AH59"/>
      <c r="AI59"/>
      <c r="AJ59"/>
      <c r="AK59"/>
      <c r="AL59"/>
      <c r="AM59" s="20"/>
      <c r="AN59" s="20"/>
      <c r="AO59" s="20"/>
      <c r="AP59" s="20"/>
      <c r="AQ59" s="20"/>
      <c r="AR59"/>
      <c r="AS59" s="20"/>
      <c r="AT59" s="20"/>
      <c r="AU59" s="20"/>
      <c r="AV59" s="20"/>
      <c r="AW59" s="20"/>
      <c r="AY59" s="20"/>
      <c r="AZ59" s="20"/>
      <c r="BA59" s="20"/>
      <c r="BB59" s="20"/>
      <c r="BC59" s="20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</row>
    <row r="60" spans="1:173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U60" s="20"/>
      <c r="V60" s="20"/>
      <c r="W60" s="20"/>
      <c r="X60" s="20"/>
      <c r="Y60" s="20"/>
      <c r="Z60"/>
      <c r="AA60" s="20"/>
      <c r="AB60" s="20"/>
      <c r="AC60" s="20"/>
      <c r="AD60" s="20"/>
      <c r="AE60" s="20"/>
      <c r="AF60"/>
      <c r="AG60"/>
      <c r="AH60"/>
      <c r="AI60"/>
      <c r="AJ60"/>
      <c r="AK60"/>
      <c r="AL60"/>
      <c r="AM60" s="20"/>
      <c r="AN60" s="20"/>
      <c r="AO60" s="20"/>
      <c r="AP60" s="20"/>
      <c r="AQ60" s="20"/>
      <c r="AR60"/>
      <c r="AS60" s="20"/>
      <c r="AT60" s="20"/>
      <c r="AU60" s="20"/>
      <c r="AV60" s="20"/>
      <c r="AW60" s="20"/>
      <c r="AY60" s="20"/>
      <c r="AZ60" s="20"/>
      <c r="BA60" s="20"/>
      <c r="BB60" s="20"/>
      <c r="BC60" s="2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</row>
    <row r="61" spans="1:173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U61" s="20"/>
      <c r="V61" s="20"/>
      <c r="W61" s="20"/>
      <c r="X61" s="20"/>
      <c r="Y61" s="20"/>
      <c r="Z61"/>
      <c r="AA61" s="20"/>
      <c r="AB61" s="20"/>
      <c r="AC61" s="20"/>
      <c r="AD61" s="20"/>
      <c r="AE61" s="20"/>
      <c r="AF61"/>
      <c r="AG61"/>
      <c r="AH61"/>
      <c r="AI61"/>
      <c r="AJ61"/>
      <c r="AK61"/>
      <c r="AL61"/>
      <c r="AM61" s="20"/>
      <c r="AN61" s="20"/>
      <c r="AO61" s="20"/>
      <c r="AP61" s="20"/>
      <c r="AQ61" s="20"/>
      <c r="AR61"/>
      <c r="AS61" s="20"/>
      <c r="AT61" s="20"/>
      <c r="AU61" s="20"/>
      <c r="AV61" s="20"/>
      <c r="AW61" s="20"/>
      <c r="AY61" s="20"/>
      <c r="AZ61" s="20"/>
      <c r="BA61" s="20"/>
      <c r="BB61" s="20"/>
      <c r="BC61" s="20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</row>
    <row r="62" spans="1:173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U62" s="20"/>
      <c r="V62" s="20"/>
      <c r="W62" s="20"/>
      <c r="X62" s="20"/>
      <c r="Y62" s="20"/>
      <c r="Z62"/>
      <c r="AA62" s="20"/>
      <c r="AB62" s="20"/>
      <c r="AC62" s="20"/>
      <c r="AD62" s="20"/>
      <c r="AE62" s="20"/>
      <c r="AF62"/>
      <c r="AG62"/>
      <c r="AH62"/>
      <c r="AI62"/>
      <c r="AJ62"/>
      <c r="AK62"/>
      <c r="AL62"/>
      <c r="AM62" s="20"/>
      <c r="AN62" s="20"/>
      <c r="AO62" s="20"/>
      <c r="AP62" s="20"/>
      <c r="AQ62" s="20"/>
      <c r="AR62"/>
      <c r="AS62" s="20"/>
      <c r="AT62" s="20"/>
      <c r="AU62" s="20"/>
      <c r="AV62" s="20"/>
      <c r="AW62" s="20"/>
      <c r="AY62" s="20"/>
      <c r="AZ62" s="20"/>
      <c r="BA62" s="20"/>
      <c r="BB62" s="20"/>
      <c r="BC62" s="20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</row>
    <row r="63" spans="1:173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U63" s="20"/>
      <c r="V63" s="20"/>
      <c r="W63" s="20"/>
      <c r="X63" s="20"/>
      <c r="Y63" s="20"/>
      <c r="Z63"/>
      <c r="AA63" s="20"/>
      <c r="AB63" s="20"/>
      <c r="AC63" s="20"/>
      <c r="AD63" s="20"/>
      <c r="AE63" s="20"/>
      <c r="AF63"/>
      <c r="AG63"/>
      <c r="AH63"/>
      <c r="AI63"/>
      <c r="AJ63"/>
      <c r="AK63"/>
      <c r="AL63"/>
      <c r="AM63" s="20"/>
      <c r="AN63" s="20"/>
      <c r="AO63" s="20"/>
      <c r="AP63" s="20"/>
      <c r="AQ63" s="20"/>
      <c r="AR63"/>
      <c r="AS63" s="20"/>
      <c r="AT63" s="20"/>
      <c r="AU63" s="20"/>
      <c r="AV63" s="20"/>
      <c r="AW63" s="20"/>
      <c r="AY63" s="20"/>
      <c r="AZ63" s="20"/>
      <c r="BA63" s="20"/>
      <c r="BB63" s="20"/>
      <c r="BC63" s="20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</row>
    <row r="64" spans="1:173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U64" s="20"/>
      <c r="V64" s="20"/>
      <c r="W64" s="20"/>
      <c r="X64" s="20"/>
      <c r="Y64" s="20"/>
      <c r="Z64"/>
      <c r="AA64" s="20"/>
      <c r="AB64" s="20"/>
      <c r="AC64" s="20"/>
      <c r="AD64" s="20"/>
      <c r="AE64" s="20"/>
      <c r="AF64"/>
      <c r="AG64"/>
      <c r="AH64"/>
      <c r="AI64"/>
      <c r="AJ64"/>
      <c r="AK64"/>
      <c r="AL64"/>
      <c r="AM64" s="20"/>
      <c r="AN64" s="20"/>
      <c r="AO64" s="20"/>
      <c r="AP64" s="20"/>
      <c r="AQ64" s="20"/>
      <c r="AR64"/>
      <c r="AS64" s="20"/>
      <c r="AT64" s="20"/>
      <c r="AU64" s="20"/>
      <c r="AV64" s="20"/>
      <c r="AW64" s="20"/>
      <c r="AY64" s="20"/>
      <c r="AZ64" s="20"/>
      <c r="BA64" s="20"/>
      <c r="BB64" s="20"/>
      <c r="BC64" s="20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</sheetData>
  <sheetProtection/>
  <printOptions/>
  <pageMargins left="0.75" right="0.75" top="1" bottom="1" header="0.3" footer="0.3"/>
  <pageSetup orientation="landscape" scale="74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V77"/>
  <sheetViews>
    <sheetView zoomScale="149" zoomScaleNormal="149" zoomScalePageLayoutView="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28" sqref="L28"/>
    </sheetView>
  </sheetViews>
  <sheetFormatPr defaultColWidth="8.8515625" defaultRowHeight="12.75"/>
  <cols>
    <col min="1" max="1" width="9.7109375" style="31" customWidth="1"/>
    <col min="2" max="2" width="3.7109375" style="0" hidden="1" customWidth="1"/>
    <col min="3" max="7" width="13.7109375" style="35" hidden="1" customWidth="1"/>
    <col min="8" max="8" width="3.7109375" style="33" customWidth="1"/>
    <col min="9" max="13" width="13.7109375" style="33" customWidth="1"/>
    <col min="14" max="14" width="3.7109375" style="33" customWidth="1"/>
    <col min="15" max="18" width="12.7109375" style="33" customWidth="1"/>
    <col min="19" max="19" width="14.42187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2.7109375" style="33" customWidth="1"/>
    <col min="38" max="38" width="3.7109375" style="33" customWidth="1"/>
    <col min="39" max="40" width="12.7109375" style="33" customWidth="1"/>
    <col min="41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3" width="13.7109375" style="33" customWidth="1"/>
    <col min="54" max="55" width="12.00390625" style="33" customWidth="1"/>
    <col min="56" max="56" width="3.7109375" style="33" customWidth="1"/>
    <col min="57" max="61" width="12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5" width="10.28125" style="33" bestFit="1" customWidth="1"/>
    <col min="76" max="76" width="9.421875" style="33" bestFit="1" customWidth="1"/>
    <col min="77" max="77" width="10.28125" style="33" bestFit="1" customWidth="1"/>
    <col min="78" max="79" width="12.421875" style="33" customWidth="1"/>
    <col min="80" max="80" width="3.7109375" style="33" customWidth="1"/>
    <col min="81" max="85" width="12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</cols>
  <sheetData>
    <row r="1" spans="2:147" ht="12.75">
      <c r="B1" s="30"/>
      <c r="C1" s="44"/>
      <c r="D1" s="44"/>
      <c r="I1" s="44"/>
      <c r="O1" s="44" t="s">
        <v>139</v>
      </c>
      <c r="U1" s="44"/>
      <c r="AA1" s="44"/>
      <c r="AG1" s="44" t="s">
        <v>139</v>
      </c>
      <c r="AM1" s="44"/>
      <c r="AY1" s="44" t="s">
        <v>139</v>
      </c>
      <c r="BE1" s="44"/>
      <c r="BQ1" s="44" t="s">
        <v>139</v>
      </c>
      <c r="CC1" s="44"/>
      <c r="CO1" s="44" t="s">
        <v>139</v>
      </c>
      <c r="CU1" s="44"/>
      <c r="DG1" s="44" t="s">
        <v>139</v>
      </c>
      <c r="DS1" s="44"/>
      <c r="DY1" s="44" t="s">
        <v>139</v>
      </c>
      <c r="EQ1" s="44" t="s">
        <v>139</v>
      </c>
    </row>
    <row r="2" spans="2:147" ht="12.75">
      <c r="B2" s="30"/>
      <c r="C2" s="44"/>
      <c r="D2" s="44"/>
      <c r="I2" s="44"/>
      <c r="O2" s="42" t="s">
        <v>140</v>
      </c>
      <c r="U2" s="44"/>
      <c r="AA2" s="44"/>
      <c r="AG2" s="42" t="s">
        <v>140</v>
      </c>
      <c r="AM2" s="44"/>
      <c r="AY2" s="42" t="s">
        <v>140</v>
      </c>
      <c r="BE2" s="44"/>
      <c r="BQ2" s="42" t="s">
        <v>140</v>
      </c>
      <c r="CC2" s="44"/>
      <c r="CO2" s="42" t="s">
        <v>140</v>
      </c>
      <c r="CU2" s="44"/>
      <c r="DG2" s="42" t="s">
        <v>140</v>
      </c>
      <c r="DS2" s="44"/>
      <c r="DY2" s="42" t="s">
        <v>140</v>
      </c>
      <c r="EQ2" s="42" t="s">
        <v>140</v>
      </c>
    </row>
    <row r="3" spans="2:147" ht="12.75">
      <c r="B3" s="30"/>
      <c r="C3" s="42"/>
      <c r="D3" s="42"/>
      <c r="I3" s="44"/>
      <c r="O3" s="44" t="s">
        <v>147</v>
      </c>
      <c r="U3" s="44"/>
      <c r="AA3" s="44"/>
      <c r="AG3" s="44" t="s">
        <v>138</v>
      </c>
      <c r="AM3" s="44"/>
      <c r="AY3" s="44" t="s">
        <v>138</v>
      </c>
      <c r="BE3" s="44"/>
      <c r="BQ3" s="44" t="s">
        <v>138</v>
      </c>
      <c r="CC3" s="44"/>
      <c r="CO3" s="44" t="s">
        <v>138</v>
      </c>
      <c r="CU3" s="44"/>
      <c r="DG3" s="44" t="s">
        <v>138</v>
      </c>
      <c r="DS3" s="44"/>
      <c r="DY3" s="44" t="s">
        <v>138</v>
      </c>
      <c r="EQ3" s="44" t="s">
        <v>138</v>
      </c>
    </row>
    <row r="4" spans="2:4" ht="12.75">
      <c r="B4" s="30"/>
      <c r="C4" s="44"/>
      <c r="D4" s="44"/>
    </row>
    <row r="5" spans="1:151" ht="12.75">
      <c r="A5" s="21" t="s">
        <v>9</v>
      </c>
      <c r="C5" s="47" t="s">
        <v>141</v>
      </c>
      <c r="D5" s="48"/>
      <c r="E5" s="49"/>
      <c r="F5" s="49"/>
      <c r="G5" s="40"/>
      <c r="I5" s="36" t="s">
        <v>146</v>
      </c>
      <c r="J5" s="37"/>
      <c r="K5" s="38"/>
      <c r="L5" s="49"/>
      <c r="M5" s="40"/>
      <c r="O5" s="61" t="s">
        <v>106</v>
      </c>
      <c r="P5" s="70"/>
      <c r="Q5" s="38"/>
      <c r="R5" s="49"/>
      <c r="S5" s="40"/>
      <c r="U5" s="61" t="s">
        <v>107</v>
      </c>
      <c r="V5" s="70"/>
      <c r="W5" s="38"/>
      <c r="X5" s="49"/>
      <c r="Y5" s="40"/>
      <c r="AA5" s="61" t="s">
        <v>129</v>
      </c>
      <c r="AB5" s="70"/>
      <c r="AC5" s="38"/>
      <c r="AD5" s="49"/>
      <c r="AE5" s="40"/>
      <c r="AG5" s="82" t="s">
        <v>144</v>
      </c>
      <c r="AH5" s="70"/>
      <c r="AI5" s="38"/>
      <c r="AJ5" s="49"/>
      <c r="AK5" s="40"/>
      <c r="AL5" s="62"/>
      <c r="AM5" s="61" t="s">
        <v>108</v>
      </c>
      <c r="AN5" s="70"/>
      <c r="AO5" s="38"/>
      <c r="AP5" s="49"/>
      <c r="AQ5" s="40"/>
      <c r="AS5" s="61" t="s">
        <v>130</v>
      </c>
      <c r="AT5" s="70"/>
      <c r="AU5" s="38"/>
      <c r="AV5" s="49"/>
      <c r="AW5" s="40"/>
      <c r="AY5" s="61" t="s">
        <v>109</v>
      </c>
      <c r="AZ5" s="70"/>
      <c r="BA5" s="38"/>
      <c r="BB5" s="49"/>
      <c r="BC5" s="40"/>
      <c r="BE5" s="61" t="s">
        <v>76</v>
      </c>
      <c r="BF5" s="70"/>
      <c r="BG5" s="38"/>
      <c r="BH5" s="49"/>
      <c r="BI5" s="40"/>
      <c r="BK5" s="36" t="s">
        <v>23</v>
      </c>
      <c r="BL5" s="37"/>
      <c r="BM5" s="38"/>
      <c r="BN5" s="49"/>
      <c r="BO5" s="40"/>
      <c r="BQ5" s="36" t="s">
        <v>63</v>
      </c>
      <c r="BR5" s="37"/>
      <c r="BS5" s="38"/>
      <c r="BT5" s="49"/>
      <c r="BU5" s="40"/>
      <c r="BV5" s="62"/>
      <c r="BW5" s="82" t="s">
        <v>145</v>
      </c>
      <c r="BX5" s="70"/>
      <c r="BY5" s="38"/>
      <c r="BZ5" s="83"/>
      <c r="CA5" s="40"/>
      <c r="CB5" s="75"/>
      <c r="CC5" s="36" t="s">
        <v>77</v>
      </c>
      <c r="CD5" s="37"/>
      <c r="CE5" s="38"/>
      <c r="CF5" s="49"/>
      <c r="CG5" s="40"/>
      <c r="CH5" s="75"/>
      <c r="CI5" s="36" t="s">
        <v>64</v>
      </c>
      <c r="CJ5" s="37"/>
      <c r="CK5" s="38"/>
      <c r="CL5" s="49"/>
      <c r="CM5" s="40"/>
      <c r="CN5" s="75"/>
      <c r="CO5" s="36" t="s">
        <v>110</v>
      </c>
      <c r="CP5" s="37"/>
      <c r="CQ5" s="38"/>
      <c r="CR5" s="49"/>
      <c r="CS5" s="40"/>
      <c r="CU5" s="36" t="s">
        <v>58</v>
      </c>
      <c r="CV5" s="37"/>
      <c r="CW5" s="38"/>
      <c r="CX5" s="49"/>
      <c r="CY5" s="40"/>
      <c r="DA5" s="61" t="s">
        <v>111</v>
      </c>
      <c r="DB5" s="70"/>
      <c r="DC5" s="38"/>
      <c r="DD5" s="49"/>
      <c r="DE5" s="40"/>
      <c r="DG5" s="61" t="s">
        <v>131</v>
      </c>
      <c r="DH5" s="70"/>
      <c r="DI5" s="38"/>
      <c r="DJ5" s="49"/>
      <c r="DK5" s="40"/>
      <c r="DM5" s="36" t="s">
        <v>25</v>
      </c>
      <c r="DN5" s="70"/>
      <c r="DO5" s="38"/>
      <c r="DP5" s="49"/>
      <c r="DQ5" s="40"/>
      <c r="DR5" s="62"/>
      <c r="DS5" s="61" t="s">
        <v>132</v>
      </c>
      <c r="DT5" s="37"/>
      <c r="DU5" s="38"/>
      <c r="DV5" s="49"/>
      <c r="DW5" s="40"/>
      <c r="DX5" s="75"/>
      <c r="DY5" s="36" t="s">
        <v>65</v>
      </c>
      <c r="DZ5" s="70"/>
      <c r="EA5" s="38"/>
      <c r="EB5" s="49"/>
      <c r="EC5" s="40"/>
      <c r="EE5" s="36" t="s">
        <v>66</v>
      </c>
      <c r="EF5" s="70"/>
      <c r="EG5" s="38"/>
      <c r="EH5" s="49"/>
      <c r="EI5" s="40"/>
      <c r="EK5" s="36" t="s">
        <v>67</v>
      </c>
      <c r="EL5" s="70"/>
      <c r="EM5" s="38"/>
      <c r="EN5" s="49"/>
      <c r="EO5" s="40"/>
      <c r="EQ5" s="36" t="s">
        <v>68</v>
      </c>
      <c r="ER5" s="70"/>
      <c r="ES5" s="38"/>
      <c r="ET5" s="49"/>
      <c r="EU5" s="40"/>
    </row>
    <row r="6" spans="1:152" s="12" customFormat="1" ht="12.75">
      <c r="A6" s="45" t="s">
        <v>10</v>
      </c>
      <c r="C6" s="37"/>
      <c r="D6" s="37"/>
      <c r="E6" s="38"/>
      <c r="F6" s="80" t="s">
        <v>142</v>
      </c>
      <c r="G6" s="40" t="s">
        <v>142</v>
      </c>
      <c r="H6" s="33"/>
      <c r="I6" s="69"/>
      <c r="J6" s="64">
        <f>P6+V6+AN6+AZ6+AH6+BF6+BL6+BR6+CD6+CJ6+CP6+CV6+DB6+DN6+DZ6+EF6+EL6+ER6+AB6+AT6+DH6+DT6</f>
        <v>0.3214387</v>
      </c>
      <c r="K6" s="74"/>
      <c r="L6" s="80" t="s">
        <v>142</v>
      </c>
      <c r="M6" s="40" t="s">
        <v>142</v>
      </c>
      <c r="N6" s="33"/>
      <c r="O6" s="68"/>
      <c r="P6" s="12">
        <v>0.044191</v>
      </c>
      <c r="Q6" s="74"/>
      <c r="R6" s="80" t="s">
        <v>142</v>
      </c>
      <c r="S6" s="40" t="s">
        <v>142</v>
      </c>
      <c r="T6" s="33"/>
      <c r="U6" s="68"/>
      <c r="V6" s="12">
        <v>0.04509</v>
      </c>
      <c r="W6" s="74"/>
      <c r="X6" s="80" t="s">
        <v>142</v>
      </c>
      <c r="Y6" s="40" t="s">
        <v>142</v>
      </c>
      <c r="Z6" s="33"/>
      <c r="AA6" s="68"/>
      <c r="AB6" s="12">
        <v>0.0015077</v>
      </c>
      <c r="AC6" s="74"/>
      <c r="AD6" s="80" t="s">
        <v>142</v>
      </c>
      <c r="AE6" s="40" t="s">
        <v>142</v>
      </c>
      <c r="AF6" s="33"/>
      <c r="AG6" s="68"/>
      <c r="AH6" s="12">
        <v>0.00056</v>
      </c>
      <c r="AI6" s="74"/>
      <c r="AJ6" s="80" t="s">
        <v>142</v>
      </c>
      <c r="AK6" s="40" t="s">
        <v>142</v>
      </c>
      <c r="AL6" s="79"/>
      <c r="AM6" s="68"/>
      <c r="AN6" s="12">
        <v>0.0084871</v>
      </c>
      <c r="AO6" s="74"/>
      <c r="AP6" s="80" t="s">
        <v>142</v>
      </c>
      <c r="AQ6" s="40" t="s">
        <v>142</v>
      </c>
      <c r="AR6" s="33"/>
      <c r="AS6" s="68"/>
      <c r="AT6" s="12">
        <v>0.0021535</v>
      </c>
      <c r="AU6" s="74"/>
      <c r="AV6" s="80" t="s">
        <v>142</v>
      </c>
      <c r="AW6" s="40" t="s">
        <v>142</v>
      </c>
      <c r="AX6" s="33"/>
      <c r="AY6" s="68"/>
      <c r="AZ6" s="12">
        <v>0.0023048</v>
      </c>
      <c r="BA6" s="74"/>
      <c r="BB6" s="80" t="s">
        <v>142</v>
      </c>
      <c r="BC6" s="40" t="s">
        <v>142</v>
      </c>
      <c r="BD6" s="33"/>
      <c r="BE6" s="68"/>
      <c r="BF6" s="12">
        <v>0.0023361</v>
      </c>
      <c r="BG6" s="74"/>
      <c r="BH6" s="80" t="s">
        <v>142</v>
      </c>
      <c r="BI6" s="40" t="s">
        <v>142</v>
      </c>
      <c r="BJ6" s="33"/>
      <c r="BK6" s="68"/>
      <c r="BL6" s="64">
        <v>0.0004643</v>
      </c>
      <c r="BM6" s="74"/>
      <c r="BN6" s="80" t="s">
        <v>142</v>
      </c>
      <c r="BO6" s="40" t="s">
        <v>142</v>
      </c>
      <c r="BP6" s="33"/>
      <c r="BQ6" s="68"/>
      <c r="BR6" s="64">
        <v>0.0037681</v>
      </c>
      <c r="BS6" s="74"/>
      <c r="BT6" s="80" t="s">
        <v>142</v>
      </c>
      <c r="BU6" s="40" t="s">
        <v>142</v>
      </c>
      <c r="BV6" s="62"/>
      <c r="BW6" s="68"/>
      <c r="BX6" s="12">
        <v>0.00011480000000000008</v>
      </c>
      <c r="BY6" s="74"/>
      <c r="BZ6" s="80" t="s">
        <v>142</v>
      </c>
      <c r="CA6" s="40" t="s">
        <v>142</v>
      </c>
      <c r="CB6" s="75"/>
      <c r="CC6" s="68"/>
      <c r="CD6" s="64">
        <v>0.0033006</v>
      </c>
      <c r="CE6" s="74"/>
      <c r="CF6" s="80" t="s">
        <v>142</v>
      </c>
      <c r="CG6" s="40" t="s">
        <v>142</v>
      </c>
      <c r="CH6" s="75"/>
      <c r="CI6" s="68"/>
      <c r="CJ6" s="64">
        <v>0.0020777</v>
      </c>
      <c r="CK6" s="74"/>
      <c r="CL6" s="80" t="s">
        <v>142</v>
      </c>
      <c r="CM6" s="40" t="s">
        <v>142</v>
      </c>
      <c r="CN6" s="41"/>
      <c r="CO6" s="68"/>
      <c r="CP6" s="64">
        <v>0.0795762</v>
      </c>
      <c r="CQ6" s="74"/>
      <c r="CR6" s="80" t="s">
        <v>142</v>
      </c>
      <c r="CS6" s="40" t="s">
        <v>142</v>
      </c>
      <c r="CT6" s="33"/>
      <c r="CU6" s="68"/>
      <c r="CV6" s="64">
        <v>0.0009082</v>
      </c>
      <c r="CW6" s="74"/>
      <c r="CX6" s="80" t="s">
        <v>142</v>
      </c>
      <c r="CY6" s="40" t="s">
        <v>142</v>
      </c>
      <c r="CZ6" s="33"/>
      <c r="DA6" s="68"/>
      <c r="DB6" s="12">
        <v>0.1109436</v>
      </c>
      <c r="DC6" s="74"/>
      <c r="DD6" s="80" t="s">
        <v>142</v>
      </c>
      <c r="DE6" s="40" t="s">
        <v>142</v>
      </c>
      <c r="DF6" s="33"/>
      <c r="DG6" s="68"/>
      <c r="DH6" s="12">
        <v>0.00107</v>
      </c>
      <c r="DI6" s="74"/>
      <c r="DJ6" s="80" t="s">
        <v>142</v>
      </c>
      <c r="DK6" s="40" t="s">
        <v>142</v>
      </c>
      <c r="DL6" s="33"/>
      <c r="DM6" s="68"/>
      <c r="DN6" s="12">
        <v>0.0007401</v>
      </c>
      <c r="DO6" s="74"/>
      <c r="DP6" s="80" t="s">
        <v>142</v>
      </c>
      <c r="DQ6" s="40" t="s">
        <v>142</v>
      </c>
      <c r="DR6" s="62"/>
      <c r="DS6" s="68"/>
      <c r="DT6" s="64">
        <v>0.0004564</v>
      </c>
      <c r="DU6" s="74"/>
      <c r="DV6" s="80" t="s">
        <v>142</v>
      </c>
      <c r="DW6" s="40" t="s">
        <v>142</v>
      </c>
      <c r="DX6" s="41"/>
      <c r="DY6" s="54"/>
      <c r="DZ6" s="12">
        <v>1.14E-05</v>
      </c>
      <c r="EA6" s="74"/>
      <c r="EB6" s="80" t="s">
        <v>142</v>
      </c>
      <c r="EC6" s="40" t="s">
        <v>142</v>
      </c>
      <c r="ED6" s="33"/>
      <c r="EE6" s="68"/>
      <c r="EF6" s="12">
        <v>0.0028093</v>
      </c>
      <c r="EG6" s="74"/>
      <c r="EH6" s="80" t="s">
        <v>142</v>
      </c>
      <c r="EI6" s="40" t="s">
        <v>142</v>
      </c>
      <c r="EJ6" s="33"/>
      <c r="EK6" s="68"/>
      <c r="EL6" s="12">
        <v>0.0067558</v>
      </c>
      <c r="EM6" s="74"/>
      <c r="EN6" s="80" t="s">
        <v>142</v>
      </c>
      <c r="EO6" s="40" t="s">
        <v>142</v>
      </c>
      <c r="EP6" s="33"/>
      <c r="EQ6" s="68"/>
      <c r="ER6" s="12">
        <v>0.0019268</v>
      </c>
      <c r="ES6" s="74"/>
      <c r="ET6" s="80" t="s">
        <v>142</v>
      </c>
      <c r="EU6" s="40" t="s">
        <v>142</v>
      </c>
      <c r="EV6" s="33"/>
    </row>
    <row r="7" spans="1:151" ht="12.75">
      <c r="A7" s="25"/>
      <c r="C7" s="40" t="s">
        <v>11</v>
      </c>
      <c r="D7" s="40" t="s">
        <v>12</v>
      </c>
      <c r="E7" s="40" t="s">
        <v>4</v>
      </c>
      <c r="F7" s="40" t="s">
        <v>143</v>
      </c>
      <c r="G7" s="40" t="s">
        <v>151</v>
      </c>
      <c r="I7" s="40" t="s">
        <v>11</v>
      </c>
      <c r="J7" s="40" t="s">
        <v>12</v>
      </c>
      <c r="K7" s="40" t="s">
        <v>4</v>
      </c>
      <c r="L7" s="40" t="s">
        <v>143</v>
      </c>
      <c r="M7" s="40" t="s">
        <v>151</v>
      </c>
      <c r="O7" s="40" t="s">
        <v>11</v>
      </c>
      <c r="P7" s="40" t="s">
        <v>12</v>
      </c>
      <c r="Q7" s="40" t="s">
        <v>4</v>
      </c>
      <c r="R7" s="40" t="s">
        <v>143</v>
      </c>
      <c r="S7" s="40" t="s">
        <v>151</v>
      </c>
      <c r="U7" s="40" t="s">
        <v>11</v>
      </c>
      <c r="V7" s="40" t="s">
        <v>12</v>
      </c>
      <c r="W7" s="40" t="s">
        <v>4</v>
      </c>
      <c r="X7" s="40" t="s">
        <v>143</v>
      </c>
      <c r="Y7" s="40" t="s">
        <v>151</v>
      </c>
      <c r="AA7" s="40" t="s">
        <v>11</v>
      </c>
      <c r="AB7" s="40" t="s">
        <v>12</v>
      </c>
      <c r="AC7" s="40" t="s">
        <v>4</v>
      </c>
      <c r="AD7" s="40" t="s">
        <v>143</v>
      </c>
      <c r="AE7" s="40" t="s">
        <v>151</v>
      </c>
      <c r="AG7" s="40" t="s">
        <v>11</v>
      </c>
      <c r="AH7" s="40" t="s">
        <v>12</v>
      </c>
      <c r="AI7" s="40" t="s">
        <v>4</v>
      </c>
      <c r="AJ7" s="40" t="s">
        <v>143</v>
      </c>
      <c r="AK7" s="40" t="s">
        <v>151</v>
      </c>
      <c r="AL7" s="63"/>
      <c r="AM7" s="40" t="s">
        <v>11</v>
      </c>
      <c r="AN7" s="40" t="s">
        <v>12</v>
      </c>
      <c r="AO7" s="40" t="s">
        <v>4</v>
      </c>
      <c r="AP7" s="40" t="s">
        <v>143</v>
      </c>
      <c r="AQ7" s="40" t="s">
        <v>151</v>
      </c>
      <c r="AS7" s="40" t="s">
        <v>11</v>
      </c>
      <c r="AT7" s="40" t="s">
        <v>12</v>
      </c>
      <c r="AU7" s="40" t="s">
        <v>4</v>
      </c>
      <c r="AV7" s="40" t="s">
        <v>143</v>
      </c>
      <c r="AW7" s="40" t="s">
        <v>151</v>
      </c>
      <c r="AY7" s="40" t="s">
        <v>11</v>
      </c>
      <c r="AZ7" s="40" t="s">
        <v>12</v>
      </c>
      <c r="BA7" s="40" t="s">
        <v>4</v>
      </c>
      <c r="BB7" s="40" t="s">
        <v>143</v>
      </c>
      <c r="BC7" s="40" t="s">
        <v>151</v>
      </c>
      <c r="BE7" s="40" t="s">
        <v>11</v>
      </c>
      <c r="BF7" s="40" t="s">
        <v>12</v>
      </c>
      <c r="BG7" s="40" t="s">
        <v>4</v>
      </c>
      <c r="BH7" s="40" t="s">
        <v>143</v>
      </c>
      <c r="BI7" s="40" t="s">
        <v>151</v>
      </c>
      <c r="BK7" s="40" t="s">
        <v>11</v>
      </c>
      <c r="BL7" s="40" t="s">
        <v>12</v>
      </c>
      <c r="BM7" s="40" t="s">
        <v>4</v>
      </c>
      <c r="BN7" s="40" t="s">
        <v>143</v>
      </c>
      <c r="BO7" s="40" t="s">
        <v>151</v>
      </c>
      <c r="BQ7" s="40" t="s">
        <v>11</v>
      </c>
      <c r="BR7" s="40" t="s">
        <v>12</v>
      </c>
      <c r="BS7" s="40" t="s">
        <v>4</v>
      </c>
      <c r="BT7" s="40" t="s">
        <v>143</v>
      </c>
      <c r="BU7" s="40" t="s">
        <v>151</v>
      </c>
      <c r="BV7" s="63"/>
      <c r="BW7" s="40" t="s">
        <v>11</v>
      </c>
      <c r="BX7" s="40" t="s">
        <v>12</v>
      </c>
      <c r="BY7" s="40" t="s">
        <v>4</v>
      </c>
      <c r="BZ7" s="40" t="s">
        <v>143</v>
      </c>
      <c r="CA7" s="40" t="s">
        <v>151</v>
      </c>
      <c r="CB7" s="63"/>
      <c r="CC7" s="40" t="s">
        <v>11</v>
      </c>
      <c r="CD7" s="40" t="s">
        <v>12</v>
      </c>
      <c r="CE7" s="40" t="s">
        <v>4</v>
      </c>
      <c r="CF7" s="40" t="s">
        <v>143</v>
      </c>
      <c r="CG7" s="40" t="s">
        <v>151</v>
      </c>
      <c r="CH7" s="63"/>
      <c r="CI7" s="40" t="s">
        <v>11</v>
      </c>
      <c r="CJ7" s="40" t="s">
        <v>12</v>
      </c>
      <c r="CK7" s="40" t="s">
        <v>4</v>
      </c>
      <c r="CL7" s="40" t="s">
        <v>143</v>
      </c>
      <c r="CM7" s="40" t="s">
        <v>151</v>
      </c>
      <c r="CN7" s="63"/>
      <c r="CO7" s="40" t="s">
        <v>11</v>
      </c>
      <c r="CP7" s="40" t="s">
        <v>12</v>
      </c>
      <c r="CQ7" s="40" t="s">
        <v>4</v>
      </c>
      <c r="CR7" s="40" t="s">
        <v>143</v>
      </c>
      <c r="CS7" s="40" t="s">
        <v>151</v>
      </c>
      <c r="CU7" s="40" t="s">
        <v>11</v>
      </c>
      <c r="CV7" s="40" t="s">
        <v>12</v>
      </c>
      <c r="CW7" s="40" t="s">
        <v>4</v>
      </c>
      <c r="CX7" s="40" t="s">
        <v>143</v>
      </c>
      <c r="CY7" s="40" t="s">
        <v>151</v>
      </c>
      <c r="DA7" s="40" t="s">
        <v>11</v>
      </c>
      <c r="DB7" s="40" t="s">
        <v>12</v>
      </c>
      <c r="DC7" s="40" t="s">
        <v>4</v>
      </c>
      <c r="DD7" s="40" t="s">
        <v>143</v>
      </c>
      <c r="DE7" s="40" t="s">
        <v>151</v>
      </c>
      <c r="DG7" s="40" t="s">
        <v>11</v>
      </c>
      <c r="DH7" s="40" t="s">
        <v>12</v>
      </c>
      <c r="DI7" s="40" t="s">
        <v>4</v>
      </c>
      <c r="DJ7" s="40" t="s">
        <v>143</v>
      </c>
      <c r="DK7" s="40" t="s">
        <v>151</v>
      </c>
      <c r="DM7" s="40" t="s">
        <v>11</v>
      </c>
      <c r="DN7" s="40" t="s">
        <v>12</v>
      </c>
      <c r="DO7" s="40" t="s">
        <v>4</v>
      </c>
      <c r="DP7" s="40" t="s">
        <v>143</v>
      </c>
      <c r="DQ7" s="40" t="s">
        <v>151</v>
      </c>
      <c r="DR7" s="63"/>
      <c r="DS7" s="40" t="s">
        <v>11</v>
      </c>
      <c r="DT7" s="40" t="s">
        <v>12</v>
      </c>
      <c r="DU7" s="40" t="s">
        <v>4</v>
      </c>
      <c r="DV7" s="40" t="s">
        <v>143</v>
      </c>
      <c r="DW7" s="40" t="s">
        <v>151</v>
      </c>
      <c r="DX7" s="63"/>
      <c r="DY7" s="40" t="s">
        <v>11</v>
      </c>
      <c r="DZ7" s="40" t="s">
        <v>12</v>
      </c>
      <c r="EA7" s="40" t="s">
        <v>4</v>
      </c>
      <c r="EB7" s="40" t="s">
        <v>143</v>
      </c>
      <c r="EC7" s="40" t="s">
        <v>151</v>
      </c>
      <c r="EE7" s="40" t="s">
        <v>11</v>
      </c>
      <c r="EF7" s="40" t="s">
        <v>12</v>
      </c>
      <c r="EG7" s="40" t="s">
        <v>4</v>
      </c>
      <c r="EH7" s="40" t="s">
        <v>143</v>
      </c>
      <c r="EI7" s="40" t="s">
        <v>151</v>
      </c>
      <c r="EK7" s="40" t="s">
        <v>11</v>
      </c>
      <c r="EL7" s="40" t="s">
        <v>12</v>
      </c>
      <c r="EM7" s="40" t="s">
        <v>4</v>
      </c>
      <c r="EN7" s="40" t="s">
        <v>143</v>
      </c>
      <c r="EO7" s="40" t="s">
        <v>151</v>
      </c>
      <c r="EQ7" s="40" t="s">
        <v>11</v>
      </c>
      <c r="ER7" s="40" t="s">
        <v>12</v>
      </c>
      <c r="ES7" s="40" t="s">
        <v>4</v>
      </c>
      <c r="ET7" s="40" t="s">
        <v>143</v>
      </c>
      <c r="EU7" s="40" t="s">
        <v>151</v>
      </c>
    </row>
    <row r="8" spans="1:151" ht="12.75">
      <c r="A8" s="31">
        <v>42278</v>
      </c>
      <c r="E8" s="35">
        <f aca="true" t="shared" si="0" ref="E8:E35">C8+D8</f>
        <v>0</v>
      </c>
      <c r="I8" s="71"/>
      <c r="J8" s="71">
        <f aca="true" t="shared" si="1" ref="J8:J35">P8+V8+AN8+AZ8+AH8+BF8+BL8+BR8+CD8+CJ8+CP8+CV8+DB8+DN8+DZ8+EF8+EL8+ER8+AB8+AT8+DH8+DT8+BX8</f>
        <v>0</v>
      </c>
      <c r="K8" s="71">
        <f aca="true" t="shared" si="2" ref="K8:K35">I8+J8</f>
        <v>0</v>
      </c>
      <c r="L8" s="71">
        <f aca="true" t="shared" si="3" ref="L8:M35">R8+X8+AP8+BB8+AJ8+BH8+BN8+BT8+CF8+CL8+CR8+CX8+DD8+DP8+EB8+EH8+EN8+ET8+AD8+AV8+DJ8+DV8+BZ8</f>
        <v>0</v>
      </c>
      <c r="M8" s="71"/>
      <c r="P8" s="33">
        <f aca="true" t="shared" si="4" ref="P8:P35">D8*$P$6</f>
        <v>0</v>
      </c>
      <c r="Q8" s="33">
        <f aca="true" t="shared" si="5" ref="Q8:Q35">O8+P8</f>
        <v>0</v>
      </c>
      <c r="R8" s="51">
        <f aca="true" t="shared" si="6" ref="R8:R35">P$6*$F8</f>
        <v>0</v>
      </c>
      <c r="S8" s="51"/>
      <c r="V8" s="51">
        <f aca="true" t="shared" si="7" ref="V8:V35">D8*$V$6</f>
        <v>0</v>
      </c>
      <c r="W8" s="51">
        <f aca="true" t="shared" si="8" ref="W8:W35">U8+V8</f>
        <v>0</v>
      </c>
      <c r="X8" s="51">
        <f aca="true" t="shared" si="9" ref="X8:X35">V$6*$F8</f>
        <v>0</v>
      </c>
      <c r="Y8" s="51"/>
      <c r="AB8" s="51">
        <f aca="true" t="shared" si="10" ref="AB8:AB35">D8*$AB$6</f>
        <v>0</v>
      </c>
      <c r="AC8" s="51">
        <f aca="true" t="shared" si="11" ref="AC8:AC35">AA8+AB8</f>
        <v>0</v>
      </c>
      <c r="AD8" s="51">
        <f aca="true" t="shared" si="12" ref="AD8:AD35">AB$6*$F8</f>
        <v>0</v>
      </c>
      <c r="AE8" s="51"/>
      <c r="AH8" s="33">
        <f>AH$6*$D8</f>
        <v>0</v>
      </c>
      <c r="AI8" s="33">
        <f>AG8+AH8</f>
        <v>0</v>
      </c>
      <c r="AJ8" s="51">
        <f>AH$6*$F8</f>
        <v>0</v>
      </c>
      <c r="AK8" s="51"/>
      <c r="AN8" s="33">
        <f aca="true" t="shared" si="13" ref="AN8:AN35">D8*$AN$6</f>
        <v>0</v>
      </c>
      <c r="AO8" s="33">
        <f aca="true" t="shared" si="14" ref="AO8:AO35">AM8+AN8</f>
        <v>0</v>
      </c>
      <c r="AP8" s="51">
        <f aca="true" t="shared" si="15" ref="AP8:AP35">AN$6*$F8</f>
        <v>0</v>
      </c>
      <c r="AQ8" s="51"/>
      <c r="AS8" s="51"/>
      <c r="AT8" s="33">
        <f aca="true" t="shared" si="16" ref="AT8:AT35">D8*$AT$6</f>
        <v>0</v>
      </c>
      <c r="AU8" s="51">
        <f aca="true" t="shared" si="17" ref="AU8:AU35">AS8+AT8</f>
        <v>0</v>
      </c>
      <c r="AV8" s="51">
        <f aca="true" t="shared" si="18" ref="AV8:AV35">AT$6*$F8</f>
        <v>0</v>
      </c>
      <c r="AW8" s="51"/>
      <c r="AY8" s="51"/>
      <c r="AZ8" s="33">
        <f aca="true" t="shared" si="19" ref="AZ8:AZ35">D8*$AZ$6</f>
        <v>0</v>
      </c>
      <c r="BA8" s="51">
        <f aca="true" t="shared" si="20" ref="BA8:BA35">AY8+AZ8</f>
        <v>0</v>
      </c>
      <c r="BB8" s="51">
        <f aca="true" t="shared" si="21" ref="BB8:BB35">AZ$6*$F8</f>
        <v>0</v>
      </c>
      <c r="BC8" s="51"/>
      <c r="BF8" s="33">
        <f aca="true" t="shared" si="22" ref="BF8:BF35">D8*$BF$6</f>
        <v>0</v>
      </c>
      <c r="BG8" s="33">
        <f aca="true" t="shared" si="23" ref="BG8:BG35">BE8+BF8</f>
        <v>0</v>
      </c>
      <c r="BH8" s="51">
        <f aca="true" t="shared" si="24" ref="BH8:BH35">BF$6*$F8</f>
        <v>0</v>
      </c>
      <c r="BI8" s="51"/>
      <c r="BL8" s="33">
        <f aca="true" t="shared" si="25" ref="BL8:BL35">D8*$BL$6</f>
        <v>0</v>
      </c>
      <c r="BM8" s="51">
        <f aca="true" t="shared" si="26" ref="BM8:BM35">BK8+BL8</f>
        <v>0</v>
      </c>
      <c r="BN8" s="51">
        <f aca="true" t="shared" si="27" ref="BN8:BN35">BL$6*$F8</f>
        <v>0</v>
      </c>
      <c r="BO8" s="51"/>
      <c r="BR8" s="33">
        <f aca="true" t="shared" si="28" ref="BR8:BR35">D8*$BR$6</f>
        <v>0</v>
      </c>
      <c r="BS8" s="51">
        <f aca="true" t="shared" si="29" ref="BS8:BS35">BQ8+BR8</f>
        <v>0</v>
      </c>
      <c r="BT8" s="51">
        <f aca="true" t="shared" si="30" ref="BT8:BT35">BR$6*$F8</f>
        <v>0</v>
      </c>
      <c r="BU8" s="51"/>
      <c r="BW8" s="33">
        <f>BX$6*$C8</f>
        <v>0</v>
      </c>
      <c r="BX8" s="33">
        <f>BX$6*$D8</f>
        <v>0</v>
      </c>
      <c r="BY8" s="51">
        <f>SUM(BW8:BX8)</f>
        <v>0</v>
      </c>
      <c r="BZ8" s="33">
        <f>BX$6*$F8</f>
        <v>0</v>
      </c>
      <c r="CA8" s="51"/>
      <c r="CC8" s="51"/>
      <c r="CD8" s="51">
        <f aca="true" t="shared" si="31" ref="CD8:CD35">D8*$CD$6</f>
        <v>0</v>
      </c>
      <c r="CE8" s="33">
        <f aca="true" t="shared" si="32" ref="CE8:CE35">CC8+CD8</f>
        <v>0</v>
      </c>
      <c r="CF8" s="51">
        <f aca="true" t="shared" si="33" ref="CF8:CF35">CD$6*$F8</f>
        <v>0</v>
      </c>
      <c r="CG8" s="51"/>
      <c r="CI8" s="51"/>
      <c r="CJ8" s="51">
        <f aca="true" t="shared" si="34" ref="CJ8:CJ35">D8*$CJ$6</f>
        <v>0</v>
      </c>
      <c r="CK8" s="33">
        <f aca="true" t="shared" si="35" ref="CK8:CK35">CI8+CJ8</f>
        <v>0</v>
      </c>
      <c r="CL8" s="51">
        <f aca="true" t="shared" si="36" ref="CL8:CL35">CJ$6*$F8</f>
        <v>0</v>
      </c>
      <c r="CM8" s="51"/>
      <c r="CP8" s="33">
        <f aca="true" t="shared" si="37" ref="CP8:CP35">D8*$CP$6</f>
        <v>0</v>
      </c>
      <c r="CQ8" s="51">
        <f aca="true" t="shared" si="38" ref="CQ8:CQ35">CO8+CP8</f>
        <v>0</v>
      </c>
      <c r="CR8" s="51">
        <f aca="true" t="shared" si="39" ref="CR8:CR35">CP$6*$F8</f>
        <v>0</v>
      </c>
      <c r="CS8" s="51"/>
      <c r="CV8" s="33">
        <f aca="true" t="shared" si="40" ref="CV8:CV35">D8*$CV$6</f>
        <v>0</v>
      </c>
      <c r="CW8" s="33">
        <f aca="true" t="shared" si="41" ref="CW8:CW35">CU8+CV8</f>
        <v>0</v>
      </c>
      <c r="CX8" s="51">
        <f aca="true" t="shared" si="42" ref="CX8:CX35">CV$6*$F8</f>
        <v>0</v>
      </c>
      <c r="CY8" s="51"/>
      <c r="DB8" s="33">
        <f aca="true" t="shared" si="43" ref="DB8:DB35">D8*$DB$6</f>
        <v>0</v>
      </c>
      <c r="DC8" s="51">
        <f aca="true" t="shared" si="44" ref="DC8:DC35">DA8+DB8</f>
        <v>0</v>
      </c>
      <c r="DD8" s="51">
        <f aca="true" t="shared" si="45" ref="DD8:DD35">DB$6*$F8</f>
        <v>0</v>
      </c>
      <c r="DE8" s="51"/>
      <c r="DH8" s="33">
        <f aca="true" t="shared" si="46" ref="DH8:DH35">D8*$DH$6</f>
        <v>0</v>
      </c>
      <c r="DI8" s="51">
        <f aca="true" t="shared" si="47" ref="DI8:DI35">DG8+DH8</f>
        <v>0</v>
      </c>
      <c r="DJ8" s="51">
        <f aca="true" t="shared" si="48" ref="DJ8:DJ35">DH$6*$F8</f>
        <v>0</v>
      </c>
      <c r="DK8" s="51"/>
      <c r="DN8" s="33">
        <f aca="true" t="shared" si="49" ref="DN8:DN35">D8*$DN$6</f>
        <v>0</v>
      </c>
      <c r="DO8" s="51">
        <f aca="true" t="shared" si="50" ref="DO8:DO35">DM8+DN8</f>
        <v>0</v>
      </c>
      <c r="DP8" s="51">
        <f aca="true" t="shared" si="51" ref="DP8:DP35">DN$6*$F8</f>
        <v>0</v>
      </c>
      <c r="DQ8" s="51"/>
      <c r="DT8" s="51">
        <f aca="true" t="shared" si="52" ref="DT8:DT35">D8*$DT$6</f>
        <v>0</v>
      </c>
      <c r="DU8" s="51">
        <f aca="true" t="shared" si="53" ref="DU8:DU35">DS8+DT8</f>
        <v>0</v>
      </c>
      <c r="DV8" s="51">
        <f aca="true" t="shared" si="54" ref="DV8:DV35">DT$6*$F8</f>
        <v>0</v>
      </c>
      <c r="DW8" s="51"/>
      <c r="DZ8" s="33">
        <f aca="true" t="shared" si="55" ref="DZ8:DZ35">D8*$DZ$6</f>
        <v>0</v>
      </c>
      <c r="EA8" s="51">
        <f aca="true" t="shared" si="56" ref="EA8:EA35">DY8+DZ8</f>
        <v>0</v>
      </c>
      <c r="EB8" s="51">
        <f aca="true" t="shared" si="57" ref="EB8:EB35">DZ$6*$F8</f>
        <v>0</v>
      </c>
      <c r="EC8" s="51"/>
      <c r="EF8" s="33">
        <f aca="true" t="shared" si="58" ref="EF8:EF35">D8*$EF$6</f>
        <v>0</v>
      </c>
      <c r="EG8" s="33">
        <f aca="true" t="shared" si="59" ref="EG8:EG35">EE8+EF8</f>
        <v>0</v>
      </c>
      <c r="EH8" s="51">
        <f aca="true" t="shared" si="60" ref="EH8:EH35">EF$6*$F8</f>
        <v>0</v>
      </c>
      <c r="EI8" s="51"/>
      <c r="EL8" s="33">
        <f aca="true" t="shared" si="61" ref="EL8:EL35">D8*$EL$6</f>
        <v>0</v>
      </c>
      <c r="EM8" s="51">
        <f aca="true" t="shared" si="62" ref="EM8:EM35">EK8+EL8</f>
        <v>0</v>
      </c>
      <c r="EN8" s="51">
        <f aca="true" t="shared" si="63" ref="EN8:EN35">EL$6*$F8</f>
        <v>0</v>
      </c>
      <c r="EO8" s="51"/>
      <c r="ER8" s="33">
        <f aca="true" t="shared" si="64" ref="ER8:ER35">D8*$ER$6</f>
        <v>0</v>
      </c>
      <c r="ES8" s="51">
        <f aca="true" t="shared" si="65" ref="ES8:ES35">EQ8+ER8</f>
        <v>0</v>
      </c>
      <c r="ET8" s="51">
        <f aca="true" t="shared" si="66" ref="ET8:ET35">ER$6*$F8</f>
        <v>0</v>
      </c>
      <c r="EU8" s="51"/>
    </row>
    <row r="9" spans="1:151" ht="12.75">
      <c r="A9" s="31">
        <v>42461</v>
      </c>
      <c r="E9" s="35">
        <f t="shared" si="0"/>
        <v>0</v>
      </c>
      <c r="I9" s="71">
        <f aca="true" t="shared" si="67" ref="I9:I35">O9+U9+AM9+AY9+AG9+BE9+BK9+BQ9+CC9+CI9+CO9+CU9+DA9+DM9+DY9+EE9+EK9+EQ9+AA9+AS9+DG9+DS9+BW9</f>
        <v>0</v>
      </c>
      <c r="J9" s="71">
        <f t="shared" si="1"/>
        <v>0</v>
      </c>
      <c r="K9" s="71">
        <f t="shared" si="2"/>
        <v>0</v>
      </c>
      <c r="L9" s="71">
        <f t="shared" si="3"/>
        <v>0</v>
      </c>
      <c r="M9" s="71"/>
      <c r="O9" s="33">
        <f aca="true" t="shared" si="68" ref="O9:O35">C9*$P$6</f>
        <v>0</v>
      </c>
      <c r="P9" s="33">
        <f t="shared" si="4"/>
        <v>0</v>
      </c>
      <c r="Q9" s="33">
        <f t="shared" si="5"/>
        <v>0</v>
      </c>
      <c r="R9" s="51">
        <f t="shared" si="6"/>
        <v>0</v>
      </c>
      <c r="S9" s="51">
        <f>P$6*$G9</f>
        <v>0</v>
      </c>
      <c r="U9" s="33">
        <f aca="true" t="shared" si="69" ref="U9:U35">C9*$V$6</f>
        <v>0</v>
      </c>
      <c r="V9" s="51">
        <f t="shared" si="7"/>
        <v>0</v>
      </c>
      <c r="W9" s="51">
        <f t="shared" si="8"/>
        <v>0</v>
      </c>
      <c r="X9" s="51">
        <f t="shared" si="9"/>
        <v>0</v>
      </c>
      <c r="Y9" s="51">
        <f>V$6*$G9</f>
        <v>0</v>
      </c>
      <c r="AA9" s="33">
        <f aca="true" t="shared" si="70" ref="AA9:AA35">C9*$AB$6</f>
        <v>0</v>
      </c>
      <c r="AB9" s="51">
        <f t="shared" si="10"/>
        <v>0</v>
      </c>
      <c r="AC9" s="51">
        <f t="shared" si="11"/>
        <v>0</v>
      </c>
      <c r="AD9" s="51">
        <f t="shared" si="12"/>
        <v>0</v>
      </c>
      <c r="AE9" s="51">
        <f>AB$6*$G9</f>
        <v>0</v>
      </c>
      <c r="AG9" s="33">
        <f aca="true" t="shared" si="71" ref="AG9:AG35">AH$6*$C9</f>
        <v>0</v>
      </c>
      <c r="AH9" s="33">
        <f aca="true" t="shared" si="72" ref="AH9:AH35">AH$6*$D9</f>
        <v>0</v>
      </c>
      <c r="AI9" s="33">
        <f aca="true" t="shared" si="73" ref="AI9:AI35">AG9+AH9</f>
        <v>0</v>
      </c>
      <c r="AJ9" s="51">
        <f aca="true" t="shared" si="74" ref="AJ9:AJ35">AH$6*$F9</f>
        <v>0</v>
      </c>
      <c r="AK9" s="51">
        <f>AH$6*$G9</f>
        <v>0</v>
      </c>
      <c r="AM9" s="33">
        <f aca="true" t="shared" si="75" ref="AM9:AM35">C9*$AN$6</f>
        <v>0</v>
      </c>
      <c r="AN9" s="33">
        <f t="shared" si="13"/>
        <v>0</v>
      </c>
      <c r="AO9" s="33">
        <f t="shared" si="14"/>
        <v>0</v>
      </c>
      <c r="AP9" s="51">
        <f t="shared" si="15"/>
        <v>0</v>
      </c>
      <c r="AQ9" s="51">
        <f>AN$6*$G9</f>
        <v>0</v>
      </c>
      <c r="AS9" s="51">
        <f aca="true" t="shared" si="76" ref="AS9:AS35">C9*$AT$6</f>
        <v>0</v>
      </c>
      <c r="AT9" s="33">
        <f t="shared" si="16"/>
        <v>0</v>
      </c>
      <c r="AU9" s="51">
        <f t="shared" si="17"/>
        <v>0</v>
      </c>
      <c r="AV9" s="51">
        <f t="shared" si="18"/>
        <v>0</v>
      </c>
      <c r="AW9" s="51">
        <f>AT$6*$G9</f>
        <v>0</v>
      </c>
      <c r="AY9" s="51">
        <f aca="true" t="shared" si="77" ref="AY9:AY35">C9*$AZ$6</f>
        <v>0</v>
      </c>
      <c r="AZ9" s="33">
        <f t="shared" si="19"/>
        <v>0</v>
      </c>
      <c r="BA9" s="51">
        <f t="shared" si="20"/>
        <v>0</v>
      </c>
      <c r="BB9" s="51">
        <f t="shared" si="21"/>
        <v>0</v>
      </c>
      <c r="BC9" s="51">
        <f>AZ$6*$G9</f>
        <v>0</v>
      </c>
      <c r="BE9" s="33">
        <f aca="true" t="shared" si="78" ref="BE9:BE35">C9*$BF$6</f>
        <v>0</v>
      </c>
      <c r="BF9" s="33">
        <f t="shared" si="22"/>
        <v>0</v>
      </c>
      <c r="BG9" s="33">
        <f t="shared" si="23"/>
        <v>0</v>
      </c>
      <c r="BH9" s="51">
        <f t="shared" si="24"/>
        <v>0</v>
      </c>
      <c r="BI9" s="51">
        <f>BF$6*$G9</f>
        <v>0</v>
      </c>
      <c r="BK9" s="33">
        <f aca="true" t="shared" si="79" ref="BK9:BK35">C9*$BL$6</f>
        <v>0</v>
      </c>
      <c r="BL9" s="33">
        <f t="shared" si="25"/>
        <v>0</v>
      </c>
      <c r="BM9" s="51">
        <f t="shared" si="26"/>
        <v>0</v>
      </c>
      <c r="BN9" s="51">
        <f t="shared" si="27"/>
        <v>0</v>
      </c>
      <c r="BO9" s="51">
        <f>BL$6*$G9</f>
        <v>0</v>
      </c>
      <c r="BQ9" s="33">
        <f aca="true" t="shared" si="80" ref="BQ9:BQ35">C9*$BR$6</f>
        <v>0</v>
      </c>
      <c r="BR9" s="33">
        <f t="shared" si="28"/>
        <v>0</v>
      </c>
      <c r="BS9" s="51">
        <f t="shared" si="29"/>
        <v>0</v>
      </c>
      <c r="BT9" s="51">
        <f t="shared" si="30"/>
        <v>0</v>
      </c>
      <c r="BU9" s="51">
        <f>BR$6*$G9</f>
        <v>0</v>
      </c>
      <c r="BW9" s="33">
        <f aca="true" t="shared" si="81" ref="BW9:BW35">BX$6*$C9</f>
        <v>0</v>
      </c>
      <c r="BX9" s="33">
        <f aca="true" t="shared" si="82" ref="BX9:BX35">BX$6*$D9</f>
        <v>0</v>
      </c>
      <c r="BY9" s="51">
        <f aca="true" t="shared" si="83" ref="BY9:BY35">SUM(BW9:BX9)</f>
        <v>0</v>
      </c>
      <c r="BZ9" s="33">
        <f aca="true" t="shared" si="84" ref="BZ9:BZ35">BX$6*$F9</f>
        <v>0</v>
      </c>
      <c r="CA9" s="51">
        <f>BX$6*$G9</f>
        <v>0</v>
      </c>
      <c r="CC9" s="51">
        <f aca="true" t="shared" si="85" ref="CC9:CC35">C9*$CD$6</f>
        <v>0</v>
      </c>
      <c r="CD9" s="51">
        <f t="shared" si="31"/>
        <v>0</v>
      </c>
      <c r="CE9" s="33">
        <f t="shared" si="32"/>
        <v>0</v>
      </c>
      <c r="CF9" s="51">
        <f t="shared" si="33"/>
        <v>0</v>
      </c>
      <c r="CG9" s="51">
        <f>CD$6*$G9</f>
        <v>0</v>
      </c>
      <c r="CI9" s="51">
        <f aca="true" t="shared" si="86" ref="CI9:CI35">C9*$CJ$6</f>
        <v>0</v>
      </c>
      <c r="CJ9" s="51">
        <f t="shared" si="34"/>
        <v>0</v>
      </c>
      <c r="CK9" s="33">
        <f t="shared" si="35"/>
        <v>0</v>
      </c>
      <c r="CL9" s="51">
        <f t="shared" si="36"/>
        <v>0</v>
      </c>
      <c r="CM9" s="51">
        <f>CJ$6*$G9</f>
        <v>0</v>
      </c>
      <c r="CO9" s="33">
        <f aca="true" t="shared" si="87" ref="CO9:CO35">C9*$CP$6</f>
        <v>0</v>
      </c>
      <c r="CP9" s="33">
        <f t="shared" si="37"/>
        <v>0</v>
      </c>
      <c r="CQ9" s="51">
        <f t="shared" si="38"/>
        <v>0</v>
      </c>
      <c r="CR9" s="51">
        <f t="shared" si="39"/>
        <v>0</v>
      </c>
      <c r="CS9" s="51">
        <f>CP$6*$G9</f>
        <v>0</v>
      </c>
      <c r="CU9" s="33">
        <f aca="true" t="shared" si="88" ref="CU9:CU35">C9*$CV$6</f>
        <v>0</v>
      </c>
      <c r="CV9" s="33">
        <f t="shared" si="40"/>
        <v>0</v>
      </c>
      <c r="CW9" s="33">
        <f t="shared" si="41"/>
        <v>0</v>
      </c>
      <c r="CX9" s="51">
        <f t="shared" si="42"/>
        <v>0</v>
      </c>
      <c r="CY9" s="51">
        <f>CV$6*$G9</f>
        <v>0</v>
      </c>
      <c r="DA9" s="33">
        <f aca="true" t="shared" si="89" ref="DA9:DA35">C9*$DB$6</f>
        <v>0</v>
      </c>
      <c r="DB9" s="33">
        <f t="shared" si="43"/>
        <v>0</v>
      </c>
      <c r="DC9" s="51">
        <f t="shared" si="44"/>
        <v>0</v>
      </c>
      <c r="DD9" s="51">
        <f t="shared" si="45"/>
        <v>0</v>
      </c>
      <c r="DE9" s="51">
        <f>DB$6*$G9</f>
        <v>0</v>
      </c>
      <c r="DG9" s="33">
        <f aca="true" t="shared" si="90" ref="DG9:DG35">C9*$DH$6</f>
        <v>0</v>
      </c>
      <c r="DH9" s="33">
        <f t="shared" si="46"/>
        <v>0</v>
      </c>
      <c r="DI9" s="51">
        <f t="shared" si="47"/>
        <v>0</v>
      </c>
      <c r="DJ9" s="51">
        <f t="shared" si="48"/>
        <v>0</v>
      </c>
      <c r="DK9" s="51">
        <f>DH$6*$G9</f>
        <v>0</v>
      </c>
      <c r="DM9" s="33">
        <f aca="true" t="shared" si="91" ref="DM9:DM35">C9*$DN$6</f>
        <v>0</v>
      </c>
      <c r="DN9" s="33">
        <f t="shared" si="49"/>
        <v>0</v>
      </c>
      <c r="DO9" s="51">
        <f t="shared" si="50"/>
        <v>0</v>
      </c>
      <c r="DP9" s="51">
        <f t="shared" si="51"/>
        <v>0</v>
      </c>
      <c r="DQ9" s="51">
        <f>DN$6*$G9</f>
        <v>0</v>
      </c>
      <c r="DS9" s="33">
        <f aca="true" t="shared" si="92" ref="DS9:DS35">C9*$DT$6</f>
        <v>0</v>
      </c>
      <c r="DT9" s="51">
        <f t="shared" si="52"/>
        <v>0</v>
      </c>
      <c r="DU9" s="51">
        <f t="shared" si="53"/>
        <v>0</v>
      </c>
      <c r="DV9" s="51">
        <f t="shared" si="54"/>
        <v>0</v>
      </c>
      <c r="DW9" s="51">
        <f>DT$6*$G9</f>
        <v>0</v>
      </c>
      <c r="DY9" s="33">
        <f aca="true" t="shared" si="93" ref="DY9:DY35">C9*$DZ$6</f>
        <v>0</v>
      </c>
      <c r="DZ9" s="33">
        <f t="shared" si="55"/>
        <v>0</v>
      </c>
      <c r="EA9" s="51">
        <f t="shared" si="56"/>
        <v>0</v>
      </c>
      <c r="EB9" s="51">
        <f t="shared" si="57"/>
        <v>0</v>
      </c>
      <c r="EC9" s="51">
        <f>DZ$6*$G9</f>
        <v>0</v>
      </c>
      <c r="EE9" s="33">
        <f aca="true" t="shared" si="94" ref="EE9:EE35">C9*$EF$6</f>
        <v>0</v>
      </c>
      <c r="EF9" s="33">
        <f t="shared" si="58"/>
        <v>0</v>
      </c>
      <c r="EG9" s="33">
        <f t="shared" si="59"/>
        <v>0</v>
      </c>
      <c r="EH9" s="51">
        <f t="shared" si="60"/>
        <v>0</v>
      </c>
      <c r="EI9" s="51">
        <f>EF$6*$G9</f>
        <v>0</v>
      </c>
      <c r="EK9" s="33">
        <f aca="true" t="shared" si="95" ref="EK9:EK35">C9*$EL$6</f>
        <v>0</v>
      </c>
      <c r="EL9" s="33">
        <f t="shared" si="61"/>
        <v>0</v>
      </c>
      <c r="EM9" s="51">
        <f t="shared" si="62"/>
        <v>0</v>
      </c>
      <c r="EN9" s="51">
        <f t="shared" si="63"/>
        <v>0</v>
      </c>
      <c r="EO9" s="51">
        <f>EL$6*$G9</f>
        <v>0</v>
      </c>
      <c r="EQ9" s="33">
        <f aca="true" t="shared" si="96" ref="EQ9:EQ35">C9*$ER$6</f>
        <v>0</v>
      </c>
      <c r="ER9" s="33">
        <f t="shared" si="64"/>
        <v>0</v>
      </c>
      <c r="ES9" s="51">
        <f t="shared" si="65"/>
        <v>0</v>
      </c>
      <c r="ET9" s="51">
        <f t="shared" si="66"/>
        <v>0</v>
      </c>
      <c r="EU9" s="51">
        <f>ER$6*$G9</f>
        <v>0</v>
      </c>
    </row>
    <row r="10" spans="1:151" ht="12.75">
      <c r="A10" s="31">
        <v>42644</v>
      </c>
      <c r="D10" s="35">
        <v>250937</v>
      </c>
      <c r="E10" s="35">
        <f t="shared" si="0"/>
        <v>250937</v>
      </c>
      <c r="F10" s="35">
        <f>167518+3</f>
        <v>167521</v>
      </c>
      <c r="G10" s="35">
        <v>90321</v>
      </c>
      <c r="I10" s="71"/>
      <c r="J10" s="71">
        <f t="shared" si="1"/>
        <v>80689.67062949999</v>
      </c>
      <c r="K10" s="71">
        <f t="shared" si="2"/>
        <v>80689.67062949999</v>
      </c>
      <c r="L10" s="71">
        <f t="shared" si="3"/>
        <v>53866.963873500004</v>
      </c>
      <c r="M10" s="71">
        <f t="shared" si="3"/>
        <v>29043.0336735</v>
      </c>
      <c r="P10" s="33">
        <f t="shared" si="4"/>
        <v>11089.156967</v>
      </c>
      <c r="Q10" s="33">
        <f t="shared" si="5"/>
        <v>11089.156967</v>
      </c>
      <c r="R10" s="51">
        <f t="shared" si="6"/>
        <v>7402.920511</v>
      </c>
      <c r="S10" s="51">
        <f aca="true" t="shared" si="97" ref="S10:S21">P$6*$G10</f>
        <v>3991.3753110000002</v>
      </c>
      <c r="V10" s="51">
        <f t="shared" si="7"/>
        <v>11314.749329999999</v>
      </c>
      <c r="W10" s="51">
        <f t="shared" si="8"/>
        <v>11314.749329999999</v>
      </c>
      <c r="X10" s="51">
        <f t="shared" si="9"/>
        <v>7553.52189</v>
      </c>
      <c r="Y10" s="51">
        <f aca="true" t="shared" si="98" ref="Y10:Y21">V$6*$G10</f>
        <v>4072.5738899999997</v>
      </c>
      <c r="AB10" s="51">
        <f t="shared" si="10"/>
        <v>378.33771490000004</v>
      </c>
      <c r="AC10" s="51">
        <f t="shared" si="11"/>
        <v>378.33771490000004</v>
      </c>
      <c r="AD10" s="51">
        <f t="shared" si="12"/>
        <v>252.5714117</v>
      </c>
      <c r="AE10" s="51">
        <f aca="true" t="shared" si="99" ref="AE10:AE21">AB$6*$G10</f>
        <v>136.1769717</v>
      </c>
      <c r="AG10" s="33">
        <f t="shared" si="71"/>
        <v>0</v>
      </c>
      <c r="AH10" s="33">
        <f t="shared" si="72"/>
        <v>140.52471999999997</v>
      </c>
      <c r="AI10" s="33">
        <f t="shared" si="73"/>
        <v>140.52471999999997</v>
      </c>
      <c r="AJ10" s="51">
        <f t="shared" si="74"/>
        <v>93.81175999999999</v>
      </c>
      <c r="AK10" s="51">
        <f aca="true" t="shared" si="100" ref="AK10:AK21">AH$6*$G10</f>
        <v>50.57975999999999</v>
      </c>
      <c r="AN10" s="33">
        <f t="shared" si="13"/>
        <v>2129.7274126999996</v>
      </c>
      <c r="AO10" s="33">
        <f t="shared" si="14"/>
        <v>2129.7274126999996</v>
      </c>
      <c r="AP10" s="51">
        <f t="shared" si="15"/>
        <v>1421.7674791</v>
      </c>
      <c r="AQ10" s="51">
        <f aca="true" t="shared" si="101" ref="AQ10:AQ21">AN$6*$G10</f>
        <v>766.5633591</v>
      </c>
      <c r="AS10" s="51"/>
      <c r="AT10" s="33">
        <f t="shared" si="16"/>
        <v>540.3928295000001</v>
      </c>
      <c r="AU10" s="51">
        <f t="shared" si="17"/>
        <v>540.3928295000001</v>
      </c>
      <c r="AV10" s="51">
        <f t="shared" si="18"/>
        <v>360.7564735</v>
      </c>
      <c r="AW10" s="51">
        <f aca="true" t="shared" si="102" ref="AW10:AW21">AT$6*$G10</f>
        <v>194.5062735</v>
      </c>
      <c r="AY10" s="51"/>
      <c r="AZ10" s="33">
        <f t="shared" si="19"/>
        <v>578.3595976</v>
      </c>
      <c r="BA10" s="51">
        <f t="shared" si="20"/>
        <v>578.3595976</v>
      </c>
      <c r="BB10" s="51">
        <f t="shared" si="21"/>
        <v>386.1024008</v>
      </c>
      <c r="BC10" s="51">
        <f aca="true" t="shared" si="103" ref="BC10:BC21">AZ$6*$G10</f>
        <v>208.1718408</v>
      </c>
      <c r="BF10" s="33">
        <f t="shared" si="22"/>
        <v>586.2139257</v>
      </c>
      <c r="BG10" s="33">
        <f t="shared" si="23"/>
        <v>586.2139257</v>
      </c>
      <c r="BH10" s="51">
        <f t="shared" si="24"/>
        <v>391.34580809999994</v>
      </c>
      <c r="BI10" s="51">
        <f aca="true" t="shared" si="104" ref="BI10:BI21">BF$6*$G10</f>
        <v>210.9988881</v>
      </c>
      <c r="BL10" s="33">
        <f t="shared" si="25"/>
        <v>116.5100491</v>
      </c>
      <c r="BM10" s="51">
        <f t="shared" si="26"/>
        <v>116.5100491</v>
      </c>
      <c r="BN10" s="51">
        <f t="shared" si="27"/>
        <v>77.7800003</v>
      </c>
      <c r="BO10" s="51">
        <f aca="true" t="shared" si="105" ref="BO10:BO21">BL$6*$G10</f>
        <v>41.9360403</v>
      </c>
      <c r="BR10" s="33">
        <f t="shared" si="28"/>
        <v>945.5557097</v>
      </c>
      <c r="BS10" s="51">
        <f t="shared" si="29"/>
        <v>945.5557097</v>
      </c>
      <c r="BT10" s="51">
        <f t="shared" si="30"/>
        <v>631.2358801</v>
      </c>
      <c r="BU10" s="51">
        <f aca="true" t="shared" si="106" ref="BU10:BU21">BR$6*$G10</f>
        <v>340.3385601</v>
      </c>
      <c r="BW10" s="33">
        <f t="shared" si="81"/>
        <v>0</v>
      </c>
      <c r="BX10" s="33">
        <f t="shared" si="82"/>
        <v>28.80756760000002</v>
      </c>
      <c r="BY10" s="51">
        <f t="shared" si="83"/>
        <v>28.80756760000002</v>
      </c>
      <c r="BZ10" s="33">
        <f t="shared" si="84"/>
        <v>19.231410800000013</v>
      </c>
      <c r="CA10" s="51">
        <f aca="true" t="shared" si="107" ref="CA10:CA21">BX$6*$G10</f>
        <v>10.368850800000008</v>
      </c>
      <c r="CC10" s="51"/>
      <c r="CD10" s="51">
        <f t="shared" si="31"/>
        <v>828.2426621999999</v>
      </c>
      <c r="CE10" s="33">
        <f t="shared" si="32"/>
        <v>828.2426621999999</v>
      </c>
      <c r="CF10" s="51">
        <f t="shared" si="33"/>
        <v>552.9198126</v>
      </c>
      <c r="CG10" s="51">
        <f aca="true" t="shared" si="108" ref="CG10:CG21">CD$6*$G10</f>
        <v>298.1134926</v>
      </c>
      <c r="CI10" s="51"/>
      <c r="CJ10" s="51">
        <f t="shared" si="34"/>
        <v>521.3718049</v>
      </c>
      <c r="CK10" s="33">
        <f t="shared" si="35"/>
        <v>521.3718049</v>
      </c>
      <c r="CL10" s="51">
        <f t="shared" si="36"/>
        <v>348.0583817</v>
      </c>
      <c r="CM10" s="51">
        <f aca="true" t="shared" si="109" ref="CM10:CM21">CJ$6*$G10</f>
        <v>187.6599417</v>
      </c>
      <c r="CP10" s="33">
        <f t="shared" si="37"/>
        <v>19968.6128994</v>
      </c>
      <c r="CQ10" s="51">
        <f t="shared" si="38"/>
        <v>19968.6128994</v>
      </c>
      <c r="CR10" s="51">
        <f t="shared" si="39"/>
        <v>13330.6846002</v>
      </c>
      <c r="CS10" s="51">
        <f aca="true" t="shared" si="110" ref="CS10:CS21">CP$6*$G10</f>
        <v>7187.4019602</v>
      </c>
      <c r="CV10" s="33">
        <f t="shared" si="40"/>
        <v>227.9009834</v>
      </c>
      <c r="CW10" s="33">
        <f t="shared" si="41"/>
        <v>227.9009834</v>
      </c>
      <c r="CX10" s="51">
        <f t="shared" si="42"/>
        <v>152.1425722</v>
      </c>
      <c r="CY10" s="51">
        <f aca="true" t="shared" si="111" ref="CY10:CY21">CV$6*$G10</f>
        <v>82.02953219999999</v>
      </c>
      <c r="DB10" s="33">
        <f t="shared" si="43"/>
        <v>27839.8541532</v>
      </c>
      <c r="DC10" s="51">
        <f t="shared" si="44"/>
        <v>27839.8541532</v>
      </c>
      <c r="DD10" s="51">
        <f t="shared" si="45"/>
        <v>18585.3828156</v>
      </c>
      <c r="DE10" s="51">
        <f aca="true" t="shared" si="112" ref="DE10:DE21">DB$6*$G10</f>
        <v>10020.5368956</v>
      </c>
      <c r="DH10" s="33">
        <f t="shared" si="46"/>
        <v>268.50259</v>
      </c>
      <c r="DI10" s="51">
        <f t="shared" si="47"/>
        <v>268.50259</v>
      </c>
      <c r="DJ10" s="51">
        <f t="shared" si="48"/>
        <v>179.24747</v>
      </c>
      <c r="DK10" s="51">
        <f aca="true" t="shared" si="113" ref="DK10:DK21">DH$6*$G10</f>
        <v>96.64347</v>
      </c>
      <c r="DN10" s="33">
        <f t="shared" si="49"/>
        <v>185.7184737</v>
      </c>
      <c r="DO10" s="51">
        <f t="shared" si="50"/>
        <v>185.7184737</v>
      </c>
      <c r="DP10" s="51">
        <f t="shared" si="51"/>
        <v>123.98229210000001</v>
      </c>
      <c r="DQ10" s="51">
        <f aca="true" t="shared" si="114" ref="DQ10:DQ21">DN$6*$G10</f>
        <v>66.8465721</v>
      </c>
      <c r="DT10" s="51">
        <f t="shared" si="52"/>
        <v>114.5276468</v>
      </c>
      <c r="DU10" s="51">
        <f t="shared" si="53"/>
        <v>114.5276468</v>
      </c>
      <c r="DV10" s="51">
        <f t="shared" si="54"/>
        <v>76.4565844</v>
      </c>
      <c r="DW10" s="51">
        <f aca="true" t="shared" si="115" ref="DW10:DW21">DT$6*$G10</f>
        <v>41.2225044</v>
      </c>
      <c r="DZ10" s="33">
        <f t="shared" si="55"/>
        <v>2.8606817999999996</v>
      </c>
      <c r="EA10" s="51">
        <f t="shared" si="56"/>
        <v>2.8606817999999996</v>
      </c>
      <c r="EB10" s="51">
        <f t="shared" si="57"/>
        <v>1.9097393999999999</v>
      </c>
      <c r="EC10" s="51">
        <f aca="true" t="shared" si="116" ref="EC10:EC21">DZ$6*$G10</f>
        <v>1.0296594</v>
      </c>
      <c r="EF10" s="33">
        <f t="shared" si="58"/>
        <v>704.9573141</v>
      </c>
      <c r="EG10" s="33">
        <f t="shared" si="59"/>
        <v>704.9573141</v>
      </c>
      <c r="EH10" s="51">
        <f t="shared" si="60"/>
        <v>470.6167453</v>
      </c>
      <c r="EI10" s="51">
        <f aca="true" t="shared" si="117" ref="EI10:EI21">EF$6*$G10</f>
        <v>253.7387853</v>
      </c>
      <c r="EL10" s="33">
        <f t="shared" si="61"/>
        <v>1695.2801846</v>
      </c>
      <c r="EM10" s="51">
        <f t="shared" si="62"/>
        <v>1695.2801846</v>
      </c>
      <c r="EN10" s="51">
        <f t="shared" si="63"/>
        <v>1131.7383718</v>
      </c>
      <c r="EO10" s="51">
        <f aca="true" t="shared" si="118" ref="EO10:EO21">EL$6*$G10</f>
        <v>610.1906118</v>
      </c>
      <c r="ER10" s="33">
        <f t="shared" si="64"/>
        <v>483.5054116</v>
      </c>
      <c r="ES10" s="51">
        <f t="shared" si="65"/>
        <v>483.5054116</v>
      </c>
      <c r="ET10" s="51">
        <f t="shared" si="66"/>
        <v>322.7794628</v>
      </c>
      <c r="EU10" s="51">
        <f aca="true" t="shared" si="119" ref="EU10:EU21">ER$6*$G10</f>
        <v>174.0305028</v>
      </c>
    </row>
    <row r="11" spans="1:151" ht="12.75">
      <c r="A11" s="31">
        <v>42826</v>
      </c>
      <c r="D11" s="35">
        <v>202550</v>
      </c>
      <c r="E11" s="35">
        <f t="shared" si="0"/>
        <v>202550</v>
      </c>
      <c r="F11" s="35">
        <v>167518</v>
      </c>
      <c r="G11" s="35">
        <v>90321</v>
      </c>
      <c r="I11" s="71">
        <f t="shared" si="67"/>
        <v>0</v>
      </c>
      <c r="J11" s="71">
        <f t="shared" si="1"/>
        <v>65130.661425</v>
      </c>
      <c r="K11" s="71">
        <f t="shared" si="2"/>
        <v>65130.661425</v>
      </c>
      <c r="L11" s="71">
        <f t="shared" si="3"/>
        <v>53865.999213</v>
      </c>
      <c r="M11" s="71">
        <f t="shared" si="3"/>
        <v>29043.0336735</v>
      </c>
      <c r="O11" s="33">
        <f t="shared" si="68"/>
        <v>0</v>
      </c>
      <c r="P11" s="33">
        <f t="shared" si="4"/>
        <v>8950.88705</v>
      </c>
      <c r="Q11" s="33">
        <f t="shared" si="5"/>
        <v>8950.88705</v>
      </c>
      <c r="R11" s="51">
        <f t="shared" si="6"/>
        <v>7402.787938</v>
      </c>
      <c r="S11" s="51">
        <f t="shared" si="97"/>
        <v>3991.3753110000002</v>
      </c>
      <c r="U11" s="33">
        <f t="shared" si="69"/>
        <v>0</v>
      </c>
      <c r="V11" s="51">
        <f t="shared" si="7"/>
        <v>9132.9795</v>
      </c>
      <c r="W11" s="51">
        <f t="shared" si="8"/>
        <v>9132.9795</v>
      </c>
      <c r="X11" s="51">
        <f t="shared" si="9"/>
        <v>7553.386619999999</v>
      </c>
      <c r="Y11" s="51">
        <f t="shared" si="98"/>
        <v>4072.5738899999997</v>
      </c>
      <c r="AA11" s="33">
        <f t="shared" si="70"/>
        <v>0</v>
      </c>
      <c r="AB11" s="51">
        <f t="shared" si="10"/>
        <v>305.384635</v>
      </c>
      <c r="AC11" s="51">
        <f t="shared" si="11"/>
        <v>305.384635</v>
      </c>
      <c r="AD11" s="51">
        <f t="shared" si="12"/>
        <v>252.5668886</v>
      </c>
      <c r="AE11" s="51">
        <f t="shared" si="99"/>
        <v>136.1769717</v>
      </c>
      <c r="AG11" s="33">
        <f t="shared" si="71"/>
        <v>0</v>
      </c>
      <c r="AH11" s="33">
        <f t="shared" si="72"/>
        <v>113.42799999999998</v>
      </c>
      <c r="AI11" s="33">
        <f t="shared" si="73"/>
        <v>113.42799999999998</v>
      </c>
      <c r="AJ11" s="51">
        <f t="shared" si="74"/>
        <v>93.81007999999999</v>
      </c>
      <c r="AK11" s="51">
        <f t="shared" si="100"/>
        <v>50.57975999999999</v>
      </c>
      <c r="AM11" s="33">
        <f t="shared" si="75"/>
        <v>0</v>
      </c>
      <c r="AN11" s="33">
        <f t="shared" si="13"/>
        <v>1719.0621049999997</v>
      </c>
      <c r="AO11" s="33">
        <f t="shared" si="14"/>
        <v>1719.0621049999997</v>
      </c>
      <c r="AP11" s="51">
        <f t="shared" si="15"/>
        <v>1421.7420177999998</v>
      </c>
      <c r="AQ11" s="51">
        <f t="shared" si="101"/>
        <v>766.5633591</v>
      </c>
      <c r="AS11" s="51">
        <f t="shared" si="76"/>
        <v>0</v>
      </c>
      <c r="AT11" s="33">
        <f t="shared" si="16"/>
        <v>436.191425</v>
      </c>
      <c r="AU11" s="51">
        <f t="shared" si="17"/>
        <v>436.191425</v>
      </c>
      <c r="AV11" s="51">
        <f t="shared" si="18"/>
        <v>360.750013</v>
      </c>
      <c r="AW11" s="51">
        <f t="shared" si="102"/>
        <v>194.5062735</v>
      </c>
      <c r="AY11" s="51">
        <f t="shared" si="77"/>
        <v>0</v>
      </c>
      <c r="AZ11" s="33">
        <f t="shared" si="19"/>
        <v>466.83724</v>
      </c>
      <c r="BA11" s="51">
        <f t="shared" si="20"/>
        <v>466.83724</v>
      </c>
      <c r="BB11" s="51">
        <f t="shared" si="21"/>
        <v>386.0954864</v>
      </c>
      <c r="BC11" s="51">
        <f t="shared" si="103"/>
        <v>208.1718408</v>
      </c>
      <c r="BE11" s="33">
        <f t="shared" si="78"/>
        <v>0</v>
      </c>
      <c r="BF11" s="33">
        <f t="shared" si="22"/>
        <v>473.17705499999994</v>
      </c>
      <c r="BG11" s="33">
        <f t="shared" si="23"/>
        <v>473.17705499999994</v>
      </c>
      <c r="BH11" s="51">
        <f t="shared" si="24"/>
        <v>391.33879979999995</v>
      </c>
      <c r="BI11" s="51">
        <f t="shared" si="104"/>
        <v>210.9988881</v>
      </c>
      <c r="BK11" s="33">
        <f t="shared" si="79"/>
        <v>0</v>
      </c>
      <c r="BL11" s="33">
        <f t="shared" si="25"/>
        <v>94.043965</v>
      </c>
      <c r="BM11" s="51">
        <f t="shared" si="26"/>
        <v>94.043965</v>
      </c>
      <c r="BN11" s="51">
        <f t="shared" si="27"/>
        <v>77.7786074</v>
      </c>
      <c r="BO11" s="51">
        <f t="shared" si="105"/>
        <v>41.9360403</v>
      </c>
      <c r="BQ11" s="33">
        <f t="shared" si="80"/>
        <v>0</v>
      </c>
      <c r="BR11" s="33">
        <f t="shared" si="28"/>
        <v>763.228655</v>
      </c>
      <c r="BS11" s="51">
        <f t="shared" si="29"/>
        <v>763.228655</v>
      </c>
      <c r="BT11" s="51">
        <f t="shared" si="30"/>
        <v>631.2245758</v>
      </c>
      <c r="BU11" s="51">
        <f t="shared" si="106"/>
        <v>340.3385601</v>
      </c>
      <c r="BW11" s="33">
        <f t="shared" si="81"/>
        <v>0</v>
      </c>
      <c r="BX11" s="33">
        <f t="shared" si="82"/>
        <v>23.252740000000017</v>
      </c>
      <c r="BY11" s="51">
        <f t="shared" si="83"/>
        <v>23.252740000000017</v>
      </c>
      <c r="BZ11" s="33">
        <f t="shared" si="84"/>
        <v>19.231066400000014</v>
      </c>
      <c r="CA11" s="51">
        <f t="shared" si="107"/>
        <v>10.368850800000008</v>
      </c>
      <c r="CC11" s="51">
        <f t="shared" si="85"/>
        <v>0</v>
      </c>
      <c r="CD11" s="51">
        <f t="shared" si="31"/>
        <v>668.53653</v>
      </c>
      <c r="CE11" s="33">
        <f t="shared" si="32"/>
        <v>668.53653</v>
      </c>
      <c r="CF11" s="51">
        <f t="shared" si="33"/>
        <v>552.9099108</v>
      </c>
      <c r="CG11" s="51">
        <f t="shared" si="108"/>
        <v>298.1134926</v>
      </c>
      <c r="CI11" s="51">
        <f t="shared" si="86"/>
        <v>0</v>
      </c>
      <c r="CJ11" s="51">
        <f t="shared" si="34"/>
        <v>420.838135</v>
      </c>
      <c r="CK11" s="33">
        <f t="shared" si="35"/>
        <v>420.838135</v>
      </c>
      <c r="CL11" s="51">
        <f t="shared" si="36"/>
        <v>348.0521486</v>
      </c>
      <c r="CM11" s="51">
        <f t="shared" si="109"/>
        <v>187.6599417</v>
      </c>
      <c r="CO11" s="33">
        <f t="shared" si="87"/>
        <v>0</v>
      </c>
      <c r="CP11" s="33">
        <f t="shared" si="37"/>
        <v>16118.15931</v>
      </c>
      <c r="CQ11" s="51">
        <f t="shared" si="38"/>
        <v>16118.15931</v>
      </c>
      <c r="CR11" s="51">
        <f t="shared" si="39"/>
        <v>13330.4458716</v>
      </c>
      <c r="CS11" s="51">
        <f t="shared" si="110"/>
        <v>7187.4019602</v>
      </c>
      <c r="CU11" s="33">
        <f t="shared" si="88"/>
        <v>0</v>
      </c>
      <c r="CV11" s="33">
        <f t="shared" si="40"/>
        <v>183.95591</v>
      </c>
      <c r="CW11" s="33">
        <f t="shared" si="41"/>
        <v>183.95591</v>
      </c>
      <c r="CX11" s="51">
        <f t="shared" si="42"/>
        <v>152.1398476</v>
      </c>
      <c r="CY11" s="51">
        <f t="shared" si="111"/>
        <v>82.02953219999999</v>
      </c>
      <c r="DA11" s="33">
        <f t="shared" si="89"/>
        <v>0</v>
      </c>
      <c r="DB11" s="33">
        <f t="shared" si="43"/>
        <v>22471.62618</v>
      </c>
      <c r="DC11" s="51">
        <f t="shared" si="44"/>
        <v>22471.62618</v>
      </c>
      <c r="DD11" s="51">
        <f t="shared" si="45"/>
        <v>18585.0499848</v>
      </c>
      <c r="DE11" s="51">
        <f t="shared" si="112"/>
        <v>10020.5368956</v>
      </c>
      <c r="DG11" s="33">
        <f t="shared" si="90"/>
        <v>0</v>
      </c>
      <c r="DH11" s="33">
        <f t="shared" si="46"/>
        <v>216.7285</v>
      </c>
      <c r="DI11" s="51">
        <f t="shared" si="47"/>
        <v>216.7285</v>
      </c>
      <c r="DJ11" s="51">
        <f t="shared" si="48"/>
        <v>179.24426</v>
      </c>
      <c r="DK11" s="51">
        <f t="shared" si="113"/>
        <v>96.64347</v>
      </c>
      <c r="DM11" s="33">
        <f t="shared" si="91"/>
        <v>0</v>
      </c>
      <c r="DN11" s="33">
        <f t="shared" si="49"/>
        <v>149.90725500000002</v>
      </c>
      <c r="DO11" s="51">
        <f t="shared" si="50"/>
        <v>149.90725500000002</v>
      </c>
      <c r="DP11" s="51">
        <f t="shared" si="51"/>
        <v>123.9800718</v>
      </c>
      <c r="DQ11" s="51">
        <f t="shared" si="114"/>
        <v>66.8465721</v>
      </c>
      <c r="DS11" s="33">
        <f t="shared" si="92"/>
        <v>0</v>
      </c>
      <c r="DT11" s="51">
        <f t="shared" si="52"/>
        <v>92.44382</v>
      </c>
      <c r="DU11" s="51">
        <f t="shared" si="53"/>
        <v>92.44382</v>
      </c>
      <c r="DV11" s="51">
        <f t="shared" si="54"/>
        <v>76.4552152</v>
      </c>
      <c r="DW11" s="51">
        <f t="shared" si="115"/>
        <v>41.2225044</v>
      </c>
      <c r="DY11" s="33">
        <f t="shared" si="93"/>
        <v>0</v>
      </c>
      <c r="DZ11" s="33">
        <f t="shared" si="55"/>
        <v>2.3090699999999997</v>
      </c>
      <c r="EA11" s="51">
        <f t="shared" si="56"/>
        <v>2.3090699999999997</v>
      </c>
      <c r="EB11" s="51">
        <f t="shared" si="57"/>
        <v>1.9097051999999999</v>
      </c>
      <c r="EC11" s="51">
        <f t="shared" si="116"/>
        <v>1.0296594</v>
      </c>
      <c r="EE11" s="33">
        <f t="shared" si="94"/>
        <v>0</v>
      </c>
      <c r="EF11" s="33">
        <f t="shared" si="58"/>
        <v>569.0237149999999</v>
      </c>
      <c r="EG11" s="33">
        <f t="shared" si="59"/>
        <v>569.0237149999999</v>
      </c>
      <c r="EH11" s="51">
        <f t="shared" si="60"/>
        <v>470.6083174</v>
      </c>
      <c r="EI11" s="51">
        <f t="shared" si="117"/>
        <v>253.7387853</v>
      </c>
      <c r="EK11" s="33">
        <f t="shared" si="95"/>
        <v>0</v>
      </c>
      <c r="EL11" s="33">
        <f t="shared" si="61"/>
        <v>1368.3872900000001</v>
      </c>
      <c r="EM11" s="51">
        <f t="shared" si="62"/>
        <v>1368.3872900000001</v>
      </c>
      <c r="EN11" s="51">
        <f t="shared" si="63"/>
        <v>1131.7181044000001</v>
      </c>
      <c r="EO11" s="51">
        <f t="shared" si="118"/>
        <v>610.1906118</v>
      </c>
      <c r="EQ11" s="33">
        <f t="shared" si="96"/>
        <v>0</v>
      </c>
      <c r="ER11" s="33">
        <f t="shared" si="64"/>
        <v>390.27334</v>
      </c>
      <c r="ES11" s="51">
        <f t="shared" si="65"/>
        <v>390.27334</v>
      </c>
      <c r="ET11" s="51">
        <f t="shared" si="66"/>
        <v>322.7736824</v>
      </c>
      <c r="EU11" s="51">
        <f t="shared" si="119"/>
        <v>174.0305028</v>
      </c>
    </row>
    <row r="12" spans="1:151" ht="12.75">
      <c r="A12" s="31">
        <v>43009</v>
      </c>
      <c r="B12" s="27"/>
      <c r="D12" s="35">
        <v>202550</v>
      </c>
      <c r="E12" s="35">
        <f t="shared" si="0"/>
        <v>202550</v>
      </c>
      <c r="F12" s="35">
        <v>167518</v>
      </c>
      <c r="G12" s="35">
        <v>90321</v>
      </c>
      <c r="I12" s="71"/>
      <c r="J12" s="71">
        <f t="shared" si="1"/>
        <v>65130.661425</v>
      </c>
      <c r="K12" s="71">
        <f t="shared" si="2"/>
        <v>65130.661425</v>
      </c>
      <c r="L12" s="71">
        <f t="shared" si="3"/>
        <v>53865.999213</v>
      </c>
      <c r="M12" s="71">
        <f t="shared" si="3"/>
        <v>29043.0336735</v>
      </c>
      <c r="P12" s="33">
        <f t="shared" si="4"/>
        <v>8950.88705</v>
      </c>
      <c r="Q12" s="33">
        <f t="shared" si="5"/>
        <v>8950.88705</v>
      </c>
      <c r="R12" s="51">
        <f t="shared" si="6"/>
        <v>7402.787938</v>
      </c>
      <c r="S12" s="51">
        <f t="shared" si="97"/>
        <v>3991.3753110000002</v>
      </c>
      <c r="V12" s="51">
        <f t="shared" si="7"/>
        <v>9132.9795</v>
      </c>
      <c r="W12" s="51">
        <f t="shared" si="8"/>
        <v>9132.9795</v>
      </c>
      <c r="X12" s="51">
        <f t="shared" si="9"/>
        <v>7553.386619999999</v>
      </c>
      <c r="Y12" s="51">
        <f t="shared" si="98"/>
        <v>4072.5738899999997</v>
      </c>
      <c r="AB12" s="51">
        <f t="shared" si="10"/>
        <v>305.384635</v>
      </c>
      <c r="AC12" s="51">
        <f t="shared" si="11"/>
        <v>305.384635</v>
      </c>
      <c r="AD12" s="51">
        <f t="shared" si="12"/>
        <v>252.5668886</v>
      </c>
      <c r="AE12" s="51">
        <f t="shared" si="99"/>
        <v>136.1769717</v>
      </c>
      <c r="AG12" s="33">
        <f t="shared" si="71"/>
        <v>0</v>
      </c>
      <c r="AH12" s="33">
        <f t="shared" si="72"/>
        <v>113.42799999999998</v>
      </c>
      <c r="AI12" s="33">
        <f t="shared" si="73"/>
        <v>113.42799999999998</v>
      </c>
      <c r="AJ12" s="51">
        <f t="shared" si="74"/>
        <v>93.81007999999999</v>
      </c>
      <c r="AK12" s="51">
        <f t="shared" si="100"/>
        <v>50.57975999999999</v>
      </c>
      <c r="AN12" s="33">
        <f t="shared" si="13"/>
        <v>1719.0621049999997</v>
      </c>
      <c r="AO12" s="33">
        <f t="shared" si="14"/>
        <v>1719.0621049999997</v>
      </c>
      <c r="AP12" s="51">
        <f t="shared" si="15"/>
        <v>1421.7420177999998</v>
      </c>
      <c r="AQ12" s="51">
        <f t="shared" si="101"/>
        <v>766.5633591</v>
      </c>
      <c r="AS12" s="51"/>
      <c r="AT12" s="33">
        <f t="shared" si="16"/>
        <v>436.191425</v>
      </c>
      <c r="AU12" s="51">
        <f t="shared" si="17"/>
        <v>436.191425</v>
      </c>
      <c r="AV12" s="51">
        <f t="shared" si="18"/>
        <v>360.750013</v>
      </c>
      <c r="AW12" s="51">
        <f t="shared" si="102"/>
        <v>194.5062735</v>
      </c>
      <c r="AY12" s="51"/>
      <c r="AZ12" s="33">
        <f t="shared" si="19"/>
        <v>466.83724</v>
      </c>
      <c r="BA12" s="51">
        <f t="shared" si="20"/>
        <v>466.83724</v>
      </c>
      <c r="BB12" s="51">
        <f t="shared" si="21"/>
        <v>386.0954864</v>
      </c>
      <c r="BC12" s="51">
        <f t="shared" si="103"/>
        <v>208.1718408</v>
      </c>
      <c r="BF12" s="33">
        <f t="shared" si="22"/>
        <v>473.17705499999994</v>
      </c>
      <c r="BG12" s="33">
        <f t="shared" si="23"/>
        <v>473.17705499999994</v>
      </c>
      <c r="BH12" s="51">
        <f t="shared" si="24"/>
        <v>391.33879979999995</v>
      </c>
      <c r="BI12" s="51">
        <f t="shared" si="104"/>
        <v>210.9988881</v>
      </c>
      <c r="BL12" s="33">
        <f t="shared" si="25"/>
        <v>94.043965</v>
      </c>
      <c r="BM12" s="51">
        <f t="shared" si="26"/>
        <v>94.043965</v>
      </c>
      <c r="BN12" s="51">
        <f t="shared" si="27"/>
        <v>77.7786074</v>
      </c>
      <c r="BO12" s="51">
        <f t="shared" si="105"/>
        <v>41.9360403</v>
      </c>
      <c r="BR12" s="33">
        <f t="shared" si="28"/>
        <v>763.228655</v>
      </c>
      <c r="BS12" s="51">
        <f t="shared" si="29"/>
        <v>763.228655</v>
      </c>
      <c r="BT12" s="51">
        <f t="shared" si="30"/>
        <v>631.2245758</v>
      </c>
      <c r="BU12" s="51">
        <f t="shared" si="106"/>
        <v>340.3385601</v>
      </c>
      <c r="BW12" s="33">
        <f t="shared" si="81"/>
        <v>0</v>
      </c>
      <c r="BX12" s="33">
        <f t="shared" si="82"/>
        <v>23.252740000000017</v>
      </c>
      <c r="BY12" s="51">
        <f t="shared" si="83"/>
        <v>23.252740000000017</v>
      </c>
      <c r="BZ12" s="33">
        <f t="shared" si="84"/>
        <v>19.231066400000014</v>
      </c>
      <c r="CA12" s="51">
        <f t="shared" si="107"/>
        <v>10.368850800000008</v>
      </c>
      <c r="CC12" s="51"/>
      <c r="CD12" s="51">
        <f t="shared" si="31"/>
        <v>668.53653</v>
      </c>
      <c r="CE12" s="33">
        <f t="shared" si="32"/>
        <v>668.53653</v>
      </c>
      <c r="CF12" s="51">
        <f t="shared" si="33"/>
        <v>552.9099108</v>
      </c>
      <c r="CG12" s="51">
        <f t="shared" si="108"/>
        <v>298.1134926</v>
      </c>
      <c r="CI12" s="51"/>
      <c r="CJ12" s="51">
        <f t="shared" si="34"/>
        <v>420.838135</v>
      </c>
      <c r="CK12" s="33">
        <f t="shared" si="35"/>
        <v>420.838135</v>
      </c>
      <c r="CL12" s="51">
        <f t="shared" si="36"/>
        <v>348.0521486</v>
      </c>
      <c r="CM12" s="51">
        <f t="shared" si="109"/>
        <v>187.6599417</v>
      </c>
      <c r="CP12" s="33">
        <f t="shared" si="37"/>
        <v>16118.15931</v>
      </c>
      <c r="CQ12" s="51">
        <f t="shared" si="38"/>
        <v>16118.15931</v>
      </c>
      <c r="CR12" s="51">
        <f t="shared" si="39"/>
        <v>13330.4458716</v>
      </c>
      <c r="CS12" s="51">
        <f t="shared" si="110"/>
        <v>7187.4019602</v>
      </c>
      <c r="CV12" s="33">
        <f t="shared" si="40"/>
        <v>183.95591</v>
      </c>
      <c r="CW12" s="33">
        <f t="shared" si="41"/>
        <v>183.95591</v>
      </c>
      <c r="CX12" s="51">
        <f t="shared" si="42"/>
        <v>152.1398476</v>
      </c>
      <c r="CY12" s="51">
        <f t="shared" si="111"/>
        <v>82.02953219999999</v>
      </c>
      <c r="DB12" s="33">
        <f t="shared" si="43"/>
        <v>22471.62618</v>
      </c>
      <c r="DC12" s="51">
        <f t="shared" si="44"/>
        <v>22471.62618</v>
      </c>
      <c r="DD12" s="51">
        <f t="shared" si="45"/>
        <v>18585.0499848</v>
      </c>
      <c r="DE12" s="51">
        <f t="shared" si="112"/>
        <v>10020.5368956</v>
      </c>
      <c r="DH12" s="33">
        <f t="shared" si="46"/>
        <v>216.7285</v>
      </c>
      <c r="DI12" s="51">
        <f t="shared" si="47"/>
        <v>216.7285</v>
      </c>
      <c r="DJ12" s="51">
        <f t="shared" si="48"/>
        <v>179.24426</v>
      </c>
      <c r="DK12" s="51">
        <f t="shared" si="113"/>
        <v>96.64347</v>
      </c>
      <c r="DN12" s="33">
        <f t="shared" si="49"/>
        <v>149.90725500000002</v>
      </c>
      <c r="DO12" s="51">
        <f t="shared" si="50"/>
        <v>149.90725500000002</v>
      </c>
      <c r="DP12" s="51">
        <f t="shared" si="51"/>
        <v>123.9800718</v>
      </c>
      <c r="DQ12" s="51">
        <f t="shared" si="114"/>
        <v>66.8465721</v>
      </c>
      <c r="DT12" s="51">
        <f t="shared" si="52"/>
        <v>92.44382</v>
      </c>
      <c r="DU12" s="51">
        <f t="shared" si="53"/>
        <v>92.44382</v>
      </c>
      <c r="DV12" s="51">
        <f t="shared" si="54"/>
        <v>76.4552152</v>
      </c>
      <c r="DW12" s="51">
        <f t="shared" si="115"/>
        <v>41.2225044</v>
      </c>
      <c r="DZ12" s="33">
        <f t="shared" si="55"/>
        <v>2.3090699999999997</v>
      </c>
      <c r="EA12" s="51">
        <f t="shared" si="56"/>
        <v>2.3090699999999997</v>
      </c>
      <c r="EB12" s="51">
        <f t="shared" si="57"/>
        <v>1.9097051999999999</v>
      </c>
      <c r="EC12" s="51">
        <f t="shared" si="116"/>
        <v>1.0296594</v>
      </c>
      <c r="EF12" s="33">
        <f t="shared" si="58"/>
        <v>569.0237149999999</v>
      </c>
      <c r="EG12" s="33">
        <f t="shared" si="59"/>
        <v>569.0237149999999</v>
      </c>
      <c r="EH12" s="51">
        <f t="shared" si="60"/>
        <v>470.6083174</v>
      </c>
      <c r="EI12" s="51">
        <f t="shared" si="117"/>
        <v>253.7387853</v>
      </c>
      <c r="EL12" s="33">
        <f t="shared" si="61"/>
        <v>1368.3872900000001</v>
      </c>
      <c r="EM12" s="51">
        <f t="shared" si="62"/>
        <v>1368.3872900000001</v>
      </c>
      <c r="EN12" s="51">
        <f t="shared" si="63"/>
        <v>1131.7181044000001</v>
      </c>
      <c r="EO12" s="51">
        <f t="shared" si="118"/>
        <v>610.1906118</v>
      </c>
      <c r="ER12" s="33">
        <f t="shared" si="64"/>
        <v>390.27334</v>
      </c>
      <c r="ES12" s="51">
        <f t="shared" si="65"/>
        <v>390.27334</v>
      </c>
      <c r="ET12" s="51">
        <f t="shared" si="66"/>
        <v>322.7736824</v>
      </c>
      <c r="EU12" s="51">
        <f t="shared" si="119"/>
        <v>174.0305028</v>
      </c>
    </row>
    <row r="13" spans="1:151" ht="12.75">
      <c r="A13" s="31">
        <v>43191</v>
      </c>
      <c r="D13" s="35">
        <v>202550</v>
      </c>
      <c r="E13" s="35">
        <f t="shared" si="0"/>
        <v>202550</v>
      </c>
      <c r="F13" s="35">
        <v>167518</v>
      </c>
      <c r="G13" s="35">
        <v>90321</v>
      </c>
      <c r="I13" s="71">
        <f t="shared" si="67"/>
        <v>0</v>
      </c>
      <c r="J13" s="71">
        <f t="shared" si="1"/>
        <v>65130.661425</v>
      </c>
      <c r="K13" s="71">
        <f t="shared" si="2"/>
        <v>65130.661425</v>
      </c>
      <c r="L13" s="71">
        <f t="shared" si="3"/>
        <v>53865.999213</v>
      </c>
      <c r="M13" s="71">
        <f t="shared" si="3"/>
        <v>29043.0336735</v>
      </c>
      <c r="O13" s="33">
        <f t="shared" si="68"/>
        <v>0</v>
      </c>
      <c r="P13" s="33">
        <f t="shared" si="4"/>
        <v>8950.88705</v>
      </c>
      <c r="Q13" s="33">
        <f t="shared" si="5"/>
        <v>8950.88705</v>
      </c>
      <c r="R13" s="51">
        <f t="shared" si="6"/>
        <v>7402.787938</v>
      </c>
      <c r="S13" s="51">
        <f t="shared" si="97"/>
        <v>3991.3753110000002</v>
      </c>
      <c r="U13" s="33">
        <f t="shared" si="69"/>
        <v>0</v>
      </c>
      <c r="V13" s="51">
        <f t="shared" si="7"/>
        <v>9132.9795</v>
      </c>
      <c r="W13" s="51">
        <f t="shared" si="8"/>
        <v>9132.9795</v>
      </c>
      <c r="X13" s="51">
        <f t="shared" si="9"/>
        <v>7553.386619999999</v>
      </c>
      <c r="Y13" s="51">
        <f t="shared" si="98"/>
        <v>4072.5738899999997</v>
      </c>
      <c r="AA13" s="33">
        <f t="shared" si="70"/>
        <v>0</v>
      </c>
      <c r="AB13" s="51">
        <f t="shared" si="10"/>
        <v>305.384635</v>
      </c>
      <c r="AC13" s="51">
        <f t="shared" si="11"/>
        <v>305.384635</v>
      </c>
      <c r="AD13" s="51">
        <f t="shared" si="12"/>
        <v>252.5668886</v>
      </c>
      <c r="AE13" s="51">
        <f t="shared" si="99"/>
        <v>136.1769717</v>
      </c>
      <c r="AG13" s="33">
        <f t="shared" si="71"/>
        <v>0</v>
      </c>
      <c r="AH13" s="33">
        <f t="shared" si="72"/>
        <v>113.42799999999998</v>
      </c>
      <c r="AI13" s="33">
        <f t="shared" si="73"/>
        <v>113.42799999999998</v>
      </c>
      <c r="AJ13" s="51">
        <f t="shared" si="74"/>
        <v>93.81007999999999</v>
      </c>
      <c r="AK13" s="51">
        <f t="shared" si="100"/>
        <v>50.57975999999999</v>
      </c>
      <c r="AM13" s="33">
        <f t="shared" si="75"/>
        <v>0</v>
      </c>
      <c r="AN13" s="33">
        <f t="shared" si="13"/>
        <v>1719.0621049999997</v>
      </c>
      <c r="AO13" s="33">
        <f t="shared" si="14"/>
        <v>1719.0621049999997</v>
      </c>
      <c r="AP13" s="51">
        <f t="shared" si="15"/>
        <v>1421.7420177999998</v>
      </c>
      <c r="AQ13" s="51">
        <f t="shared" si="101"/>
        <v>766.5633591</v>
      </c>
      <c r="AS13" s="51">
        <f t="shared" si="76"/>
        <v>0</v>
      </c>
      <c r="AT13" s="33">
        <f t="shared" si="16"/>
        <v>436.191425</v>
      </c>
      <c r="AU13" s="51">
        <f t="shared" si="17"/>
        <v>436.191425</v>
      </c>
      <c r="AV13" s="51">
        <f t="shared" si="18"/>
        <v>360.750013</v>
      </c>
      <c r="AW13" s="51">
        <f t="shared" si="102"/>
        <v>194.5062735</v>
      </c>
      <c r="AY13" s="51">
        <f t="shared" si="77"/>
        <v>0</v>
      </c>
      <c r="AZ13" s="33">
        <f t="shared" si="19"/>
        <v>466.83724</v>
      </c>
      <c r="BA13" s="51">
        <f t="shared" si="20"/>
        <v>466.83724</v>
      </c>
      <c r="BB13" s="51">
        <f t="shared" si="21"/>
        <v>386.0954864</v>
      </c>
      <c r="BC13" s="51">
        <f t="shared" si="103"/>
        <v>208.1718408</v>
      </c>
      <c r="BE13" s="33">
        <f t="shared" si="78"/>
        <v>0</v>
      </c>
      <c r="BF13" s="33">
        <f t="shared" si="22"/>
        <v>473.17705499999994</v>
      </c>
      <c r="BG13" s="33">
        <f t="shared" si="23"/>
        <v>473.17705499999994</v>
      </c>
      <c r="BH13" s="51">
        <f t="shared" si="24"/>
        <v>391.33879979999995</v>
      </c>
      <c r="BI13" s="51">
        <f t="shared" si="104"/>
        <v>210.9988881</v>
      </c>
      <c r="BK13" s="33">
        <f t="shared" si="79"/>
        <v>0</v>
      </c>
      <c r="BL13" s="33">
        <f t="shared" si="25"/>
        <v>94.043965</v>
      </c>
      <c r="BM13" s="51">
        <f t="shared" si="26"/>
        <v>94.043965</v>
      </c>
      <c r="BN13" s="51">
        <f t="shared" si="27"/>
        <v>77.7786074</v>
      </c>
      <c r="BO13" s="51">
        <f t="shared" si="105"/>
        <v>41.9360403</v>
      </c>
      <c r="BQ13" s="33">
        <f t="shared" si="80"/>
        <v>0</v>
      </c>
      <c r="BR13" s="33">
        <f t="shared" si="28"/>
        <v>763.228655</v>
      </c>
      <c r="BS13" s="51">
        <f t="shared" si="29"/>
        <v>763.228655</v>
      </c>
      <c r="BT13" s="51">
        <f t="shared" si="30"/>
        <v>631.2245758</v>
      </c>
      <c r="BU13" s="51">
        <f t="shared" si="106"/>
        <v>340.3385601</v>
      </c>
      <c r="BW13" s="33">
        <f t="shared" si="81"/>
        <v>0</v>
      </c>
      <c r="BX13" s="33">
        <f t="shared" si="82"/>
        <v>23.252740000000017</v>
      </c>
      <c r="BY13" s="51">
        <f t="shared" si="83"/>
        <v>23.252740000000017</v>
      </c>
      <c r="BZ13" s="33">
        <f t="shared" si="84"/>
        <v>19.231066400000014</v>
      </c>
      <c r="CA13" s="51">
        <f t="shared" si="107"/>
        <v>10.368850800000008</v>
      </c>
      <c r="CC13" s="51">
        <f t="shared" si="85"/>
        <v>0</v>
      </c>
      <c r="CD13" s="51">
        <f t="shared" si="31"/>
        <v>668.53653</v>
      </c>
      <c r="CE13" s="33">
        <f t="shared" si="32"/>
        <v>668.53653</v>
      </c>
      <c r="CF13" s="51">
        <f t="shared" si="33"/>
        <v>552.9099108</v>
      </c>
      <c r="CG13" s="51">
        <f t="shared" si="108"/>
        <v>298.1134926</v>
      </c>
      <c r="CI13" s="51">
        <f t="shared" si="86"/>
        <v>0</v>
      </c>
      <c r="CJ13" s="51">
        <f t="shared" si="34"/>
        <v>420.838135</v>
      </c>
      <c r="CK13" s="33">
        <f t="shared" si="35"/>
        <v>420.838135</v>
      </c>
      <c r="CL13" s="51">
        <f t="shared" si="36"/>
        <v>348.0521486</v>
      </c>
      <c r="CM13" s="51">
        <f t="shared" si="109"/>
        <v>187.6599417</v>
      </c>
      <c r="CO13" s="33">
        <f t="shared" si="87"/>
        <v>0</v>
      </c>
      <c r="CP13" s="33">
        <f t="shared" si="37"/>
        <v>16118.15931</v>
      </c>
      <c r="CQ13" s="51">
        <f t="shared" si="38"/>
        <v>16118.15931</v>
      </c>
      <c r="CR13" s="51">
        <f t="shared" si="39"/>
        <v>13330.4458716</v>
      </c>
      <c r="CS13" s="51">
        <f t="shared" si="110"/>
        <v>7187.4019602</v>
      </c>
      <c r="CU13" s="33">
        <f t="shared" si="88"/>
        <v>0</v>
      </c>
      <c r="CV13" s="33">
        <f t="shared" si="40"/>
        <v>183.95591</v>
      </c>
      <c r="CW13" s="33">
        <f t="shared" si="41"/>
        <v>183.95591</v>
      </c>
      <c r="CX13" s="51">
        <f t="shared" si="42"/>
        <v>152.1398476</v>
      </c>
      <c r="CY13" s="51">
        <f t="shared" si="111"/>
        <v>82.02953219999999</v>
      </c>
      <c r="DA13" s="33">
        <f t="shared" si="89"/>
        <v>0</v>
      </c>
      <c r="DB13" s="33">
        <f t="shared" si="43"/>
        <v>22471.62618</v>
      </c>
      <c r="DC13" s="51">
        <f t="shared" si="44"/>
        <v>22471.62618</v>
      </c>
      <c r="DD13" s="51">
        <f t="shared" si="45"/>
        <v>18585.0499848</v>
      </c>
      <c r="DE13" s="51">
        <f t="shared" si="112"/>
        <v>10020.5368956</v>
      </c>
      <c r="DG13" s="33">
        <f t="shared" si="90"/>
        <v>0</v>
      </c>
      <c r="DH13" s="33">
        <f t="shared" si="46"/>
        <v>216.7285</v>
      </c>
      <c r="DI13" s="51">
        <f t="shared" si="47"/>
        <v>216.7285</v>
      </c>
      <c r="DJ13" s="51">
        <f t="shared" si="48"/>
        <v>179.24426</v>
      </c>
      <c r="DK13" s="51">
        <f t="shared" si="113"/>
        <v>96.64347</v>
      </c>
      <c r="DM13" s="33">
        <f t="shared" si="91"/>
        <v>0</v>
      </c>
      <c r="DN13" s="33">
        <f t="shared" si="49"/>
        <v>149.90725500000002</v>
      </c>
      <c r="DO13" s="51">
        <f t="shared" si="50"/>
        <v>149.90725500000002</v>
      </c>
      <c r="DP13" s="51">
        <f t="shared" si="51"/>
        <v>123.9800718</v>
      </c>
      <c r="DQ13" s="51">
        <f t="shared" si="114"/>
        <v>66.8465721</v>
      </c>
      <c r="DS13" s="33">
        <f t="shared" si="92"/>
        <v>0</v>
      </c>
      <c r="DT13" s="51">
        <f t="shared" si="52"/>
        <v>92.44382</v>
      </c>
      <c r="DU13" s="51">
        <f t="shared" si="53"/>
        <v>92.44382</v>
      </c>
      <c r="DV13" s="51">
        <f t="shared" si="54"/>
        <v>76.4552152</v>
      </c>
      <c r="DW13" s="51">
        <f t="shared" si="115"/>
        <v>41.2225044</v>
      </c>
      <c r="DY13" s="33">
        <f t="shared" si="93"/>
        <v>0</v>
      </c>
      <c r="DZ13" s="33">
        <f t="shared" si="55"/>
        <v>2.3090699999999997</v>
      </c>
      <c r="EA13" s="51">
        <f t="shared" si="56"/>
        <v>2.3090699999999997</v>
      </c>
      <c r="EB13" s="51">
        <f t="shared" si="57"/>
        <v>1.9097051999999999</v>
      </c>
      <c r="EC13" s="51">
        <f t="shared" si="116"/>
        <v>1.0296594</v>
      </c>
      <c r="EE13" s="33">
        <f t="shared" si="94"/>
        <v>0</v>
      </c>
      <c r="EF13" s="33">
        <f t="shared" si="58"/>
        <v>569.0237149999999</v>
      </c>
      <c r="EG13" s="33">
        <f t="shared" si="59"/>
        <v>569.0237149999999</v>
      </c>
      <c r="EH13" s="51">
        <f t="shared" si="60"/>
        <v>470.6083174</v>
      </c>
      <c r="EI13" s="51">
        <f t="shared" si="117"/>
        <v>253.7387853</v>
      </c>
      <c r="EK13" s="33">
        <f t="shared" si="95"/>
        <v>0</v>
      </c>
      <c r="EL13" s="33">
        <f t="shared" si="61"/>
        <v>1368.3872900000001</v>
      </c>
      <c r="EM13" s="51">
        <f t="shared" si="62"/>
        <v>1368.3872900000001</v>
      </c>
      <c r="EN13" s="51">
        <f t="shared" si="63"/>
        <v>1131.7181044000001</v>
      </c>
      <c r="EO13" s="51">
        <f t="shared" si="118"/>
        <v>610.1906118</v>
      </c>
      <c r="EQ13" s="33">
        <f t="shared" si="96"/>
        <v>0</v>
      </c>
      <c r="ER13" s="33">
        <f t="shared" si="64"/>
        <v>390.27334</v>
      </c>
      <c r="ES13" s="51">
        <f t="shared" si="65"/>
        <v>390.27334</v>
      </c>
      <c r="ET13" s="51">
        <f t="shared" si="66"/>
        <v>322.7736824</v>
      </c>
      <c r="EU13" s="51">
        <f t="shared" si="119"/>
        <v>174.0305028</v>
      </c>
    </row>
    <row r="14" spans="1:151" ht="12.75">
      <c r="A14" s="31">
        <v>43374</v>
      </c>
      <c r="D14" s="35">
        <v>202550</v>
      </c>
      <c r="E14" s="35">
        <f t="shared" si="0"/>
        <v>202550</v>
      </c>
      <c r="F14" s="35">
        <v>167518</v>
      </c>
      <c r="G14" s="35">
        <v>90321</v>
      </c>
      <c r="I14" s="71"/>
      <c r="J14" s="71">
        <f t="shared" si="1"/>
        <v>65130.661425</v>
      </c>
      <c r="K14" s="71">
        <f t="shared" si="2"/>
        <v>65130.661425</v>
      </c>
      <c r="L14" s="71">
        <f t="shared" si="3"/>
        <v>53865.999213</v>
      </c>
      <c r="M14" s="71">
        <f t="shared" si="3"/>
        <v>29043.0336735</v>
      </c>
      <c r="P14" s="33">
        <f t="shared" si="4"/>
        <v>8950.88705</v>
      </c>
      <c r="Q14" s="33">
        <f t="shared" si="5"/>
        <v>8950.88705</v>
      </c>
      <c r="R14" s="51">
        <f t="shared" si="6"/>
        <v>7402.787938</v>
      </c>
      <c r="S14" s="51">
        <f t="shared" si="97"/>
        <v>3991.3753110000002</v>
      </c>
      <c r="V14" s="51">
        <f t="shared" si="7"/>
        <v>9132.9795</v>
      </c>
      <c r="W14" s="51">
        <f t="shared" si="8"/>
        <v>9132.9795</v>
      </c>
      <c r="X14" s="51">
        <f t="shared" si="9"/>
        <v>7553.386619999999</v>
      </c>
      <c r="Y14" s="51">
        <f t="shared" si="98"/>
        <v>4072.5738899999997</v>
      </c>
      <c r="AB14" s="51">
        <f t="shared" si="10"/>
        <v>305.384635</v>
      </c>
      <c r="AC14" s="51">
        <f t="shared" si="11"/>
        <v>305.384635</v>
      </c>
      <c r="AD14" s="51">
        <f t="shared" si="12"/>
        <v>252.5668886</v>
      </c>
      <c r="AE14" s="51">
        <f t="shared" si="99"/>
        <v>136.1769717</v>
      </c>
      <c r="AG14" s="33">
        <f t="shared" si="71"/>
        <v>0</v>
      </c>
      <c r="AH14" s="33">
        <f t="shared" si="72"/>
        <v>113.42799999999998</v>
      </c>
      <c r="AI14" s="33">
        <f t="shared" si="73"/>
        <v>113.42799999999998</v>
      </c>
      <c r="AJ14" s="51">
        <f t="shared" si="74"/>
        <v>93.81007999999999</v>
      </c>
      <c r="AK14" s="51">
        <f t="shared" si="100"/>
        <v>50.57975999999999</v>
      </c>
      <c r="AN14" s="33">
        <f t="shared" si="13"/>
        <v>1719.0621049999997</v>
      </c>
      <c r="AO14" s="33">
        <f t="shared" si="14"/>
        <v>1719.0621049999997</v>
      </c>
      <c r="AP14" s="51">
        <f t="shared" si="15"/>
        <v>1421.7420177999998</v>
      </c>
      <c r="AQ14" s="51">
        <f t="shared" si="101"/>
        <v>766.5633591</v>
      </c>
      <c r="AS14" s="51"/>
      <c r="AT14" s="33">
        <f t="shared" si="16"/>
        <v>436.191425</v>
      </c>
      <c r="AU14" s="51">
        <f t="shared" si="17"/>
        <v>436.191425</v>
      </c>
      <c r="AV14" s="51">
        <f t="shared" si="18"/>
        <v>360.750013</v>
      </c>
      <c r="AW14" s="51">
        <f t="shared" si="102"/>
        <v>194.5062735</v>
      </c>
      <c r="AY14" s="51"/>
      <c r="AZ14" s="33">
        <f t="shared" si="19"/>
        <v>466.83724</v>
      </c>
      <c r="BA14" s="51">
        <f t="shared" si="20"/>
        <v>466.83724</v>
      </c>
      <c r="BB14" s="51">
        <f t="shared" si="21"/>
        <v>386.0954864</v>
      </c>
      <c r="BC14" s="51">
        <f t="shared" si="103"/>
        <v>208.1718408</v>
      </c>
      <c r="BF14" s="33">
        <f t="shared" si="22"/>
        <v>473.17705499999994</v>
      </c>
      <c r="BG14" s="33">
        <f t="shared" si="23"/>
        <v>473.17705499999994</v>
      </c>
      <c r="BH14" s="51">
        <f t="shared" si="24"/>
        <v>391.33879979999995</v>
      </c>
      <c r="BI14" s="51">
        <f t="shared" si="104"/>
        <v>210.9988881</v>
      </c>
      <c r="BL14" s="33">
        <f t="shared" si="25"/>
        <v>94.043965</v>
      </c>
      <c r="BM14" s="51">
        <f t="shared" si="26"/>
        <v>94.043965</v>
      </c>
      <c r="BN14" s="51">
        <f t="shared" si="27"/>
        <v>77.7786074</v>
      </c>
      <c r="BO14" s="51">
        <f t="shared" si="105"/>
        <v>41.9360403</v>
      </c>
      <c r="BR14" s="33">
        <f t="shared" si="28"/>
        <v>763.228655</v>
      </c>
      <c r="BS14" s="51">
        <f t="shared" si="29"/>
        <v>763.228655</v>
      </c>
      <c r="BT14" s="51">
        <f t="shared" si="30"/>
        <v>631.2245758</v>
      </c>
      <c r="BU14" s="51">
        <f t="shared" si="106"/>
        <v>340.3385601</v>
      </c>
      <c r="BW14" s="33">
        <f t="shared" si="81"/>
        <v>0</v>
      </c>
      <c r="BX14" s="33">
        <f t="shared" si="82"/>
        <v>23.252740000000017</v>
      </c>
      <c r="BY14" s="51">
        <f t="shared" si="83"/>
        <v>23.252740000000017</v>
      </c>
      <c r="BZ14" s="33">
        <f t="shared" si="84"/>
        <v>19.231066400000014</v>
      </c>
      <c r="CA14" s="51">
        <f t="shared" si="107"/>
        <v>10.368850800000008</v>
      </c>
      <c r="CC14" s="51"/>
      <c r="CD14" s="51">
        <f t="shared" si="31"/>
        <v>668.53653</v>
      </c>
      <c r="CE14" s="33">
        <f t="shared" si="32"/>
        <v>668.53653</v>
      </c>
      <c r="CF14" s="51">
        <f t="shared" si="33"/>
        <v>552.9099108</v>
      </c>
      <c r="CG14" s="51">
        <f t="shared" si="108"/>
        <v>298.1134926</v>
      </c>
      <c r="CI14" s="51"/>
      <c r="CJ14" s="51">
        <f t="shared" si="34"/>
        <v>420.838135</v>
      </c>
      <c r="CK14" s="33">
        <f t="shared" si="35"/>
        <v>420.838135</v>
      </c>
      <c r="CL14" s="51">
        <f t="shared" si="36"/>
        <v>348.0521486</v>
      </c>
      <c r="CM14" s="51">
        <f t="shared" si="109"/>
        <v>187.6599417</v>
      </c>
      <c r="CP14" s="33">
        <f t="shared" si="37"/>
        <v>16118.15931</v>
      </c>
      <c r="CQ14" s="51">
        <f t="shared" si="38"/>
        <v>16118.15931</v>
      </c>
      <c r="CR14" s="51">
        <f t="shared" si="39"/>
        <v>13330.4458716</v>
      </c>
      <c r="CS14" s="51">
        <f t="shared" si="110"/>
        <v>7187.4019602</v>
      </c>
      <c r="CV14" s="33">
        <f t="shared" si="40"/>
        <v>183.95591</v>
      </c>
      <c r="CW14" s="33">
        <f t="shared" si="41"/>
        <v>183.95591</v>
      </c>
      <c r="CX14" s="51">
        <f t="shared" si="42"/>
        <v>152.1398476</v>
      </c>
      <c r="CY14" s="51">
        <f t="shared" si="111"/>
        <v>82.02953219999999</v>
      </c>
      <c r="DB14" s="33">
        <f t="shared" si="43"/>
        <v>22471.62618</v>
      </c>
      <c r="DC14" s="51">
        <f t="shared" si="44"/>
        <v>22471.62618</v>
      </c>
      <c r="DD14" s="51">
        <f t="shared" si="45"/>
        <v>18585.0499848</v>
      </c>
      <c r="DE14" s="51">
        <f t="shared" si="112"/>
        <v>10020.5368956</v>
      </c>
      <c r="DH14" s="33">
        <f t="shared" si="46"/>
        <v>216.7285</v>
      </c>
      <c r="DI14" s="51">
        <f t="shared" si="47"/>
        <v>216.7285</v>
      </c>
      <c r="DJ14" s="51">
        <f t="shared" si="48"/>
        <v>179.24426</v>
      </c>
      <c r="DK14" s="51">
        <f t="shared" si="113"/>
        <v>96.64347</v>
      </c>
      <c r="DN14" s="33">
        <f t="shared" si="49"/>
        <v>149.90725500000002</v>
      </c>
      <c r="DO14" s="51">
        <f t="shared" si="50"/>
        <v>149.90725500000002</v>
      </c>
      <c r="DP14" s="51">
        <f t="shared" si="51"/>
        <v>123.9800718</v>
      </c>
      <c r="DQ14" s="51">
        <f t="shared" si="114"/>
        <v>66.8465721</v>
      </c>
      <c r="DT14" s="51">
        <f t="shared" si="52"/>
        <v>92.44382</v>
      </c>
      <c r="DU14" s="51">
        <f t="shared" si="53"/>
        <v>92.44382</v>
      </c>
      <c r="DV14" s="51">
        <f t="shared" si="54"/>
        <v>76.4552152</v>
      </c>
      <c r="DW14" s="51">
        <f t="shared" si="115"/>
        <v>41.2225044</v>
      </c>
      <c r="DZ14" s="33">
        <f t="shared" si="55"/>
        <v>2.3090699999999997</v>
      </c>
      <c r="EA14" s="51">
        <f t="shared" si="56"/>
        <v>2.3090699999999997</v>
      </c>
      <c r="EB14" s="51">
        <f t="shared" si="57"/>
        <v>1.9097051999999999</v>
      </c>
      <c r="EC14" s="51">
        <f t="shared" si="116"/>
        <v>1.0296594</v>
      </c>
      <c r="EF14" s="33">
        <f t="shared" si="58"/>
        <v>569.0237149999999</v>
      </c>
      <c r="EG14" s="33">
        <f t="shared" si="59"/>
        <v>569.0237149999999</v>
      </c>
      <c r="EH14" s="51">
        <f t="shared" si="60"/>
        <v>470.6083174</v>
      </c>
      <c r="EI14" s="51">
        <f t="shared" si="117"/>
        <v>253.7387853</v>
      </c>
      <c r="EL14" s="33">
        <f t="shared" si="61"/>
        <v>1368.3872900000001</v>
      </c>
      <c r="EM14" s="51">
        <f t="shared" si="62"/>
        <v>1368.3872900000001</v>
      </c>
      <c r="EN14" s="51">
        <f t="shared" si="63"/>
        <v>1131.7181044000001</v>
      </c>
      <c r="EO14" s="51">
        <f t="shared" si="118"/>
        <v>610.1906118</v>
      </c>
      <c r="ER14" s="33">
        <f t="shared" si="64"/>
        <v>390.27334</v>
      </c>
      <c r="ES14" s="51">
        <f t="shared" si="65"/>
        <v>390.27334</v>
      </c>
      <c r="ET14" s="51">
        <f t="shared" si="66"/>
        <v>322.7736824</v>
      </c>
      <c r="EU14" s="51">
        <f t="shared" si="119"/>
        <v>174.0305028</v>
      </c>
    </row>
    <row r="15" spans="1:151" ht="12.75">
      <c r="A15" s="31">
        <v>43556</v>
      </c>
      <c r="D15" s="35">
        <v>202550</v>
      </c>
      <c r="E15" s="35">
        <f t="shared" si="0"/>
        <v>202550</v>
      </c>
      <c r="F15" s="35">
        <v>167518</v>
      </c>
      <c r="G15" s="35">
        <v>90321</v>
      </c>
      <c r="I15" s="71">
        <f t="shared" si="67"/>
        <v>0</v>
      </c>
      <c r="J15" s="71">
        <f t="shared" si="1"/>
        <v>65130.661425</v>
      </c>
      <c r="K15" s="71">
        <f t="shared" si="2"/>
        <v>65130.661425</v>
      </c>
      <c r="L15" s="71">
        <f t="shared" si="3"/>
        <v>53865.999213</v>
      </c>
      <c r="M15" s="71">
        <f t="shared" si="3"/>
        <v>29043.0336735</v>
      </c>
      <c r="O15" s="33">
        <f t="shared" si="68"/>
        <v>0</v>
      </c>
      <c r="P15" s="33">
        <f t="shared" si="4"/>
        <v>8950.88705</v>
      </c>
      <c r="Q15" s="33">
        <f t="shared" si="5"/>
        <v>8950.88705</v>
      </c>
      <c r="R15" s="51">
        <f t="shared" si="6"/>
        <v>7402.787938</v>
      </c>
      <c r="S15" s="51">
        <f t="shared" si="97"/>
        <v>3991.3753110000002</v>
      </c>
      <c r="U15" s="33">
        <f t="shared" si="69"/>
        <v>0</v>
      </c>
      <c r="V15" s="51">
        <f t="shared" si="7"/>
        <v>9132.9795</v>
      </c>
      <c r="W15" s="51">
        <f t="shared" si="8"/>
        <v>9132.9795</v>
      </c>
      <c r="X15" s="51">
        <f t="shared" si="9"/>
        <v>7553.386619999999</v>
      </c>
      <c r="Y15" s="51">
        <f t="shared" si="98"/>
        <v>4072.5738899999997</v>
      </c>
      <c r="AA15" s="33">
        <f t="shared" si="70"/>
        <v>0</v>
      </c>
      <c r="AB15" s="51">
        <f t="shared" si="10"/>
        <v>305.384635</v>
      </c>
      <c r="AC15" s="51">
        <f t="shared" si="11"/>
        <v>305.384635</v>
      </c>
      <c r="AD15" s="51">
        <f t="shared" si="12"/>
        <v>252.5668886</v>
      </c>
      <c r="AE15" s="51">
        <f t="shared" si="99"/>
        <v>136.1769717</v>
      </c>
      <c r="AG15" s="33">
        <f t="shared" si="71"/>
        <v>0</v>
      </c>
      <c r="AH15" s="33">
        <f t="shared" si="72"/>
        <v>113.42799999999998</v>
      </c>
      <c r="AI15" s="33">
        <f t="shared" si="73"/>
        <v>113.42799999999998</v>
      </c>
      <c r="AJ15" s="51">
        <f t="shared" si="74"/>
        <v>93.81007999999999</v>
      </c>
      <c r="AK15" s="51">
        <f t="shared" si="100"/>
        <v>50.57975999999999</v>
      </c>
      <c r="AM15" s="33">
        <f t="shared" si="75"/>
        <v>0</v>
      </c>
      <c r="AN15" s="33">
        <f t="shared" si="13"/>
        <v>1719.0621049999997</v>
      </c>
      <c r="AO15" s="33">
        <f t="shared" si="14"/>
        <v>1719.0621049999997</v>
      </c>
      <c r="AP15" s="51">
        <f t="shared" si="15"/>
        <v>1421.7420177999998</v>
      </c>
      <c r="AQ15" s="51">
        <f t="shared" si="101"/>
        <v>766.5633591</v>
      </c>
      <c r="AS15" s="51">
        <f t="shared" si="76"/>
        <v>0</v>
      </c>
      <c r="AT15" s="33">
        <f t="shared" si="16"/>
        <v>436.191425</v>
      </c>
      <c r="AU15" s="51">
        <f t="shared" si="17"/>
        <v>436.191425</v>
      </c>
      <c r="AV15" s="51">
        <f t="shared" si="18"/>
        <v>360.750013</v>
      </c>
      <c r="AW15" s="51">
        <f t="shared" si="102"/>
        <v>194.5062735</v>
      </c>
      <c r="AY15" s="51">
        <f t="shared" si="77"/>
        <v>0</v>
      </c>
      <c r="AZ15" s="33">
        <f t="shared" si="19"/>
        <v>466.83724</v>
      </c>
      <c r="BA15" s="51">
        <f t="shared" si="20"/>
        <v>466.83724</v>
      </c>
      <c r="BB15" s="51">
        <f t="shared" si="21"/>
        <v>386.0954864</v>
      </c>
      <c r="BC15" s="51">
        <f t="shared" si="103"/>
        <v>208.1718408</v>
      </c>
      <c r="BE15" s="33">
        <f t="shared" si="78"/>
        <v>0</v>
      </c>
      <c r="BF15" s="33">
        <f t="shared" si="22"/>
        <v>473.17705499999994</v>
      </c>
      <c r="BG15" s="33">
        <f t="shared" si="23"/>
        <v>473.17705499999994</v>
      </c>
      <c r="BH15" s="51">
        <f t="shared" si="24"/>
        <v>391.33879979999995</v>
      </c>
      <c r="BI15" s="51">
        <f t="shared" si="104"/>
        <v>210.9988881</v>
      </c>
      <c r="BK15" s="33">
        <f t="shared" si="79"/>
        <v>0</v>
      </c>
      <c r="BL15" s="33">
        <f t="shared" si="25"/>
        <v>94.043965</v>
      </c>
      <c r="BM15" s="51">
        <f t="shared" si="26"/>
        <v>94.043965</v>
      </c>
      <c r="BN15" s="51">
        <f t="shared" si="27"/>
        <v>77.7786074</v>
      </c>
      <c r="BO15" s="51">
        <f t="shared" si="105"/>
        <v>41.9360403</v>
      </c>
      <c r="BQ15" s="33">
        <f t="shared" si="80"/>
        <v>0</v>
      </c>
      <c r="BR15" s="33">
        <f t="shared" si="28"/>
        <v>763.228655</v>
      </c>
      <c r="BS15" s="51">
        <f t="shared" si="29"/>
        <v>763.228655</v>
      </c>
      <c r="BT15" s="51">
        <f t="shared" si="30"/>
        <v>631.2245758</v>
      </c>
      <c r="BU15" s="51">
        <f t="shared" si="106"/>
        <v>340.3385601</v>
      </c>
      <c r="BW15" s="33">
        <f t="shared" si="81"/>
        <v>0</v>
      </c>
      <c r="BX15" s="33">
        <f t="shared" si="82"/>
        <v>23.252740000000017</v>
      </c>
      <c r="BY15" s="51">
        <f t="shared" si="83"/>
        <v>23.252740000000017</v>
      </c>
      <c r="BZ15" s="33">
        <f t="shared" si="84"/>
        <v>19.231066400000014</v>
      </c>
      <c r="CA15" s="51">
        <f t="shared" si="107"/>
        <v>10.368850800000008</v>
      </c>
      <c r="CC15" s="51">
        <f t="shared" si="85"/>
        <v>0</v>
      </c>
      <c r="CD15" s="51">
        <f t="shared" si="31"/>
        <v>668.53653</v>
      </c>
      <c r="CE15" s="33">
        <f t="shared" si="32"/>
        <v>668.53653</v>
      </c>
      <c r="CF15" s="51">
        <f t="shared" si="33"/>
        <v>552.9099108</v>
      </c>
      <c r="CG15" s="51">
        <f t="shared" si="108"/>
        <v>298.1134926</v>
      </c>
      <c r="CI15" s="51">
        <f t="shared" si="86"/>
        <v>0</v>
      </c>
      <c r="CJ15" s="51">
        <f t="shared" si="34"/>
        <v>420.838135</v>
      </c>
      <c r="CK15" s="33">
        <f t="shared" si="35"/>
        <v>420.838135</v>
      </c>
      <c r="CL15" s="51">
        <f t="shared" si="36"/>
        <v>348.0521486</v>
      </c>
      <c r="CM15" s="51">
        <f t="shared" si="109"/>
        <v>187.6599417</v>
      </c>
      <c r="CO15" s="33">
        <f t="shared" si="87"/>
        <v>0</v>
      </c>
      <c r="CP15" s="33">
        <f t="shared" si="37"/>
        <v>16118.15931</v>
      </c>
      <c r="CQ15" s="51">
        <f t="shared" si="38"/>
        <v>16118.15931</v>
      </c>
      <c r="CR15" s="51">
        <f t="shared" si="39"/>
        <v>13330.4458716</v>
      </c>
      <c r="CS15" s="51">
        <f t="shared" si="110"/>
        <v>7187.4019602</v>
      </c>
      <c r="CU15" s="33">
        <f t="shared" si="88"/>
        <v>0</v>
      </c>
      <c r="CV15" s="33">
        <f t="shared" si="40"/>
        <v>183.95591</v>
      </c>
      <c r="CW15" s="33">
        <f t="shared" si="41"/>
        <v>183.95591</v>
      </c>
      <c r="CX15" s="51">
        <f t="shared" si="42"/>
        <v>152.1398476</v>
      </c>
      <c r="CY15" s="51">
        <f t="shared" si="111"/>
        <v>82.02953219999999</v>
      </c>
      <c r="DA15" s="33">
        <f t="shared" si="89"/>
        <v>0</v>
      </c>
      <c r="DB15" s="33">
        <f t="shared" si="43"/>
        <v>22471.62618</v>
      </c>
      <c r="DC15" s="51">
        <f t="shared" si="44"/>
        <v>22471.62618</v>
      </c>
      <c r="DD15" s="51">
        <f t="shared" si="45"/>
        <v>18585.0499848</v>
      </c>
      <c r="DE15" s="51">
        <f t="shared" si="112"/>
        <v>10020.5368956</v>
      </c>
      <c r="DG15" s="33">
        <f t="shared" si="90"/>
        <v>0</v>
      </c>
      <c r="DH15" s="33">
        <f t="shared" si="46"/>
        <v>216.7285</v>
      </c>
      <c r="DI15" s="51">
        <f t="shared" si="47"/>
        <v>216.7285</v>
      </c>
      <c r="DJ15" s="51">
        <f t="shared" si="48"/>
        <v>179.24426</v>
      </c>
      <c r="DK15" s="51">
        <f t="shared" si="113"/>
        <v>96.64347</v>
      </c>
      <c r="DM15" s="33">
        <f t="shared" si="91"/>
        <v>0</v>
      </c>
      <c r="DN15" s="33">
        <f t="shared" si="49"/>
        <v>149.90725500000002</v>
      </c>
      <c r="DO15" s="51">
        <f t="shared" si="50"/>
        <v>149.90725500000002</v>
      </c>
      <c r="DP15" s="51">
        <f t="shared" si="51"/>
        <v>123.9800718</v>
      </c>
      <c r="DQ15" s="51">
        <f t="shared" si="114"/>
        <v>66.8465721</v>
      </c>
      <c r="DS15" s="33">
        <f t="shared" si="92"/>
        <v>0</v>
      </c>
      <c r="DT15" s="51">
        <f t="shared" si="52"/>
        <v>92.44382</v>
      </c>
      <c r="DU15" s="51">
        <f t="shared" si="53"/>
        <v>92.44382</v>
      </c>
      <c r="DV15" s="51">
        <f t="shared" si="54"/>
        <v>76.4552152</v>
      </c>
      <c r="DW15" s="51">
        <f t="shared" si="115"/>
        <v>41.2225044</v>
      </c>
      <c r="DY15" s="33">
        <f t="shared" si="93"/>
        <v>0</v>
      </c>
      <c r="DZ15" s="33">
        <f t="shared" si="55"/>
        <v>2.3090699999999997</v>
      </c>
      <c r="EA15" s="51">
        <f t="shared" si="56"/>
        <v>2.3090699999999997</v>
      </c>
      <c r="EB15" s="51">
        <f t="shared" si="57"/>
        <v>1.9097051999999999</v>
      </c>
      <c r="EC15" s="51">
        <f t="shared" si="116"/>
        <v>1.0296594</v>
      </c>
      <c r="EE15" s="33">
        <f t="shared" si="94"/>
        <v>0</v>
      </c>
      <c r="EF15" s="33">
        <f t="shared" si="58"/>
        <v>569.0237149999999</v>
      </c>
      <c r="EG15" s="33">
        <f t="shared" si="59"/>
        <v>569.0237149999999</v>
      </c>
      <c r="EH15" s="51">
        <f t="shared" si="60"/>
        <v>470.6083174</v>
      </c>
      <c r="EI15" s="51">
        <f t="shared" si="117"/>
        <v>253.7387853</v>
      </c>
      <c r="EK15" s="33">
        <f t="shared" si="95"/>
        <v>0</v>
      </c>
      <c r="EL15" s="33">
        <f t="shared" si="61"/>
        <v>1368.3872900000001</v>
      </c>
      <c r="EM15" s="51">
        <f t="shared" si="62"/>
        <v>1368.3872900000001</v>
      </c>
      <c r="EN15" s="51">
        <f t="shared" si="63"/>
        <v>1131.7181044000001</v>
      </c>
      <c r="EO15" s="51">
        <f t="shared" si="118"/>
        <v>610.1906118</v>
      </c>
      <c r="EQ15" s="33">
        <f t="shared" si="96"/>
        <v>0</v>
      </c>
      <c r="ER15" s="33">
        <f t="shared" si="64"/>
        <v>390.27334</v>
      </c>
      <c r="ES15" s="51">
        <f t="shared" si="65"/>
        <v>390.27334</v>
      </c>
      <c r="ET15" s="51">
        <f t="shared" si="66"/>
        <v>322.7736824</v>
      </c>
      <c r="EU15" s="51">
        <f t="shared" si="119"/>
        <v>174.0305028</v>
      </c>
    </row>
    <row r="16" spans="1:151" ht="12.75">
      <c r="A16" s="31">
        <v>43739</v>
      </c>
      <c r="D16" s="35">
        <v>202550</v>
      </c>
      <c r="E16" s="35">
        <f t="shared" si="0"/>
        <v>202550</v>
      </c>
      <c r="F16" s="35">
        <v>167518</v>
      </c>
      <c r="G16" s="35">
        <v>90321</v>
      </c>
      <c r="I16" s="71"/>
      <c r="J16" s="71">
        <f t="shared" si="1"/>
        <v>65130.661425</v>
      </c>
      <c r="K16" s="71">
        <f t="shared" si="2"/>
        <v>65130.661425</v>
      </c>
      <c r="L16" s="71">
        <f t="shared" si="3"/>
        <v>53865.999213</v>
      </c>
      <c r="M16" s="71">
        <f t="shared" si="3"/>
        <v>29043.0336735</v>
      </c>
      <c r="P16" s="33">
        <f t="shared" si="4"/>
        <v>8950.88705</v>
      </c>
      <c r="Q16" s="33">
        <f t="shared" si="5"/>
        <v>8950.88705</v>
      </c>
      <c r="R16" s="51">
        <f t="shared" si="6"/>
        <v>7402.787938</v>
      </c>
      <c r="S16" s="51">
        <f t="shared" si="97"/>
        <v>3991.3753110000002</v>
      </c>
      <c r="V16" s="51">
        <f t="shared" si="7"/>
        <v>9132.9795</v>
      </c>
      <c r="W16" s="51">
        <f t="shared" si="8"/>
        <v>9132.9795</v>
      </c>
      <c r="X16" s="51">
        <f t="shared" si="9"/>
        <v>7553.386619999999</v>
      </c>
      <c r="Y16" s="51">
        <f t="shared" si="98"/>
        <v>4072.5738899999997</v>
      </c>
      <c r="AB16" s="51">
        <f t="shared" si="10"/>
        <v>305.384635</v>
      </c>
      <c r="AC16" s="51">
        <f t="shared" si="11"/>
        <v>305.384635</v>
      </c>
      <c r="AD16" s="51">
        <f t="shared" si="12"/>
        <v>252.5668886</v>
      </c>
      <c r="AE16" s="51">
        <f t="shared" si="99"/>
        <v>136.1769717</v>
      </c>
      <c r="AG16" s="33">
        <f t="shared" si="71"/>
        <v>0</v>
      </c>
      <c r="AH16" s="33">
        <f t="shared" si="72"/>
        <v>113.42799999999998</v>
      </c>
      <c r="AI16" s="33">
        <f t="shared" si="73"/>
        <v>113.42799999999998</v>
      </c>
      <c r="AJ16" s="51">
        <f t="shared" si="74"/>
        <v>93.81007999999999</v>
      </c>
      <c r="AK16" s="51">
        <f t="shared" si="100"/>
        <v>50.57975999999999</v>
      </c>
      <c r="AN16" s="33">
        <f t="shared" si="13"/>
        <v>1719.0621049999997</v>
      </c>
      <c r="AO16" s="33">
        <f t="shared" si="14"/>
        <v>1719.0621049999997</v>
      </c>
      <c r="AP16" s="51">
        <f t="shared" si="15"/>
        <v>1421.7420177999998</v>
      </c>
      <c r="AQ16" s="51">
        <f t="shared" si="101"/>
        <v>766.5633591</v>
      </c>
      <c r="AS16" s="51"/>
      <c r="AT16" s="33">
        <f t="shared" si="16"/>
        <v>436.191425</v>
      </c>
      <c r="AU16" s="51">
        <f t="shared" si="17"/>
        <v>436.191425</v>
      </c>
      <c r="AV16" s="51">
        <f t="shared" si="18"/>
        <v>360.750013</v>
      </c>
      <c r="AW16" s="51">
        <f t="shared" si="102"/>
        <v>194.5062735</v>
      </c>
      <c r="AY16" s="51"/>
      <c r="AZ16" s="33">
        <f t="shared" si="19"/>
        <v>466.83724</v>
      </c>
      <c r="BA16" s="51">
        <f t="shared" si="20"/>
        <v>466.83724</v>
      </c>
      <c r="BB16" s="51">
        <f t="shared" si="21"/>
        <v>386.0954864</v>
      </c>
      <c r="BC16" s="51">
        <f t="shared" si="103"/>
        <v>208.1718408</v>
      </c>
      <c r="BF16" s="33">
        <f t="shared" si="22"/>
        <v>473.17705499999994</v>
      </c>
      <c r="BG16" s="33">
        <f t="shared" si="23"/>
        <v>473.17705499999994</v>
      </c>
      <c r="BH16" s="51">
        <f t="shared" si="24"/>
        <v>391.33879979999995</v>
      </c>
      <c r="BI16" s="51">
        <f t="shared" si="104"/>
        <v>210.9988881</v>
      </c>
      <c r="BL16" s="33">
        <f t="shared" si="25"/>
        <v>94.043965</v>
      </c>
      <c r="BM16" s="51">
        <f t="shared" si="26"/>
        <v>94.043965</v>
      </c>
      <c r="BN16" s="51">
        <f t="shared" si="27"/>
        <v>77.7786074</v>
      </c>
      <c r="BO16" s="51">
        <f t="shared" si="105"/>
        <v>41.9360403</v>
      </c>
      <c r="BR16" s="33">
        <f t="shared" si="28"/>
        <v>763.228655</v>
      </c>
      <c r="BS16" s="51">
        <f t="shared" si="29"/>
        <v>763.228655</v>
      </c>
      <c r="BT16" s="51">
        <f t="shared" si="30"/>
        <v>631.2245758</v>
      </c>
      <c r="BU16" s="51">
        <f t="shared" si="106"/>
        <v>340.3385601</v>
      </c>
      <c r="BW16" s="33">
        <f t="shared" si="81"/>
        <v>0</v>
      </c>
      <c r="BX16" s="33">
        <f t="shared" si="82"/>
        <v>23.252740000000017</v>
      </c>
      <c r="BY16" s="51">
        <f t="shared" si="83"/>
        <v>23.252740000000017</v>
      </c>
      <c r="BZ16" s="33">
        <f t="shared" si="84"/>
        <v>19.231066400000014</v>
      </c>
      <c r="CA16" s="51">
        <f t="shared" si="107"/>
        <v>10.368850800000008</v>
      </c>
      <c r="CC16" s="51"/>
      <c r="CD16" s="51">
        <f t="shared" si="31"/>
        <v>668.53653</v>
      </c>
      <c r="CE16" s="33">
        <f t="shared" si="32"/>
        <v>668.53653</v>
      </c>
      <c r="CF16" s="51">
        <f t="shared" si="33"/>
        <v>552.9099108</v>
      </c>
      <c r="CG16" s="51">
        <f t="shared" si="108"/>
        <v>298.1134926</v>
      </c>
      <c r="CI16" s="51"/>
      <c r="CJ16" s="51">
        <f t="shared" si="34"/>
        <v>420.838135</v>
      </c>
      <c r="CK16" s="33">
        <f t="shared" si="35"/>
        <v>420.838135</v>
      </c>
      <c r="CL16" s="51">
        <f t="shared" si="36"/>
        <v>348.0521486</v>
      </c>
      <c r="CM16" s="51">
        <f t="shared" si="109"/>
        <v>187.6599417</v>
      </c>
      <c r="CP16" s="33">
        <f t="shared" si="37"/>
        <v>16118.15931</v>
      </c>
      <c r="CQ16" s="51">
        <f t="shared" si="38"/>
        <v>16118.15931</v>
      </c>
      <c r="CR16" s="51">
        <f t="shared" si="39"/>
        <v>13330.4458716</v>
      </c>
      <c r="CS16" s="51">
        <f t="shared" si="110"/>
        <v>7187.4019602</v>
      </c>
      <c r="CV16" s="33">
        <f t="shared" si="40"/>
        <v>183.95591</v>
      </c>
      <c r="CW16" s="33">
        <f t="shared" si="41"/>
        <v>183.95591</v>
      </c>
      <c r="CX16" s="51">
        <f t="shared" si="42"/>
        <v>152.1398476</v>
      </c>
      <c r="CY16" s="51">
        <f t="shared" si="111"/>
        <v>82.02953219999999</v>
      </c>
      <c r="DB16" s="33">
        <f t="shared" si="43"/>
        <v>22471.62618</v>
      </c>
      <c r="DC16" s="51">
        <f t="shared" si="44"/>
        <v>22471.62618</v>
      </c>
      <c r="DD16" s="51">
        <f t="shared" si="45"/>
        <v>18585.0499848</v>
      </c>
      <c r="DE16" s="51">
        <f t="shared" si="112"/>
        <v>10020.5368956</v>
      </c>
      <c r="DH16" s="33">
        <f t="shared" si="46"/>
        <v>216.7285</v>
      </c>
      <c r="DI16" s="51">
        <f t="shared" si="47"/>
        <v>216.7285</v>
      </c>
      <c r="DJ16" s="51">
        <f t="shared" si="48"/>
        <v>179.24426</v>
      </c>
      <c r="DK16" s="51">
        <f t="shared" si="113"/>
        <v>96.64347</v>
      </c>
      <c r="DN16" s="33">
        <f t="shared" si="49"/>
        <v>149.90725500000002</v>
      </c>
      <c r="DO16" s="51">
        <f t="shared" si="50"/>
        <v>149.90725500000002</v>
      </c>
      <c r="DP16" s="51">
        <f t="shared" si="51"/>
        <v>123.9800718</v>
      </c>
      <c r="DQ16" s="51">
        <f t="shared" si="114"/>
        <v>66.8465721</v>
      </c>
      <c r="DT16" s="51">
        <f t="shared" si="52"/>
        <v>92.44382</v>
      </c>
      <c r="DU16" s="51">
        <f t="shared" si="53"/>
        <v>92.44382</v>
      </c>
      <c r="DV16" s="51">
        <f t="shared" si="54"/>
        <v>76.4552152</v>
      </c>
      <c r="DW16" s="51">
        <f t="shared" si="115"/>
        <v>41.2225044</v>
      </c>
      <c r="DZ16" s="33">
        <f t="shared" si="55"/>
        <v>2.3090699999999997</v>
      </c>
      <c r="EA16" s="51">
        <f t="shared" si="56"/>
        <v>2.3090699999999997</v>
      </c>
      <c r="EB16" s="51">
        <f t="shared" si="57"/>
        <v>1.9097051999999999</v>
      </c>
      <c r="EC16" s="51">
        <f t="shared" si="116"/>
        <v>1.0296594</v>
      </c>
      <c r="EF16" s="33">
        <f t="shared" si="58"/>
        <v>569.0237149999999</v>
      </c>
      <c r="EG16" s="33">
        <f t="shared" si="59"/>
        <v>569.0237149999999</v>
      </c>
      <c r="EH16" s="51">
        <f t="shared" si="60"/>
        <v>470.6083174</v>
      </c>
      <c r="EI16" s="51">
        <f t="shared" si="117"/>
        <v>253.7387853</v>
      </c>
      <c r="EL16" s="33">
        <f t="shared" si="61"/>
        <v>1368.3872900000001</v>
      </c>
      <c r="EM16" s="51">
        <f t="shared" si="62"/>
        <v>1368.3872900000001</v>
      </c>
      <c r="EN16" s="51">
        <f t="shared" si="63"/>
        <v>1131.7181044000001</v>
      </c>
      <c r="EO16" s="51">
        <f t="shared" si="118"/>
        <v>610.1906118</v>
      </c>
      <c r="ER16" s="33">
        <f t="shared" si="64"/>
        <v>390.27334</v>
      </c>
      <c r="ES16" s="51">
        <f t="shared" si="65"/>
        <v>390.27334</v>
      </c>
      <c r="ET16" s="51">
        <f t="shared" si="66"/>
        <v>322.7736824</v>
      </c>
      <c r="EU16" s="51">
        <f t="shared" si="119"/>
        <v>174.0305028</v>
      </c>
    </row>
    <row r="17" spans="1:152" ht="12.75">
      <c r="A17" s="78">
        <v>43922</v>
      </c>
      <c r="D17" s="35">
        <v>202550</v>
      </c>
      <c r="E17" s="35">
        <f t="shared" si="0"/>
        <v>202550</v>
      </c>
      <c r="F17" s="35">
        <v>167518</v>
      </c>
      <c r="G17" s="35">
        <v>90321</v>
      </c>
      <c r="I17" s="71">
        <f t="shared" si="67"/>
        <v>0</v>
      </c>
      <c r="J17" s="71">
        <f t="shared" si="1"/>
        <v>65130.661425</v>
      </c>
      <c r="K17" s="71">
        <f t="shared" si="2"/>
        <v>65130.661425</v>
      </c>
      <c r="L17" s="71">
        <f t="shared" si="3"/>
        <v>53865.999213</v>
      </c>
      <c r="M17" s="71">
        <f t="shared" si="3"/>
        <v>29043.0336735</v>
      </c>
      <c r="O17" s="33">
        <f t="shared" si="68"/>
        <v>0</v>
      </c>
      <c r="P17" s="33">
        <f t="shared" si="4"/>
        <v>8950.88705</v>
      </c>
      <c r="Q17" s="33">
        <f t="shared" si="5"/>
        <v>8950.88705</v>
      </c>
      <c r="R17" s="51">
        <f t="shared" si="6"/>
        <v>7402.787938</v>
      </c>
      <c r="S17" s="51">
        <f t="shared" si="97"/>
        <v>3991.3753110000002</v>
      </c>
      <c r="U17" s="33">
        <f t="shared" si="69"/>
        <v>0</v>
      </c>
      <c r="V17" s="51">
        <f t="shared" si="7"/>
        <v>9132.9795</v>
      </c>
      <c r="W17" s="51">
        <f t="shared" si="8"/>
        <v>9132.9795</v>
      </c>
      <c r="X17" s="51">
        <f t="shared" si="9"/>
        <v>7553.386619999999</v>
      </c>
      <c r="Y17" s="51">
        <f t="shared" si="98"/>
        <v>4072.5738899999997</v>
      </c>
      <c r="AA17" s="33">
        <f t="shared" si="70"/>
        <v>0</v>
      </c>
      <c r="AB17" s="51">
        <f t="shared" si="10"/>
        <v>305.384635</v>
      </c>
      <c r="AC17" s="51">
        <f t="shared" si="11"/>
        <v>305.384635</v>
      </c>
      <c r="AD17" s="51">
        <f t="shared" si="12"/>
        <v>252.5668886</v>
      </c>
      <c r="AE17" s="51">
        <f t="shared" si="99"/>
        <v>136.1769717</v>
      </c>
      <c r="AG17" s="33">
        <f t="shared" si="71"/>
        <v>0</v>
      </c>
      <c r="AH17" s="33">
        <f t="shared" si="72"/>
        <v>113.42799999999998</v>
      </c>
      <c r="AI17" s="33">
        <f t="shared" si="73"/>
        <v>113.42799999999998</v>
      </c>
      <c r="AJ17" s="51">
        <f t="shared" si="74"/>
        <v>93.81007999999999</v>
      </c>
      <c r="AK17" s="51">
        <f t="shared" si="100"/>
        <v>50.57975999999999</v>
      </c>
      <c r="AM17" s="33">
        <f t="shared" si="75"/>
        <v>0</v>
      </c>
      <c r="AN17" s="33">
        <f t="shared" si="13"/>
        <v>1719.0621049999997</v>
      </c>
      <c r="AO17" s="33">
        <f t="shared" si="14"/>
        <v>1719.0621049999997</v>
      </c>
      <c r="AP17" s="51">
        <f t="shared" si="15"/>
        <v>1421.7420177999998</v>
      </c>
      <c r="AQ17" s="51">
        <f t="shared" si="101"/>
        <v>766.5633591</v>
      </c>
      <c r="AS17" s="51">
        <f t="shared" si="76"/>
        <v>0</v>
      </c>
      <c r="AT17" s="33">
        <f t="shared" si="16"/>
        <v>436.191425</v>
      </c>
      <c r="AU17" s="51">
        <f t="shared" si="17"/>
        <v>436.191425</v>
      </c>
      <c r="AV17" s="51">
        <f t="shared" si="18"/>
        <v>360.750013</v>
      </c>
      <c r="AW17" s="51">
        <f t="shared" si="102"/>
        <v>194.5062735</v>
      </c>
      <c r="AY17" s="51">
        <f t="shared" si="77"/>
        <v>0</v>
      </c>
      <c r="AZ17" s="33">
        <f t="shared" si="19"/>
        <v>466.83724</v>
      </c>
      <c r="BA17" s="51">
        <f t="shared" si="20"/>
        <v>466.83724</v>
      </c>
      <c r="BB17" s="51">
        <f t="shared" si="21"/>
        <v>386.0954864</v>
      </c>
      <c r="BC17" s="51">
        <f t="shared" si="103"/>
        <v>208.1718408</v>
      </c>
      <c r="BE17" s="33">
        <f t="shared" si="78"/>
        <v>0</v>
      </c>
      <c r="BF17" s="33">
        <f t="shared" si="22"/>
        <v>473.17705499999994</v>
      </c>
      <c r="BG17" s="33">
        <f t="shared" si="23"/>
        <v>473.17705499999994</v>
      </c>
      <c r="BH17" s="51">
        <f t="shared" si="24"/>
        <v>391.33879979999995</v>
      </c>
      <c r="BI17" s="51">
        <f t="shared" si="104"/>
        <v>210.9988881</v>
      </c>
      <c r="BK17" s="33">
        <f t="shared" si="79"/>
        <v>0</v>
      </c>
      <c r="BL17" s="33">
        <f t="shared" si="25"/>
        <v>94.043965</v>
      </c>
      <c r="BM17" s="51">
        <f t="shared" si="26"/>
        <v>94.043965</v>
      </c>
      <c r="BN17" s="51">
        <f t="shared" si="27"/>
        <v>77.7786074</v>
      </c>
      <c r="BO17" s="51">
        <f t="shared" si="105"/>
        <v>41.9360403</v>
      </c>
      <c r="BQ17" s="33">
        <f t="shared" si="80"/>
        <v>0</v>
      </c>
      <c r="BR17" s="33">
        <f t="shared" si="28"/>
        <v>763.228655</v>
      </c>
      <c r="BS17" s="51">
        <f t="shared" si="29"/>
        <v>763.228655</v>
      </c>
      <c r="BT17" s="51">
        <f t="shared" si="30"/>
        <v>631.2245758</v>
      </c>
      <c r="BU17" s="51">
        <f t="shared" si="106"/>
        <v>340.3385601</v>
      </c>
      <c r="BW17" s="33">
        <f t="shared" si="81"/>
        <v>0</v>
      </c>
      <c r="BX17" s="33">
        <f t="shared" si="82"/>
        <v>23.252740000000017</v>
      </c>
      <c r="BY17" s="51">
        <f t="shared" si="83"/>
        <v>23.252740000000017</v>
      </c>
      <c r="BZ17" s="33">
        <f t="shared" si="84"/>
        <v>19.231066400000014</v>
      </c>
      <c r="CA17" s="51">
        <f t="shared" si="107"/>
        <v>10.368850800000008</v>
      </c>
      <c r="CC17" s="51">
        <f t="shared" si="85"/>
        <v>0</v>
      </c>
      <c r="CD17" s="51">
        <f t="shared" si="31"/>
        <v>668.53653</v>
      </c>
      <c r="CE17" s="33">
        <f t="shared" si="32"/>
        <v>668.53653</v>
      </c>
      <c r="CF17" s="51">
        <f t="shared" si="33"/>
        <v>552.9099108</v>
      </c>
      <c r="CG17" s="51">
        <f t="shared" si="108"/>
        <v>298.1134926</v>
      </c>
      <c r="CI17" s="51">
        <f t="shared" si="86"/>
        <v>0</v>
      </c>
      <c r="CJ17" s="51">
        <f t="shared" si="34"/>
        <v>420.838135</v>
      </c>
      <c r="CK17" s="33">
        <f t="shared" si="35"/>
        <v>420.838135</v>
      </c>
      <c r="CL17" s="51">
        <f t="shared" si="36"/>
        <v>348.0521486</v>
      </c>
      <c r="CM17" s="51">
        <f t="shared" si="109"/>
        <v>187.6599417</v>
      </c>
      <c r="CO17" s="33">
        <f t="shared" si="87"/>
        <v>0</v>
      </c>
      <c r="CP17" s="33">
        <f t="shared" si="37"/>
        <v>16118.15931</v>
      </c>
      <c r="CQ17" s="51">
        <f t="shared" si="38"/>
        <v>16118.15931</v>
      </c>
      <c r="CR17" s="51">
        <f t="shared" si="39"/>
        <v>13330.4458716</v>
      </c>
      <c r="CS17" s="51">
        <f t="shared" si="110"/>
        <v>7187.4019602</v>
      </c>
      <c r="CU17" s="33">
        <f t="shared" si="88"/>
        <v>0</v>
      </c>
      <c r="CV17" s="33">
        <f t="shared" si="40"/>
        <v>183.95591</v>
      </c>
      <c r="CW17" s="33">
        <f t="shared" si="41"/>
        <v>183.95591</v>
      </c>
      <c r="CX17" s="51">
        <f t="shared" si="42"/>
        <v>152.1398476</v>
      </c>
      <c r="CY17" s="51">
        <f t="shared" si="111"/>
        <v>82.02953219999999</v>
      </c>
      <c r="DA17" s="33">
        <f t="shared" si="89"/>
        <v>0</v>
      </c>
      <c r="DB17" s="33">
        <f t="shared" si="43"/>
        <v>22471.62618</v>
      </c>
      <c r="DC17" s="51">
        <f t="shared" si="44"/>
        <v>22471.62618</v>
      </c>
      <c r="DD17" s="51">
        <f t="shared" si="45"/>
        <v>18585.0499848</v>
      </c>
      <c r="DE17" s="51">
        <f t="shared" si="112"/>
        <v>10020.5368956</v>
      </c>
      <c r="DG17" s="33">
        <f t="shared" si="90"/>
        <v>0</v>
      </c>
      <c r="DH17" s="33">
        <f t="shared" si="46"/>
        <v>216.7285</v>
      </c>
      <c r="DI17" s="51">
        <f t="shared" si="47"/>
        <v>216.7285</v>
      </c>
      <c r="DJ17" s="51">
        <f t="shared" si="48"/>
        <v>179.24426</v>
      </c>
      <c r="DK17" s="51">
        <f t="shared" si="113"/>
        <v>96.64347</v>
      </c>
      <c r="DM17" s="33">
        <f t="shared" si="91"/>
        <v>0</v>
      </c>
      <c r="DN17" s="33">
        <f t="shared" si="49"/>
        <v>149.90725500000002</v>
      </c>
      <c r="DO17" s="51">
        <f t="shared" si="50"/>
        <v>149.90725500000002</v>
      </c>
      <c r="DP17" s="51">
        <f t="shared" si="51"/>
        <v>123.9800718</v>
      </c>
      <c r="DQ17" s="51">
        <f t="shared" si="114"/>
        <v>66.8465721</v>
      </c>
      <c r="DS17" s="33">
        <f t="shared" si="92"/>
        <v>0</v>
      </c>
      <c r="DT17" s="51">
        <f t="shared" si="52"/>
        <v>92.44382</v>
      </c>
      <c r="DU17" s="51">
        <f t="shared" si="53"/>
        <v>92.44382</v>
      </c>
      <c r="DV17" s="51">
        <f t="shared" si="54"/>
        <v>76.4552152</v>
      </c>
      <c r="DW17" s="51">
        <f t="shared" si="115"/>
        <v>41.2225044</v>
      </c>
      <c r="DY17" s="33">
        <f t="shared" si="93"/>
        <v>0</v>
      </c>
      <c r="DZ17" s="33">
        <f t="shared" si="55"/>
        <v>2.3090699999999997</v>
      </c>
      <c r="EA17" s="51">
        <f t="shared" si="56"/>
        <v>2.3090699999999997</v>
      </c>
      <c r="EB17" s="51">
        <f t="shared" si="57"/>
        <v>1.9097051999999999</v>
      </c>
      <c r="EC17" s="51">
        <f t="shared" si="116"/>
        <v>1.0296594</v>
      </c>
      <c r="EE17" s="33">
        <f t="shared" si="94"/>
        <v>0</v>
      </c>
      <c r="EF17" s="33">
        <f t="shared" si="58"/>
        <v>569.0237149999999</v>
      </c>
      <c r="EG17" s="33">
        <f t="shared" si="59"/>
        <v>569.0237149999999</v>
      </c>
      <c r="EH17" s="51">
        <f t="shared" si="60"/>
        <v>470.6083174</v>
      </c>
      <c r="EI17" s="51">
        <f t="shared" si="117"/>
        <v>253.7387853</v>
      </c>
      <c r="EK17" s="33">
        <f t="shared" si="95"/>
        <v>0</v>
      </c>
      <c r="EL17" s="33">
        <f t="shared" si="61"/>
        <v>1368.3872900000001</v>
      </c>
      <c r="EM17" s="51">
        <f t="shared" si="62"/>
        <v>1368.3872900000001</v>
      </c>
      <c r="EN17" s="51">
        <f t="shared" si="63"/>
        <v>1131.7181044000001</v>
      </c>
      <c r="EO17" s="51">
        <f t="shared" si="118"/>
        <v>610.1906118</v>
      </c>
      <c r="EQ17" s="33">
        <f t="shared" si="96"/>
        <v>0</v>
      </c>
      <c r="ER17" s="33">
        <f t="shared" si="64"/>
        <v>390.27334</v>
      </c>
      <c r="ES17" s="51">
        <f t="shared" si="65"/>
        <v>390.27334</v>
      </c>
      <c r="ET17" s="51">
        <f t="shared" si="66"/>
        <v>322.7736824</v>
      </c>
      <c r="EU17" s="51">
        <f t="shared" si="119"/>
        <v>174.0305028</v>
      </c>
      <c r="EV17"/>
    </row>
    <row r="18" spans="1:152" ht="12.75">
      <c r="A18" s="78">
        <v>44105</v>
      </c>
      <c r="D18" s="35">
        <v>202550</v>
      </c>
      <c r="E18" s="35">
        <f t="shared" si="0"/>
        <v>202550</v>
      </c>
      <c r="F18" s="35">
        <v>167518</v>
      </c>
      <c r="G18" s="35">
        <v>90321</v>
      </c>
      <c r="I18" s="71"/>
      <c r="J18" s="71">
        <f t="shared" si="1"/>
        <v>65130.661425</v>
      </c>
      <c r="K18" s="71">
        <f t="shared" si="2"/>
        <v>65130.661425</v>
      </c>
      <c r="L18" s="71">
        <f t="shared" si="3"/>
        <v>53865.999213</v>
      </c>
      <c r="M18" s="71">
        <f t="shared" si="3"/>
        <v>29043.0336735</v>
      </c>
      <c r="P18" s="33">
        <f t="shared" si="4"/>
        <v>8950.88705</v>
      </c>
      <c r="Q18" s="33">
        <f t="shared" si="5"/>
        <v>8950.88705</v>
      </c>
      <c r="R18" s="51">
        <f t="shared" si="6"/>
        <v>7402.787938</v>
      </c>
      <c r="S18" s="51">
        <f t="shared" si="97"/>
        <v>3991.3753110000002</v>
      </c>
      <c r="V18" s="51">
        <f t="shared" si="7"/>
        <v>9132.9795</v>
      </c>
      <c r="W18" s="51">
        <f t="shared" si="8"/>
        <v>9132.9795</v>
      </c>
      <c r="X18" s="51">
        <f t="shared" si="9"/>
        <v>7553.386619999999</v>
      </c>
      <c r="Y18" s="51">
        <f t="shared" si="98"/>
        <v>4072.5738899999997</v>
      </c>
      <c r="AB18" s="51">
        <f t="shared" si="10"/>
        <v>305.384635</v>
      </c>
      <c r="AC18" s="51">
        <f t="shared" si="11"/>
        <v>305.384635</v>
      </c>
      <c r="AD18" s="51">
        <f t="shared" si="12"/>
        <v>252.5668886</v>
      </c>
      <c r="AE18" s="51">
        <f t="shared" si="99"/>
        <v>136.1769717</v>
      </c>
      <c r="AG18" s="33">
        <f t="shared" si="71"/>
        <v>0</v>
      </c>
      <c r="AH18" s="33">
        <f t="shared" si="72"/>
        <v>113.42799999999998</v>
      </c>
      <c r="AI18" s="33">
        <f t="shared" si="73"/>
        <v>113.42799999999998</v>
      </c>
      <c r="AJ18" s="51">
        <f t="shared" si="74"/>
        <v>93.81007999999999</v>
      </c>
      <c r="AK18" s="51">
        <f t="shared" si="100"/>
        <v>50.57975999999999</v>
      </c>
      <c r="AN18" s="33">
        <f t="shared" si="13"/>
        <v>1719.0621049999997</v>
      </c>
      <c r="AO18" s="33">
        <f t="shared" si="14"/>
        <v>1719.0621049999997</v>
      </c>
      <c r="AP18" s="51">
        <f t="shared" si="15"/>
        <v>1421.7420177999998</v>
      </c>
      <c r="AQ18" s="51">
        <f t="shared" si="101"/>
        <v>766.5633591</v>
      </c>
      <c r="AS18" s="51"/>
      <c r="AT18" s="33">
        <f t="shared" si="16"/>
        <v>436.191425</v>
      </c>
      <c r="AU18" s="51">
        <f t="shared" si="17"/>
        <v>436.191425</v>
      </c>
      <c r="AV18" s="51">
        <f t="shared" si="18"/>
        <v>360.750013</v>
      </c>
      <c r="AW18" s="51">
        <f t="shared" si="102"/>
        <v>194.5062735</v>
      </c>
      <c r="AY18" s="51"/>
      <c r="AZ18" s="33">
        <f t="shared" si="19"/>
        <v>466.83724</v>
      </c>
      <c r="BA18" s="51">
        <f t="shared" si="20"/>
        <v>466.83724</v>
      </c>
      <c r="BB18" s="51">
        <f t="shared" si="21"/>
        <v>386.0954864</v>
      </c>
      <c r="BC18" s="51">
        <f t="shared" si="103"/>
        <v>208.1718408</v>
      </c>
      <c r="BF18" s="33">
        <f t="shared" si="22"/>
        <v>473.17705499999994</v>
      </c>
      <c r="BG18" s="33">
        <f t="shared" si="23"/>
        <v>473.17705499999994</v>
      </c>
      <c r="BH18" s="51">
        <f t="shared" si="24"/>
        <v>391.33879979999995</v>
      </c>
      <c r="BI18" s="51">
        <f t="shared" si="104"/>
        <v>210.9988881</v>
      </c>
      <c r="BL18" s="33">
        <f t="shared" si="25"/>
        <v>94.043965</v>
      </c>
      <c r="BM18" s="51">
        <f t="shared" si="26"/>
        <v>94.043965</v>
      </c>
      <c r="BN18" s="51">
        <f t="shared" si="27"/>
        <v>77.7786074</v>
      </c>
      <c r="BO18" s="51">
        <f t="shared" si="105"/>
        <v>41.9360403</v>
      </c>
      <c r="BR18" s="33">
        <f t="shared" si="28"/>
        <v>763.228655</v>
      </c>
      <c r="BS18" s="51">
        <f t="shared" si="29"/>
        <v>763.228655</v>
      </c>
      <c r="BT18" s="51">
        <f t="shared" si="30"/>
        <v>631.2245758</v>
      </c>
      <c r="BU18" s="51">
        <f t="shared" si="106"/>
        <v>340.3385601</v>
      </c>
      <c r="BW18" s="33">
        <f t="shared" si="81"/>
        <v>0</v>
      </c>
      <c r="BX18" s="33">
        <f t="shared" si="82"/>
        <v>23.252740000000017</v>
      </c>
      <c r="BY18" s="51">
        <f t="shared" si="83"/>
        <v>23.252740000000017</v>
      </c>
      <c r="BZ18" s="33">
        <f t="shared" si="84"/>
        <v>19.231066400000014</v>
      </c>
      <c r="CA18" s="51">
        <f t="shared" si="107"/>
        <v>10.368850800000008</v>
      </c>
      <c r="CC18" s="51"/>
      <c r="CD18" s="51">
        <f t="shared" si="31"/>
        <v>668.53653</v>
      </c>
      <c r="CE18" s="33">
        <f t="shared" si="32"/>
        <v>668.53653</v>
      </c>
      <c r="CF18" s="51">
        <f t="shared" si="33"/>
        <v>552.9099108</v>
      </c>
      <c r="CG18" s="51">
        <f t="shared" si="108"/>
        <v>298.1134926</v>
      </c>
      <c r="CI18" s="51"/>
      <c r="CJ18" s="51">
        <f t="shared" si="34"/>
        <v>420.838135</v>
      </c>
      <c r="CK18" s="33">
        <f t="shared" si="35"/>
        <v>420.838135</v>
      </c>
      <c r="CL18" s="51">
        <f t="shared" si="36"/>
        <v>348.0521486</v>
      </c>
      <c r="CM18" s="51">
        <f t="shared" si="109"/>
        <v>187.6599417</v>
      </c>
      <c r="CP18" s="33">
        <f t="shared" si="37"/>
        <v>16118.15931</v>
      </c>
      <c r="CQ18" s="51">
        <f t="shared" si="38"/>
        <v>16118.15931</v>
      </c>
      <c r="CR18" s="51">
        <f t="shared" si="39"/>
        <v>13330.4458716</v>
      </c>
      <c r="CS18" s="51">
        <f t="shared" si="110"/>
        <v>7187.4019602</v>
      </c>
      <c r="CV18" s="33">
        <f t="shared" si="40"/>
        <v>183.95591</v>
      </c>
      <c r="CW18" s="33">
        <f t="shared" si="41"/>
        <v>183.95591</v>
      </c>
      <c r="CX18" s="51">
        <f t="shared" si="42"/>
        <v>152.1398476</v>
      </c>
      <c r="CY18" s="51">
        <f t="shared" si="111"/>
        <v>82.02953219999999</v>
      </c>
      <c r="DB18" s="33">
        <f t="shared" si="43"/>
        <v>22471.62618</v>
      </c>
      <c r="DC18" s="51">
        <f t="shared" si="44"/>
        <v>22471.62618</v>
      </c>
      <c r="DD18" s="51">
        <f t="shared" si="45"/>
        <v>18585.0499848</v>
      </c>
      <c r="DE18" s="51">
        <f t="shared" si="112"/>
        <v>10020.5368956</v>
      </c>
      <c r="DH18" s="33">
        <f t="shared" si="46"/>
        <v>216.7285</v>
      </c>
      <c r="DI18" s="51">
        <f t="shared" si="47"/>
        <v>216.7285</v>
      </c>
      <c r="DJ18" s="51">
        <f t="shared" si="48"/>
        <v>179.24426</v>
      </c>
      <c r="DK18" s="51">
        <f t="shared" si="113"/>
        <v>96.64347</v>
      </c>
      <c r="DN18" s="33">
        <f t="shared" si="49"/>
        <v>149.90725500000002</v>
      </c>
      <c r="DO18" s="51">
        <f t="shared" si="50"/>
        <v>149.90725500000002</v>
      </c>
      <c r="DP18" s="51">
        <f t="shared" si="51"/>
        <v>123.9800718</v>
      </c>
      <c r="DQ18" s="51">
        <f t="shared" si="114"/>
        <v>66.8465721</v>
      </c>
      <c r="DT18" s="51">
        <f t="shared" si="52"/>
        <v>92.44382</v>
      </c>
      <c r="DU18" s="51">
        <f t="shared" si="53"/>
        <v>92.44382</v>
      </c>
      <c r="DV18" s="51">
        <f t="shared" si="54"/>
        <v>76.4552152</v>
      </c>
      <c r="DW18" s="51">
        <f t="shared" si="115"/>
        <v>41.2225044</v>
      </c>
      <c r="DZ18" s="33">
        <f t="shared" si="55"/>
        <v>2.3090699999999997</v>
      </c>
      <c r="EA18" s="51">
        <f t="shared" si="56"/>
        <v>2.3090699999999997</v>
      </c>
      <c r="EB18" s="51">
        <f t="shared" si="57"/>
        <v>1.9097051999999999</v>
      </c>
      <c r="EC18" s="51">
        <f t="shared" si="116"/>
        <v>1.0296594</v>
      </c>
      <c r="EF18" s="33">
        <f t="shared" si="58"/>
        <v>569.0237149999999</v>
      </c>
      <c r="EG18" s="33">
        <f t="shared" si="59"/>
        <v>569.0237149999999</v>
      </c>
      <c r="EH18" s="51">
        <f t="shared" si="60"/>
        <v>470.6083174</v>
      </c>
      <c r="EI18" s="51">
        <f t="shared" si="117"/>
        <v>253.7387853</v>
      </c>
      <c r="EL18" s="33">
        <f t="shared" si="61"/>
        <v>1368.3872900000001</v>
      </c>
      <c r="EM18" s="51">
        <f t="shared" si="62"/>
        <v>1368.3872900000001</v>
      </c>
      <c r="EN18" s="51">
        <f t="shared" si="63"/>
        <v>1131.7181044000001</v>
      </c>
      <c r="EO18" s="51">
        <f t="shared" si="118"/>
        <v>610.1906118</v>
      </c>
      <c r="ER18" s="33">
        <f t="shared" si="64"/>
        <v>390.27334</v>
      </c>
      <c r="ES18" s="51">
        <f t="shared" si="65"/>
        <v>390.27334</v>
      </c>
      <c r="ET18" s="51">
        <f t="shared" si="66"/>
        <v>322.7736824</v>
      </c>
      <c r="EU18" s="51">
        <f t="shared" si="119"/>
        <v>174.0305028</v>
      </c>
      <c r="EV18"/>
    </row>
    <row r="19" spans="1:152" ht="12.75">
      <c r="A19" s="78">
        <v>44287</v>
      </c>
      <c r="C19" s="35">
        <v>4970000</v>
      </c>
      <c r="D19" s="35">
        <v>202550</v>
      </c>
      <c r="E19" s="35">
        <f t="shared" si="0"/>
        <v>5172550</v>
      </c>
      <c r="F19" s="35">
        <v>167518</v>
      </c>
      <c r="G19" s="35">
        <v>90321</v>
      </c>
      <c r="I19" s="71">
        <f t="shared" si="67"/>
        <v>1598120.8949999998</v>
      </c>
      <c r="J19" s="71">
        <f t="shared" si="1"/>
        <v>65130.661425</v>
      </c>
      <c r="K19" s="71">
        <f t="shared" si="2"/>
        <v>1663251.5564249998</v>
      </c>
      <c r="L19" s="71">
        <f t="shared" si="3"/>
        <v>53865.999213</v>
      </c>
      <c r="M19" s="71">
        <f t="shared" si="3"/>
        <v>29043.0336735</v>
      </c>
      <c r="O19" s="33">
        <f t="shared" si="68"/>
        <v>219629.27000000002</v>
      </c>
      <c r="P19" s="33">
        <f t="shared" si="4"/>
        <v>8950.88705</v>
      </c>
      <c r="Q19" s="33">
        <f t="shared" si="5"/>
        <v>228580.15705</v>
      </c>
      <c r="R19" s="51">
        <f t="shared" si="6"/>
        <v>7402.787938</v>
      </c>
      <c r="S19" s="51">
        <f t="shared" si="97"/>
        <v>3991.3753110000002</v>
      </c>
      <c r="U19" s="33">
        <f t="shared" si="69"/>
        <v>224097.3</v>
      </c>
      <c r="V19" s="51">
        <f t="shared" si="7"/>
        <v>9132.9795</v>
      </c>
      <c r="W19" s="51">
        <f t="shared" si="8"/>
        <v>233230.27949999998</v>
      </c>
      <c r="X19" s="51">
        <f t="shared" si="9"/>
        <v>7553.386619999999</v>
      </c>
      <c r="Y19" s="51">
        <f t="shared" si="98"/>
        <v>4072.5738899999997</v>
      </c>
      <c r="AA19" s="33">
        <f t="shared" si="70"/>
        <v>7493.269</v>
      </c>
      <c r="AB19" s="51">
        <f t="shared" si="10"/>
        <v>305.384635</v>
      </c>
      <c r="AC19" s="51">
        <f t="shared" si="11"/>
        <v>7798.653635000001</v>
      </c>
      <c r="AD19" s="51">
        <f t="shared" si="12"/>
        <v>252.5668886</v>
      </c>
      <c r="AE19" s="51">
        <f t="shared" si="99"/>
        <v>136.1769717</v>
      </c>
      <c r="AG19" s="33">
        <f t="shared" si="71"/>
        <v>2783.2</v>
      </c>
      <c r="AH19" s="33">
        <f t="shared" si="72"/>
        <v>113.42799999999998</v>
      </c>
      <c r="AI19" s="33">
        <f t="shared" si="73"/>
        <v>2896.6279999999997</v>
      </c>
      <c r="AJ19" s="51">
        <f t="shared" si="74"/>
        <v>93.81007999999999</v>
      </c>
      <c r="AK19" s="51">
        <f t="shared" si="100"/>
        <v>50.57975999999999</v>
      </c>
      <c r="AM19" s="33">
        <f t="shared" si="75"/>
        <v>42180.886999999995</v>
      </c>
      <c r="AN19" s="33">
        <f t="shared" si="13"/>
        <v>1719.0621049999997</v>
      </c>
      <c r="AO19" s="33">
        <f t="shared" si="14"/>
        <v>43899.94910499999</v>
      </c>
      <c r="AP19" s="51">
        <f t="shared" si="15"/>
        <v>1421.7420177999998</v>
      </c>
      <c r="AQ19" s="51">
        <f t="shared" si="101"/>
        <v>766.5633591</v>
      </c>
      <c r="AS19" s="51">
        <f t="shared" si="76"/>
        <v>10702.895</v>
      </c>
      <c r="AT19" s="33">
        <f t="shared" si="16"/>
        <v>436.191425</v>
      </c>
      <c r="AU19" s="51">
        <f t="shared" si="17"/>
        <v>11139.086425000001</v>
      </c>
      <c r="AV19" s="51">
        <f t="shared" si="18"/>
        <v>360.750013</v>
      </c>
      <c r="AW19" s="51">
        <f t="shared" si="102"/>
        <v>194.5062735</v>
      </c>
      <c r="AY19" s="51">
        <f t="shared" si="77"/>
        <v>11454.856</v>
      </c>
      <c r="AZ19" s="33">
        <f t="shared" si="19"/>
        <v>466.83724</v>
      </c>
      <c r="BA19" s="51">
        <f t="shared" si="20"/>
        <v>11921.69324</v>
      </c>
      <c r="BB19" s="51">
        <f t="shared" si="21"/>
        <v>386.0954864</v>
      </c>
      <c r="BC19" s="51">
        <f t="shared" si="103"/>
        <v>208.1718408</v>
      </c>
      <c r="BE19" s="33">
        <f t="shared" si="78"/>
        <v>11610.417</v>
      </c>
      <c r="BF19" s="33">
        <f t="shared" si="22"/>
        <v>473.17705499999994</v>
      </c>
      <c r="BG19" s="33">
        <f t="shared" si="23"/>
        <v>12083.594055</v>
      </c>
      <c r="BH19" s="51">
        <f t="shared" si="24"/>
        <v>391.33879979999995</v>
      </c>
      <c r="BI19" s="51">
        <f t="shared" si="104"/>
        <v>210.9988881</v>
      </c>
      <c r="BK19" s="33">
        <f t="shared" si="79"/>
        <v>2307.571</v>
      </c>
      <c r="BL19" s="33">
        <f t="shared" si="25"/>
        <v>94.043965</v>
      </c>
      <c r="BM19" s="51">
        <f t="shared" si="26"/>
        <v>2401.6149649999998</v>
      </c>
      <c r="BN19" s="51">
        <f t="shared" si="27"/>
        <v>77.7786074</v>
      </c>
      <c r="BO19" s="51">
        <f t="shared" si="105"/>
        <v>41.9360403</v>
      </c>
      <c r="BQ19" s="33">
        <f t="shared" si="80"/>
        <v>18727.457</v>
      </c>
      <c r="BR19" s="33">
        <f t="shared" si="28"/>
        <v>763.228655</v>
      </c>
      <c r="BS19" s="51">
        <f t="shared" si="29"/>
        <v>19490.685654999997</v>
      </c>
      <c r="BT19" s="51">
        <f t="shared" si="30"/>
        <v>631.2245758</v>
      </c>
      <c r="BU19" s="51">
        <f t="shared" si="106"/>
        <v>340.3385601</v>
      </c>
      <c r="BW19" s="33">
        <f t="shared" si="81"/>
        <v>570.5560000000004</v>
      </c>
      <c r="BX19" s="33">
        <f t="shared" si="82"/>
        <v>23.252740000000017</v>
      </c>
      <c r="BY19" s="51">
        <f t="shared" si="83"/>
        <v>593.8087400000004</v>
      </c>
      <c r="BZ19" s="33">
        <f t="shared" si="84"/>
        <v>19.231066400000014</v>
      </c>
      <c r="CA19" s="51">
        <f t="shared" si="107"/>
        <v>10.368850800000008</v>
      </c>
      <c r="CC19" s="51">
        <f t="shared" si="85"/>
        <v>16403.982</v>
      </c>
      <c r="CD19" s="51">
        <f t="shared" si="31"/>
        <v>668.53653</v>
      </c>
      <c r="CE19" s="33">
        <f t="shared" si="32"/>
        <v>17072.51853</v>
      </c>
      <c r="CF19" s="51">
        <f t="shared" si="33"/>
        <v>552.9099108</v>
      </c>
      <c r="CG19" s="51">
        <f t="shared" si="108"/>
        <v>298.1134926</v>
      </c>
      <c r="CI19" s="51">
        <f t="shared" si="86"/>
        <v>10326.169</v>
      </c>
      <c r="CJ19" s="51">
        <f t="shared" si="34"/>
        <v>420.838135</v>
      </c>
      <c r="CK19" s="33">
        <f t="shared" si="35"/>
        <v>10747.007135</v>
      </c>
      <c r="CL19" s="51">
        <f t="shared" si="36"/>
        <v>348.0521486</v>
      </c>
      <c r="CM19" s="51">
        <f t="shared" si="109"/>
        <v>187.6599417</v>
      </c>
      <c r="CO19" s="33">
        <f t="shared" si="87"/>
        <v>395493.714</v>
      </c>
      <c r="CP19" s="33">
        <f t="shared" si="37"/>
        <v>16118.15931</v>
      </c>
      <c r="CQ19" s="51">
        <f t="shared" si="38"/>
        <v>411611.87331</v>
      </c>
      <c r="CR19" s="51">
        <f t="shared" si="39"/>
        <v>13330.4458716</v>
      </c>
      <c r="CS19" s="51">
        <f t="shared" si="110"/>
        <v>7187.4019602</v>
      </c>
      <c r="CU19" s="33">
        <f t="shared" si="88"/>
        <v>4513.754</v>
      </c>
      <c r="CV19" s="33">
        <f t="shared" si="40"/>
        <v>183.95591</v>
      </c>
      <c r="CW19" s="33">
        <f t="shared" si="41"/>
        <v>4697.70991</v>
      </c>
      <c r="CX19" s="51">
        <f t="shared" si="42"/>
        <v>152.1398476</v>
      </c>
      <c r="CY19" s="51">
        <f t="shared" si="111"/>
        <v>82.02953219999999</v>
      </c>
      <c r="DA19" s="33">
        <f t="shared" si="89"/>
        <v>551389.692</v>
      </c>
      <c r="DB19" s="33">
        <f t="shared" si="43"/>
        <v>22471.62618</v>
      </c>
      <c r="DC19" s="51">
        <f t="shared" si="44"/>
        <v>573861.3181800001</v>
      </c>
      <c r="DD19" s="51">
        <f t="shared" si="45"/>
        <v>18585.0499848</v>
      </c>
      <c r="DE19" s="51">
        <f t="shared" si="112"/>
        <v>10020.5368956</v>
      </c>
      <c r="DG19" s="33">
        <f t="shared" si="90"/>
        <v>5317.9</v>
      </c>
      <c r="DH19" s="33">
        <f t="shared" si="46"/>
        <v>216.7285</v>
      </c>
      <c r="DI19" s="51">
        <f t="shared" si="47"/>
        <v>5534.6285</v>
      </c>
      <c r="DJ19" s="51">
        <f t="shared" si="48"/>
        <v>179.24426</v>
      </c>
      <c r="DK19" s="51">
        <f t="shared" si="113"/>
        <v>96.64347</v>
      </c>
      <c r="DM19" s="33">
        <f t="shared" si="91"/>
        <v>3678.297</v>
      </c>
      <c r="DN19" s="33">
        <f t="shared" si="49"/>
        <v>149.90725500000002</v>
      </c>
      <c r="DO19" s="51">
        <f t="shared" si="50"/>
        <v>3828.204255</v>
      </c>
      <c r="DP19" s="51">
        <f t="shared" si="51"/>
        <v>123.9800718</v>
      </c>
      <c r="DQ19" s="51">
        <f t="shared" si="114"/>
        <v>66.8465721</v>
      </c>
      <c r="DS19" s="33">
        <f t="shared" si="92"/>
        <v>2268.308</v>
      </c>
      <c r="DT19" s="51">
        <f t="shared" si="52"/>
        <v>92.44382</v>
      </c>
      <c r="DU19" s="51">
        <f t="shared" si="53"/>
        <v>2360.75182</v>
      </c>
      <c r="DV19" s="51">
        <f t="shared" si="54"/>
        <v>76.4552152</v>
      </c>
      <c r="DW19" s="51">
        <f t="shared" si="115"/>
        <v>41.2225044</v>
      </c>
      <c r="DY19" s="33">
        <f t="shared" si="93"/>
        <v>56.657999999999994</v>
      </c>
      <c r="DZ19" s="33">
        <f t="shared" si="55"/>
        <v>2.3090699999999997</v>
      </c>
      <c r="EA19" s="51">
        <f t="shared" si="56"/>
        <v>58.96706999999999</v>
      </c>
      <c r="EB19" s="51">
        <f t="shared" si="57"/>
        <v>1.9097051999999999</v>
      </c>
      <c r="EC19" s="51">
        <f t="shared" si="116"/>
        <v>1.0296594</v>
      </c>
      <c r="EE19" s="33">
        <f t="shared" si="94"/>
        <v>13962.221</v>
      </c>
      <c r="EF19" s="33">
        <f t="shared" si="58"/>
        <v>569.0237149999999</v>
      </c>
      <c r="EG19" s="33">
        <f t="shared" si="59"/>
        <v>14531.244714999999</v>
      </c>
      <c r="EH19" s="51">
        <f t="shared" si="60"/>
        <v>470.6083174</v>
      </c>
      <c r="EI19" s="51">
        <f t="shared" si="117"/>
        <v>253.7387853</v>
      </c>
      <c r="EK19" s="33">
        <f t="shared" si="95"/>
        <v>33576.326</v>
      </c>
      <c r="EL19" s="33">
        <f t="shared" si="61"/>
        <v>1368.3872900000001</v>
      </c>
      <c r="EM19" s="51">
        <f t="shared" si="62"/>
        <v>34944.71329</v>
      </c>
      <c r="EN19" s="51">
        <f t="shared" si="63"/>
        <v>1131.7181044000001</v>
      </c>
      <c r="EO19" s="51">
        <f t="shared" si="118"/>
        <v>610.1906118</v>
      </c>
      <c r="EQ19" s="33">
        <f t="shared" si="96"/>
        <v>9576.196</v>
      </c>
      <c r="ER19" s="33">
        <f t="shared" si="64"/>
        <v>390.27334</v>
      </c>
      <c r="ES19" s="51">
        <f t="shared" si="65"/>
        <v>9966.46934</v>
      </c>
      <c r="ET19" s="51">
        <f t="shared" si="66"/>
        <v>322.7736824</v>
      </c>
      <c r="EU19" s="51">
        <f t="shared" si="119"/>
        <v>174.0305028</v>
      </c>
      <c r="EV19"/>
    </row>
    <row r="20" spans="1:152" ht="12.75">
      <c r="A20" s="78">
        <v>44470</v>
      </c>
      <c r="D20" s="35">
        <v>128000</v>
      </c>
      <c r="E20" s="35">
        <f t="shared" si="0"/>
        <v>128000</v>
      </c>
      <c r="F20" s="35">
        <v>167518</v>
      </c>
      <c r="G20" s="35">
        <v>90321</v>
      </c>
      <c r="I20" s="71"/>
      <c r="J20" s="71">
        <f t="shared" si="1"/>
        <v>41158.848</v>
      </c>
      <c r="K20" s="71">
        <f t="shared" si="2"/>
        <v>41158.848</v>
      </c>
      <c r="L20" s="71">
        <f t="shared" si="3"/>
        <v>53865.999213</v>
      </c>
      <c r="M20" s="71">
        <f t="shared" si="3"/>
        <v>29043.0336735</v>
      </c>
      <c r="P20" s="33">
        <f t="shared" si="4"/>
        <v>5656.448</v>
      </c>
      <c r="Q20" s="33">
        <f t="shared" si="5"/>
        <v>5656.448</v>
      </c>
      <c r="R20" s="51">
        <f t="shared" si="6"/>
        <v>7402.787938</v>
      </c>
      <c r="S20" s="51">
        <f t="shared" si="97"/>
        <v>3991.3753110000002</v>
      </c>
      <c r="V20" s="51">
        <f t="shared" si="7"/>
        <v>5771.5199999999995</v>
      </c>
      <c r="W20" s="51">
        <f t="shared" si="8"/>
        <v>5771.5199999999995</v>
      </c>
      <c r="X20" s="51">
        <f t="shared" si="9"/>
        <v>7553.386619999999</v>
      </c>
      <c r="Y20" s="51">
        <f t="shared" si="98"/>
        <v>4072.5738899999997</v>
      </c>
      <c r="AB20" s="51">
        <f t="shared" si="10"/>
        <v>192.9856</v>
      </c>
      <c r="AC20" s="51">
        <f t="shared" si="11"/>
        <v>192.9856</v>
      </c>
      <c r="AD20" s="51">
        <f t="shared" si="12"/>
        <v>252.5668886</v>
      </c>
      <c r="AE20" s="51">
        <f t="shared" si="99"/>
        <v>136.1769717</v>
      </c>
      <c r="AG20" s="33">
        <f t="shared" si="71"/>
        <v>0</v>
      </c>
      <c r="AH20" s="33">
        <f t="shared" si="72"/>
        <v>71.67999999999999</v>
      </c>
      <c r="AI20" s="33">
        <f t="shared" si="73"/>
        <v>71.67999999999999</v>
      </c>
      <c r="AJ20" s="51">
        <f t="shared" si="74"/>
        <v>93.81007999999999</v>
      </c>
      <c r="AK20" s="51">
        <f t="shared" si="100"/>
        <v>50.57975999999999</v>
      </c>
      <c r="AN20" s="33">
        <f t="shared" si="13"/>
        <v>1086.3488</v>
      </c>
      <c r="AO20" s="33">
        <f t="shared" si="14"/>
        <v>1086.3488</v>
      </c>
      <c r="AP20" s="51">
        <f t="shared" si="15"/>
        <v>1421.7420177999998</v>
      </c>
      <c r="AQ20" s="51">
        <f t="shared" si="101"/>
        <v>766.5633591</v>
      </c>
      <c r="AS20" s="51"/>
      <c r="AT20" s="33">
        <f t="shared" si="16"/>
        <v>275.648</v>
      </c>
      <c r="AU20" s="51">
        <f t="shared" si="17"/>
        <v>275.648</v>
      </c>
      <c r="AV20" s="51">
        <f t="shared" si="18"/>
        <v>360.750013</v>
      </c>
      <c r="AW20" s="51">
        <f t="shared" si="102"/>
        <v>194.5062735</v>
      </c>
      <c r="AY20" s="51"/>
      <c r="AZ20" s="33">
        <f t="shared" si="19"/>
        <v>295.0144</v>
      </c>
      <c r="BA20" s="51">
        <f t="shared" si="20"/>
        <v>295.0144</v>
      </c>
      <c r="BB20" s="51">
        <f t="shared" si="21"/>
        <v>386.0954864</v>
      </c>
      <c r="BC20" s="51">
        <f t="shared" si="103"/>
        <v>208.1718408</v>
      </c>
      <c r="BF20" s="33">
        <f t="shared" si="22"/>
        <v>299.02079999999995</v>
      </c>
      <c r="BG20" s="33">
        <f t="shared" si="23"/>
        <v>299.02079999999995</v>
      </c>
      <c r="BH20" s="51">
        <f t="shared" si="24"/>
        <v>391.33879979999995</v>
      </c>
      <c r="BI20" s="51">
        <f t="shared" si="104"/>
        <v>210.9988881</v>
      </c>
      <c r="BL20" s="33">
        <f t="shared" si="25"/>
        <v>59.4304</v>
      </c>
      <c r="BM20" s="51">
        <f t="shared" si="26"/>
        <v>59.4304</v>
      </c>
      <c r="BN20" s="51">
        <f t="shared" si="27"/>
        <v>77.7786074</v>
      </c>
      <c r="BO20" s="51">
        <f t="shared" si="105"/>
        <v>41.9360403</v>
      </c>
      <c r="BR20" s="33">
        <f t="shared" si="28"/>
        <v>482.3168</v>
      </c>
      <c r="BS20" s="51">
        <f t="shared" si="29"/>
        <v>482.3168</v>
      </c>
      <c r="BT20" s="51">
        <f t="shared" si="30"/>
        <v>631.2245758</v>
      </c>
      <c r="BU20" s="51">
        <f t="shared" si="106"/>
        <v>340.3385601</v>
      </c>
      <c r="BW20" s="33">
        <f t="shared" si="81"/>
        <v>0</v>
      </c>
      <c r="BX20" s="33">
        <f t="shared" si="82"/>
        <v>14.69440000000001</v>
      </c>
      <c r="BY20" s="51">
        <f t="shared" si="83"/>
        <v>14.69440000000001</v>
      </c>
      <c r="BZ20" s="33">
        <f t="shared" si="84"/>
        <v>19.231066400000014</v>
      </c>
      <c r="CA20" s="51">
        <f t="shared" si="107"/>
        <v>10.368850800000008</v>
      </c>
      <c r="CC20" s="51"/>
      <c r="CD20" s="51">
        <f t="shared" si="31"/>
        <v>422.47679999999997</v>
      </c>
      <c r="CE20" s="33">
        <f t="shared" si="32"/>
        <v>422.47679999999997</v>
      </c>
      <c r="CF20" s="51">
        <f t="shared" si="33"/>
        <v>552.9099108</v>
      </c>
      <c r="CG20" s="51">
        <f t="shared" si="108"/>
        <v>298.1134926</v>
      </c>
      <c r="CI20" s="51"/>
      <c r="CJ20" s="51">
        <f t="shared" si="34"/>
        <v>265.9456</v>
      </c>
      <c r="CK20" s="33">
        <f t="shared" si="35"/>
        <v>265.9456</v>
      </c>
      <c r="CL20" s="51">
        <f t="shared" si="36"/>
        <v>348.0521486</v>
      </c>
      <c r="CM20" s="51">
        <f t="shared" si="109"/>
        <v>187.6599417</v>
      </c>
      <c r="CP20" s="33">
        <f t="shared" si="37"/>
        <v>10185.7536</v>
      </c>
      <c r="CQ20" s="51">
        <f t="shared" si="38"/>
        <v>10185.7536</v>
      </c>
      <c r="CR20" s="51">
        <f t="shared" si="39"/>
        <v>13330.4458716</v>
      </c>
      <c r="CS20" s="51">
        <f t="shared" si="110"/>
        <v>7187.4019602</v>
      </c>
      <c r="CV20" s="33">
        <f t="shared" si="40"/>
        <v>116.2496</v>
      </c>
      <c r="CW20" s="33">
        <f t="shared" si="41"/>
        <v>116.2496</v>
      </c>
      <c r="CX20" s="51">
        <f t="shared" si="42"/>
        <v>152.1398476</v>
      </c>
      <c r="CY20" s="51">
        <f t="shared" si="111"/>
        <v>82.02953219999999</v>
      </c>
      <c r="DB20" s="33">
        <f t="shared" si="43"/>
        <v>14200.7808</v>
      </c>
      <c r="DC20" s="51">
        <f t="shared" si="44"/>
        <v>14200.7808</v>
      </c>
      <c r="DD20" s="51">
        <f t="shared" si="45"/>
        <v>18585.0499848</v>
      </c>
      <c r="DE20" s="51">
        <f t="shared" si="112"/>
        <v>10020.5368956</v>
      </c>
      <c r="DH20" s="33">
        <f t="shared" si="46"/>
        <v>136.96</v>
      </c>
      <c r="DI20" s="51">
        <f t="shared" si="47"/>
        <v>136.96</v>
      </c>
      <c r="DJ20" s="51">
        <f t="shared" si="48"/>
        <v>179.24426</v>
      </c>
      <c r="DK20" s="51">
        <f t="shared" si="113"/>
        <v>96.64347</v>
      </c>
      <c r="DN20" s="33">
        <f t="shared" si="49"/>
        <v>94.73280000000001</v>
      </c>
      <c r="DO20" s="51">
        <f t="shared" si="50"/>
        <v>94.73280000000001</v>
      </c>
      <c r="DP20" s="51">
        <f t="shared" si="51"/>
        <v>123.9800718</v>
      </c>
      <c r="DQ20" s="51">
        <f t="shared" si="114"/>
        <v>66.8465721</v>
      </c>
      <c r="DT20" s="51">
        <f t="shared" si="52"/>
        <v>58.4192</v>
      </c>
      <c r="DU20" s="51">
        <f t="shared" si="53"/>
        <v>58.4192</v>
      </c>
      <c r="DV20" s="51">
        <f t="shared" si="54"/>
        <v>76.4552152</v>
      </c>
      <c r="DW20" s="51">
        <f t="shared" si="115"/>
        <v>41.2225044</v>
      </c>
      <c r="DZ20" s="33">
        <f t="shared" si="55"/>
        <v>1.4591999999999998</v>
      </c>
      <c r="EA20" s="51">
        <f t="shared" si="56"/>
        <v>1.4591999999999998</v>
      </c>
      <c r="EB20" s="51">
        <f t="shared" si="57"/>
        <v>1.9097051999999999</v>
      </c>
      <c r="EC20" s="51">
        <f t="shared" si="116"/>
        <v>1.0296594</v>
      </c>
      <c r="EF20" s="33">
        <f t="shared" si="58"/>
        <v>359.5904</v>
      </c>
      <c r="EG20" s="33">
        <f t="shared" si="59"/>
        <v>359.5904</v>
      </c>
      <c r="EH20" s="51">
        <f t="shared" si="60"/>
        <v>470.6083174</v>
      </c>
      <c r="EI20" s="51">
        <f t="shared" si="117"/>
        <v>253.7387853</v>
      </c>
      <c r="EL20" s="33">
        <f t="shared" si="61"/>
        <v>864.7424</v>
      </c>
      <c r="EM20" s="51">
        <f t="shared" si="62"/>
        <v>864.7424</v>
      </c>
      <c r="EN20" s="51">
        <f t="shared" si="63"/>
        <v>1131.7181044000001</v>
      </c>
      <c r="EO20" s="51">
        <f t="shared" si="118"/>
        <v>610.1906118</v>
      </c>
      <c r="ER20" s="33">
        <f t="shared" si="64"/>
        <v>246.6304</v>
      </c>
      <c r="ES20" s="51">
        <f t="shared" si="65"/>
        <v>246.6304</v>
      </c>
      <c r="ET20" s="51">
        <f t="shared" si="66"/>
        <v>322.7736824</v>
      </c>
      <c r="EU20" s="51">
        <f t="shared" si="119"/>
        <v>174.0305028</v>
      </c>
      <c r="EV20"/>
    </row>
    <row r="21" spans="1:152" ht="12.75">
      <c r="A21" s="78">
        <v>44652</v>
      </c>
      <c r="B21" s="53"/>
      <c r="C21" s="41">
        <v>5120000</v>
      </c>
      <c r="D21" s="41">
        <v>128000</v>
      </c>
      <c r="E21" s="35">
        <f t="shared" si="0"/>
        <v>5248000</v>
      </c>
      <c r="F21" s="35">
        <v>167518</v>
      </c>
      <c r="G21" s="35">
        <v>90321</v>
      </c>
      <c r="I21" s="71">
        <f t="shared" si="67"/>
        <v>1646353.92</v>
      </c>
      <c r="J21" s="71">
        <f t="shared" si="1"/>
        <v>41158.848</v>
      </c>
      <c r="K21" s="71">
        <f t="shared" si="2"/>
        <v>1687512.768</v>
      </c>
      <c r="L21" s="71">
        <f t="shared" si="3"/>
        <v>53865.999213</v>
      </c>
      <c r="M21" s="71">
        <f t="shared" si="3"/>
        <v>29043.0336735</v>
      </c>
      <c r="O21" s="33">
        <f t="shared" si="68"/>
        <v>226257.92</v>
      </c>
      <c r="P21" s="33">
        <f t="shared" si="4"/>
        <v>5656.448</v>
      </c>
      <c r="Q21" s="33">
        <f t="shared" si="5"/>
        <v>231914.36800000002</v>
      </c>
      <c r="R21" s="51">
        <f t="shared" si="6"/>
        <v>7402.787938</v>
      </c>
      <c r="S21" s="51">
        <f t="shared" si="97"/>
        <v>3991.3753110000002</v>
      </c>
      <c r="U21" s="33">
        <f t="shared" si="69"/>
        <v>230860.8</v>
      </c>
      <c r="V21" s="51">
        <f t="shared" si="7"/>
        <v>5771.5199999999995</v>
      </c>
      <c r="W21" s="51">
        <f t="shared" si="8"/>
        <v>236632.31999999998</v>
      </c>
      <c r="X21" s="51">
        <f t="shared" si="9"/>
        <v>7553.386619999999</v>
      </c>
      <c r="Y21" s="51">
        <f t="shared" si="98"/>
        <v>4072.5738899999997</v>
      </c>
      <c r="AA21" s="33">
        <f t="shared" si="70"/>
        <v>7719.424</v>
      </c>
      <c r="AB21" s="51">
        <f t="shared" si="10"/>
        <v>192.9856</v>
      </c>
      <c r="AC21" s="51">
        <f t="shared" si="11"/>
        <v>7912.4096</v>
      </c>
      <c r="AD21" s="51">
        <f t="shared" si="12"/>
        <v>252.5668886</v>
      </c>
      <c r="AE21" s="51">
        <f t="shared" si="99"/>
        <v>136.1769717</v>
      </c>
      <c r="AG21" s="33">
        <f t="shared" si="71"/>
        <v>2867.2</v>
      </c>
      <c r="AH21" s="33">
        <f t="shared" si="72"/>
        <v>71.67999999999999</v>
      </c>
      <c r="AI21" s="33">
        <f t="shared" si="73"/>
        <v>2938.8799999999997</v>
      </c>
      <c r="AJ21" s="51">
        <f t="shared" si="74"/>
        <v>93.81007999999999</v>
      </c>
      <c r="AK21" s="51">
        <f t="shared" si="100"/>
        <v>50.57975999999999</v>
      </c>
      <c r="AM21" s="33">
        <f t="shared" si="75"/>
        <v>43453.952</v>
      </c>
      <c r="AN21" s="33">
        <f t="shared" si="13"/>
        <v>1086.3488</v>
      </c>
      <c r="AO21" s="33">
        <f t="shared" si="14"/>
        <v>44540.3008</v>
      </c>
      <c r="AP21" s="51">
        <f t="shared" si="15"/>
        <v>1421.7420177999998</v>
      </c>
      <c r="AQ21" s="51">
        <f t="shared" si="101"/>
        <v>766.5633591</v>
      </c>
      <c r="AS21" s="51">
        <f t="shared" si="76"/>
        <v>11025.92</v>
      </c>
      <c r="AT21" s="33">
        <f t="shared" si="16"/>
        <v>275.648</v>
      </c>
      <c r="AU21" s="51">
        <f t="shared" si="17"/>
        <v>11301.568</v>
      </c>
      <c r="AV21" s="51">
        <f t="shared" si="18"/>
        <v>360.750013</v>
      </c>
      <c r="AW21" s="51">
        <f t="shared" si="102"/>
        <v>194.5062735</v>
      </c>
      <c r="AY21" s="51">
        <f t="shared" si="77"/>
        <v>11800.576000000001</v>
      </c>
      <c r="AZ21" s="33">
        <f t="shared" si="19"/>
        <v>295.0144</v>
      </c>
      <c r="BA21" s="51">
        <f t="shared" si="20"/>
        <v>12095.590400000001</v>
      </c>
      <c r="BB21" s="51">
        <f t="shared" si="21"/>
        <v>386.0954864</v>
      </c>
      <c r="BC21" s="51">
        <f t="shared" si="103"/>
        <v>208.1718408</v>
      </c>
      <c r="BE21" s="33">
        <f t="shared" si="78"/>
        <v>11960.831999999999</v>
      </c>
      <c r="BF21" s="33">
        <f t="shared" si="22"/>
        <v>299.02079999999995</v>
      </c>
      <c r="BG21" s="33">
        <f t="shared" si="23"/>
        <v>12259.852799999999</v>
      </c>
      <c r="BH21" s="51">
        <f t="shared" si="24"/>
        <v>391.33879979999995</v>
      </c>
      <c r="BI21" s="51">
        <f t="shared" si="104"/>
        <v>210.9988881</v>
      </c>
      <c r="BK21" s="33">
        <f t="shared" si="79"/>
        <v>2377.216</v>
      </c>
      <c r="BL21" s="33">
        <f t="shared" si="25"/>
        <v>59.4304</v>
      </c>
      <c r="BM21" s="51">
        <f t="shared" si="26"/>
        <v>2436.6464</v>
      </c>
      <c r="BN21" s="51">
        <f t="shared" si="27"/>
        <v>77.7786074</v>
      </c>
      <c r="BO21" s="51">
        <f t="shared" si="105"/>
        <v>41.9360403</v>
      </c>
      <c r="BQ21" s="33">
        <f t="shared" si="80"/>
        <v>19292.672</v>
      </c>
      <c r="BR21" s="33">
        <f t="shared" si="28"/>
        <v>482.3168</v>
      </c>
      <c r="BS21" s="51">
        <f t="shared" si="29"/>
        <v>19774.9888</v>
      </c>
      <c r="BT21" s="51">
        <f t="shared" si="30"/>
        <v>631.2245758</v>
      </c>
      <c r="BU21" s="51">
        <f t="shared" si="106"/>
        <v>340.3385601</v>
      </c>
      <c r="BW21" s="33">
        <f t="shared" si="81"/>
        <v>587.7760000000004</v>
      </c>
      <c r="BX21" s="33">
        <f t="shared" si="82"/>
        <v>14.69440000000001</v>
      </c>
      <c r="BY21" s="51">
        <f t="shared" si="83"/>
        <v>602.4704000000004</v>
      </c>
      <c r="BZ21" s="33">
        <f t="shared" si="84"/>
        <v>19.231066400000014</v>
      </c>
      <c r="CA21" s="51">
        <f t="shared" si="107"/>
        <v>10.368850800000008</v>
      </c>
      <c r="CC21" s="51">
        <f t="shared" si="85"/>
        <v>16899.072</v>
      </c>
      <c r="CD21" s="51">
        <f t="shared" si="31"/>
        <v>422.47679999999997</v>
      </c>
      <c r="CE21" s="33">
        <f t="shared" si="32"/>
        <v>17321.5488</v>
      </c>
      <c r="CF21" s="51">
        <f t="shared" si="33"/>
        <v>552.9099108</v>
      </c>
      <c r="CG21" s="51">
        <f t="shared" si="108"/>
        <v>298.1134926</v>
      </c>
      <c r="CI21" s="51">
        <f t="shared" si="86"/>
        <v>10637.824</v>
      </c>
      <c r="CJ21" s="51">
        <f t="shared" si="34"/>
        <v>265.9456</v>
      </c>
      <c r="CK21" s="33">
        <f t="shared" si="35"/>
        <v>10903.7696</v>
      </c>
      <c r="CL21" s="51">
        <f t="shared" si="36"/>
        <v>348.0521486</v>
      </c>
      <c r="CM21" s="51">
        <f t="shared" si="109"/>
        <v>187.6599417</v>
      </c>
      <c r="CO21" s="33">
        <f t="shared" si="87"/>
        <v>407430.144</v>
      </c>
      <c r="CP21" s="33">
        <f t="shared" si="37"/>
        <v>10185.7536</v>
      </c>
      <c r="CQ21" s="51">
        <f t="shared" si="38"/>
        <v>417615.89759999997</v>
      </c>
      <c r="CR21" s="51">
        <f t="shared" si="39"/>
        <v>13330.4458716</v>
      </c>
      <c r="CS21" s="51">
        <f t="shared" si="110"/>
        <v>7187.4019602</v>
      </c>
      <c r="CU21" s="33">
        <f t="shared" si="88"/>
        <v>4649.9839999999995</v>
      </c>
      <c r="CV21" s="33">
        <f t="shared" si="40"/>
        <v>116.2496</v>
      </c>
      <c r="CW21" s="33">
        <f t="shared" si="41"/>
        <v>4766.2336</v>
      </c>
      <c r="CX21" s="51">
        <f t="shared" si="42"/>
        <v>152.1398476</v>
      </c>
      <c r="CY21" s="51">
        <f t="shared" si="111"/>
        <v>82.02953219999999</v>
      </c>
      <c r="DA21" s="33">
        <f t="shared" si="89"/>
        <v>568031.232</v>
      </c>
      <c r="DB21" s="33">
        <f t="shared" si="43"/>
        <v>14200.7808</v>
      </c>
      <c r="DC21" s="51">
        <f t="shared" si="44"/>
        <v>582232.0127999999</v>
      </c>
      <c r="DD21" s="51">
        <f t="shared" si="45"/>
        <v>18585.0499848</v>
      </c>
      <c r="DE21" s="51">
        <f t="shared" si="112"/>
        <v>10020.5368956</v>
      </c>
      <c r="DG21" s="33">
        <f t="shared" si="90"/>
        <v>5478.4</v>
      </c>
      <c r="DH21" s="33">
        <f t="shared" si="46"/>
        <v>136.96</v>
      </c>
      <c r="DI21" s="51">
        <f t="shared" si="47"/>
        <v>5615.36</v>
      </c>
      <c r="DJ21" s="51">
        <f t="shared" si="48"/>
        <v>179.24426</v>
      </c>
      <c r="DK21" s="51">
        <f t="shared" si="113"/>
        <v>96.64347</v>
      </c>
      <c r="DM21" s="33">
        <f t="shared" si="91"/>
        <v>3789.3120000000004</v>
      </c>
      <c r="DN21" s="33">
        <f t="shared" si="49"/>
        <v>94.73280000000001</v>
      </c>
      <c r="DO21" s="51">
        <f t="shared" si="50"/>
        <v>3884.0448000000006</v>
      </c>
      <c r="DP21" s="51">
        <f t="shared" si="51"/>
        <v>123.9800718</v>
      </c>
      <c r="DQ21" s="51">
        <f t="shared" si="114"/>
        <v>66.8465721</v>
      </c>
      <c r="DS21" s="33">
        <f t="shared" si="92"/>
        <v>2336.768</v>
      </c>
      <c r="DT21" s="51">
        <f t="shared" si="52"/>
        <v>58.4192</v>
      </c>
      <c r="DU21" s="51">
        <f t="shared" si="53"/>
        <v>2395.1872</v>
      </c>
      <c r="DV21" s="51">
        <f t="shared" si="54"/>
        <v>76.4552152</v>
      </c>
      <c r="DW21" s="51">
        <f t="shared" si="115"/>
        <v>41.2225044</v>
      </c>
      <c r="DY21" s="33">
        <f t="shared" si="93"/>
        <v>58.367999999999995</v>
      </c>
      <c r="DZ21" s="33">
        <f t="shared" si="55"/>
        <v>1.4591999999999998</v>
      </c>
      <c r="EA21" s="51">
        <f t="shared" si="56"/>
        <v>59.8272</v>
      </c>
      <c r="EB21" s="51">
        <f t="shared" si="57"/>
        <v>1.9097051999999999</v>
      </c>
      <c r="EC21" s="51">
        <f t="shared" si="116"/>
        <v>1.0296594</v>
      </c>
      <c r="EE21" s="33">
        <f t="shared" si="94"/>
        <v>14383.615999999998</v>
      </c>
      <c r="EF21" s="33">
        <f t="shared" si="58"/>
        <v>359.5904</v>
      </c>
      <c r="EG21" s="33">
        <f t="shared" si="59"/>
        <v>14743.206399999997</v>
      </c>
      <c r="EH21" s="51">
        <f t="shared" si="60"/>
        <v>470.6083174</v>
      </c>
      <c r="EI21" s="51">
        <f t="shared" si="117"/>
        <v>253.7387853</v>
      </c>
      <c r="EK21" s="33">
        <f t="shared" si="95"/>
        <v>34589.696</v>
      </c>
      <c r="EL21" s="33">
        <f t="shared" si="61"/>
        <v>864.7424</v>
      </c>
      <c r="EM21" s="51">
        <f t="shared" si="62"/>
        <v>35454.43840000001</v>
      </c>
      <c r="EN21" s="51">
        <f t="shared" si="63"/>
        <v>1131.7181044000001</v>
      </c>
      <c r="EO21" s="51">
        <f t="shared" si="118"/>
        <v>610.1906118</v>
      </c>
      <c r="EQ21" s="33">
        <f t="shared" si="96"/>
        <v>9865.216</v>
      </c>
      <c r="ER21" s="33">
        <f t="shared" si="64"/>
        <v>246.6304</v>
      </c>
      <c r="ES21" s="51">
        <f t="shared" si="65"/>
        <v>10111.8464</v>
      </c>
      <c r="ET21" s="51">
        <f t="shared" si="66"/>
        <v>322.7736824</v>
      </c>
      <c r="EU21" s="51">
        <f t="shared" si="119"/>
        <v>174.0305028</v>
      </c>
      <c r="EV21"/>
    </row>
    <row r="22" spans="1:152" ht="12.75">
      <c r="A22" s="78">
        <v>44835</v>
      </c>
      <c r="E22" s="35">
        <f t="shared" si="0"/>
        <v>0</v>
      </c>
      <c r="I22" s="71"/>
      <c r="J22" s="71">
        <f t="shared" si="1"/>
        <v>0</v>
      </c>
      <c r="K22" s="71">
        <f t="shared" si="2"/>
        <v>0</v>
      </c>
      <c r="L22" s="71">
        <f t="shared" si="3"/>
        <v>0</v>
      </c>
      <c r="M22" s="71"/>
      <c r="P22" s="33">
        <f t="shared" si="4"/>
        <v>0</v>
      </c>
      <c r="Q22" s="33">
        <f t="shared" si="5"/>
        <v>0</v>
      </c>
      <c r="R22" s="51">
        <f t="shared" si="6"/>
        <v>0</v>
      </c>
      <c r="S22" s="51"/>
      <c r="V22" s="51">
        <f t="shared" si="7"/>
        <v>0</v>
      </c>
      <c r="W22" s="51">
        <f t="shared" si="8"/>
        <v>0</v>
      </c>
      <c r="X22" s="51">
        <f t="shared" si="9"/>
        <v>0</v>
      </c>
      <c r="Y22" s="51"/>
      <c r="AB22" s="51">
        <f t="shared" si="10"/>
        <v>0</v>
      </c>
      <c r="AC22" s="51">
        <f t="shared" si="11"/>
        <v>0</v>
      </c>
      <c r="AD22" s="51">
        <f t="shared" si="12"/>
        <v>0</v>
      </c>
      <c r="AE22" s="51"/>
      <c r="AG22" s="33">
        <f t="shared" si="71"/>
        <v>0</v>
      </c>
      <c r="AH22" s="33">
        <f t="shared" si="72"/>
        <v>0</v>
      </c>
      <c r="AI22" s="33">
        <f t="shared" si="73"/>
        <v>0</v>
      </c>
      <c r="AJ22" s="51">
        <f t="shared" si="74"/>
        <v>0</v>
      </c>
      <c r="AK22" s="51"/>
      <c r="AN22" s="33">
        <f t="shared" si="13"/>
        <v>0</v>
      </c>
      <c r="AO22" s="33">
        <f t="shared" si="14"/>
        <v>0</v>
      </c>
      <c r="AP22" s="51">
        <f t="shared" si="15"/>
        <v>0</v>
      </c>
      <c r="AQ22" s="51"/>
      <c r="AS22" s="51"/>
      <c r="AT22" s="33">
        <f t="shared" si="16"/>
        <v>0</v>
      </c>
      <c r="AU22" s="51">
        <f t="shared" si="17"/>
        <v>0</v>
      </c>
      <c r="AV22" s="51">
        <f t="shared" si="18"/>
        <v>0</v>
      </c>
      <c r="AW22" s="51"/>
      <c r="AY22" s="51"/>
      <c r="AZ22" s="33">
        <f t="shared" si="19"/>
        <v>0</v>
      </c>
      <c r="BA22" s="51">
        <f t="shared" si="20"/>
        <v>0</v>
      </c>
      <c r="BB22" s="51">
        <f t="shared" si="21"/>
        <v>0</v>
      </c>
      <c r="BC22" s="51"/>
      <c r="BF22" s="33">
        <f t="shared" si="22"/>
        <v>0</v>
      </c>
      <c r="BG22" s="33">
        <f t="shared" si="23"/>
        <v>0</v>
      </c>
      <c r="BH22" s="51">
        <f t="shared" si="24"/>
        <v>0</v>
      </c>
      <c r="BI22" s="51"/>
      <c r="BL22" s="33">
        <f t="shared" si="25"/>
        <v>0</v>
      </c>
      <c r="BM22" s="51">
        <f t="shared" si="26"/>
        <v>0</v>
      </c>
      <c r="BN22" s="51">
        <f t="shared" si="27"/>
        <v>0</v>
      </c>
      <c r="BO22" s="51"/>
      <c r="BR22" s="33">
        <f t="shared" si="28"/>
        <v>0</v>
      </c>
      <c r="BS22" s="51">
        <f t="shared" si="29"/>
        <v>0</v>
      </c>
      <c r="BT22" s="51">
        <f t="shared" si="30"/>
        <v>0</v>
      </c>
      <c r="BU22" s="51"/>
      <c r="BW22" s="33">
        <f t="shared" si="81"/>
        <v>0</v>
      </c>
      <c r="BX22" s="33">
        <f t="shared" si="82"/>
        <v>0</v>
      </c>
      <c r="BY22" s="51">
        <f t="shared" si="83"/>
        <v>0</v>
      </c>
      <c r="BZ22" s="33">
        <f t="shared" si="84"/>
        <v>0</v>
      </c>
      <c r="CA22" s="51"/>
      <c r="CC22" s="51"/>
      <c r="CD22" s="51">
        <f t="shared" si="31"/>
        <v>0</v>
      </c>
      <c r="CE22" s="33">
        <f t="shared" si="32"/>
        <v>0</v>
      </c>
      <c r="CF22" s="51">
        <f t="shared" si="33"/>
        <v>0</v>
      </c>
      <c r="CG22" s="51"/>
      <c r="CI22" s="51"/>
      <c r="CJ22" s="51">
        <f t="shared" si="34"/>
        <v>0</v>
      </c>
      <c r="CK22" s="33">
        <f t="shared" si="35"/>
        <v>0</v>
      </c>
      <c r="CL22" s="51">
        <f t="shared" si="36"/>
        <v>0</v>
      </c>
      <c r="CM22" s="51"/>
      <c r="CP22" s="33">
        <f t="shared" si="37"/>
        <v>0</v>
      </c>
      <c r="CQ22" s="51">
        <f t="shared" si="38"/>
        <v>0</v>
      </c>
      <c r="CR22" s="51">
        <f t="shared" si="39"/>
        <v>0</v>
      </c>
      <c r="CS22" s="51"/>
      <c r="CV22" s="33">
        <f t="shared" si="40"/>
        <v>0</v>
      </c>
      <c r="CW22" s="33">
        <f t="shared" si="41"/>
        <v>0</v>
      </c>
      <c r="CX22" s="51">
        <f t="shared" si="42"/>
        <v>0</v>
      </c>
      <c r="CY22" s="51"/>
      <c r="DB22" s="33">
        <f t="shared" si="43"/>
        <v>0</v>
      </c>
      <c r="DC22" s="51">
        <f t="shared" si="44"/>
        <v>0</v>
      </c>
      <c r="DD22" s="51">
        <f t="shared" si="45"/>
        <v>0</v>
      </c>
      <c r="DE22" s="51"/>
      <c r="DH22" s="33">
        <f t="shared" si="46"/>
        <v>0</v>
      </c>
      <c r="DI22" s="51">
        <f t="shared" si="47"/>
        <v>0</v>
      </c>
      <c r="DJ22" s="51">
        <f t="shared" si="48"/>
        <v>0</v>
      </c>
      <c r="DK22" s="51"/>
      <c r="DN22" s="33">
        <f t="shared" si="49"/>
        <v>0</v>
      </c>
      <c r="DO22" s="51">
        <f t="shared" si="50"/>
        <v>0</v>
      </c>
      <c r="DP22" s="51">
        <f t="shared" si="51"/>
        <v>0</v>
      </c>
      <c r="DQ22" s="51"/>
      <c r="DT22" s="51">
        <f t="shared" si="52"/>
        <v>0</v>
      </c>
      <c r="DU22" s="51">
        <f t="shared" si="53"/>
        <v>0</v>
      </c>
      <c r="DV22" s="51">
        <f t="shared" si="54"/>
        <v>0</v>
      </c>
      <c r="DW22" s="51"/>
      <c r="DZ22" s="33">
        <f t="shared" si="55"/>
        <v>0</v>
      </c>
      <c r="EA22" s="51">
        <f t="shared" si="56"/>
        <v>0</v>
      </c>
      <c r="EB22" s="51">
        <f t="shared" si="57"/>
        <v>0</v>
      </c>
      <c r="EC22" s="51"/>
      <c r="EF22" s="33">
        <f t="shared" si="58"/>
        <v>0</v>
      </c>
      <c r="EG22" s="33">
        <f t="shared" si="59"/>
        <v>0</v>
      </c>
      <c r="EH22" s="51">
        <f t="shared" si="60"/>
        <v>0</v>
      </c>
      <c r="EI22" s="51"/>
      <c r="EL22" s="33">
        <f t="shared" si="61"/>
        <v>0</v>
      </c>
      <c r="EM22" s="51">
        <f t="shared" si="62"/>
        <v>0</v>
      </c>
      <c r="EN22" s="51">
        <f t="shared" si="63"/>
        <v>0</v>
      </c>
      <c r="EO22" s="51"/>
      <c r="ER22" s="33">
        <f t="shared" si="64"/>
        <v>0</v>
      </c>
      <c r="ES22" s="51">
        <f t="shared" si="65"/>
        <v>0</v>
      </c>
      <c r="ET22" s="51">
        <f t="shared" si="66"/>
        <v>0</v>
      </c>
      <c r="EU22" s="51"/>
      <c r="EV22"/>
    </row>
    <row r="23" spans="1:152" ht="12.75">
      <c r="A23" s="78">
        <v>45017</v>
      </c>
      <c r="E23" s="35">
        <f t="shared" si="0"/>
        <v>0</v>
      </c>
      <c r="I23" s="71">
        <f t="shared" si="67"/>
        <v>0</v>
      </c>
      <c r="J23" s="71">
        <f t="shared" si="1"/>
        <v>0</v>
      </c>
      <c r="K23" s="71">
        <f t="shared" si="2"/>
        <v>0</v>
      </c>
      <c r="L23" s="71">
        <f t="shared" si="3"/>
        <v>0</v>
      </c>
      <c r="M23" s="71"/>
      <c r="O23" s="33">
        <f t="shared" si="68"/>
        <v>0</v>
      </c>
      <c r="P23" s="33">
        <f t="shared" si="4"/>
        <v>0</v>
      </c>
      <c r="Q23" s="33">
        <f t="shared" si="5"/>
        <v>0</v>
      </c>
      <c r="R23" s="51">
        <f t="shared" si="6"/>
        <v>0</v>
      </c>
      <c r="S23" s="51"/>
      <c r="U23" s="33">
        <f t="shared" si="69"/>
        <v>0</v>
      </c>
      <c r="V23" s="51">
        <f t="shared" si="7"/>
        <v>0</v>
      </c>
      <c r="W23" s="51">
        <f t="shared" si="8"/>
        <v>0</v>
      </c>
      <c r="X23" s="51">
        <f t="shared" si="9"/>
        <v>0</v>
      </c>
      <c r="Y23" s="51"/>
      <c r="AA23" s="33">
        <f t="shared" si="70"/>
        <v>0</v>
      </c>
      <c r="AB23" s="51">
        <f t="shared" si="10"/>
        <v>0</v>
      </c>
      <c r="AC23" s="51">
        <f t="shared" si="11"/>
        <v>0</v>
      </c>
      <c r="AD23" s="51">
        <f t="shared" si="12"/>
        <v>0</v>
      </c>
      <c r="AE23" s="51"/>
      <c r="AG23" s="33">
        <f t="shared" si="71"/>
        <v>0</v>
      </c>
      <c r="AH23" s="33">
        <f t="shared" si="72"/>
        <v>0</v>
      </c>
      <c r="AI23" s="33">
        <f t="shared" si="73"/>
        <v>0</v>
      </c>
      <c r="AJ23" s="51">
        <f t="shared" si="74"/>
        <v>0</v>
      </c>
      <c r="AK23" s="51"/>
      <c r="AM23" s="33">
        <f t="shared" si="75"/>
        <v>0</v>
      </c>
      <c r="AN23" s="33">
        <f t="shared" si="13"/>
        <v>0</v>
      </c>
      <c r="AO23" s="33">
        <f t="shared" si="14"/>
        <v>0</v>
      </c>
      <c r="AP23" s="51">
        <f t="shared" si="15"/>
        <v>0</v>
      </c>
      <c r="AQ23" s="51"/>
      <c r="AS23" s="51">
        <f t="shared" si="76"/>
        <v>0</v>
      </c>
      <c r="AT23" s="33">
        <f t="shared" si="16"/>
        <v>0</v>
      </c>
      <c r="AU23" s="51">
        <f t="shared" si="17"/>
        <v>0</v>
      </c>
      <c r="AV23" s="51">
        <f t="shared" si="18"/>
        <v>0</v>
      </c>
      <c r="AW23" s="51"/>
      <c r="AY23" s="51">
        <f t="shared" si="77"/>
        <v>0</v>
      </c>
      <c r="AZ23" s="33">
        <f t="shared" si="19"/>
        <v>0</v>
      </c>
      <c r="BA23" s="51">
        <f t="shared" si="20"/>
        <v>0</v>
      </c>
      <c r="BB23" s="51">
        <f t="shared" si="21"/>
        <v>0</v>
      </c>
      <c r="BC23" s="51"/>
      <c r="BE23" s="33">
        <f t="shared" si="78"/>
        <v>0</v>
      </c>
      <c r="BF23" s="33">
        <f t="shared" si="22"/>
        <v>0</v>
      </c>
      <c r="BG23" s="33">
        <f t="shared" si="23"/>
        <v>0</v>
      </c>
      <c r="BH23" s="51">
        <f t="shared" si="24"/>
        <v>0</v>
      </c>
      <c r="BI23" s="51"/>
      <c r="BK23" s="33">
        <f t="shared" si="79"/>
        <v>0</v>
      </c>
      <c r="BL23" s="33">
        <f t="shared" si="25"/>
        <v>0</v>
      </c>
      <c r="BM23" s="51">
        <f t="shared" si="26"/>
        <v>0</v>
      </c>
      <c r="BN23" s="51">
        <f t="shared" si="27"/>
        <v>0</v>
      </c>
      <c r="BO23" s="51"/>
      <c r="BQ23" s="33">
        <f t="shared" si="80"/>
        <v>0</v>
      </c>
      <c r="BR23" s="33">
        <f t="shared" si="28"/>
        <v>0</v>
      </c>
      <c r="BS23" s="51">
        <f t="shared" si="29"/>
        <v>0</v>
      </c>
      <c r="BT23" s="51">
        <f t="shared" si="30"/>
        <v>0</v>
      </c>
      <c r="BU23" s="51"/>
      <c r="BW23" s="33">
        <f t="shared" si="81"/>
        <v>0</v>
      </c>
      <c r="BX23" s="33">
        <f t="shared" si="82"/>
        <v>0</v>
      </c>
      <c r="BY23" s="51">
        <f t="shared" si="83"/>
        <v>0</v>
      </c>
      <c r="BZ23" s="33">
        <f t="shared" si="84"/>
        <v>0</v>
      </c>
      <c r="CA23" s="51"/>
      <c r="CC23" s="51">
        <f t="shared" si="85"/>
        <v>0</v>
      </c>
      <c r="CD23" s="51">
        <f t="shared" si="31"/>
        <v>0</v>
      </c>
      <c r="CE23" s="33">
        <f t="shared" si="32"/>
        <v>0</v>
      </c>
      <c r="CF23" s="51">
        <f t="shared" si="33"/>
        <v>0</v>
      </c>
      <c r="CG23" s="51"/>
      <c r="CI23" s="51">
        <f t="shared" si="86"/>
        <v>0</v>
      </c>
      <c r="CJ23" s="51">
        <f t="shared" si="34"/>
        <v>0</v>
      </c>
      <c r="CK23" s="33">
        <f t="shared" si="35"/>
        <v>0</v>
      </c>
      <c r="CL23" s="51">
        <f t="shared" si="36"/>
        <v>0</v>
      </c>
      <c r="CM23" s="51"/>
      <c r="CO23" s="33">
        <f t="shared" si="87"/>
        <v>0</v>
      </c>
      <c r="CP23" s="33">
        <f t="shared" si="37"/>
        <v>0</v>
      </c>
      <c r="CQ23" s="51">
        <f t="shared" si="38"/>
        <v>0</v>
      </c>
      <c r="CR23" s="51">
        <f t="shared" si="39"/>
        <v>0</v>
      </c>
      <c r="CS23" s="51"/>
      <c r="CU23" s="33">
        <f t="shared" si="88"/>
        <v>0</v>
      </c>
      <c r="CV23" s="33">
        <f t="shared" si="40"/>
        <v>0</v>
      </c>
      <c r="CW23" s="33">
        <f t="shared" si="41"/>
        <v>0</v>
      </c>
      <c r="CX23" s="51">
        <f t="shared" si="42"/>
        <v>0</v>
      </c>
      <c r="CY23" s="51"/>
      <c r="DA23" s="33">
        <f t="shared" si="89"/>
        <v>0</v>
      </c>
      <c r="DB23" s="33">
        <f t="shared" si="43"/>
        <v>0</v>
      </c>
      <c r="DC23" s="51">
        <f t="shared" si="44"/>
        <v>0</v>
      </c>
      <c r="DD23" s="51">
        <f t="shared" si="45"/>
        <v>0</v>
      </c>
      <c r="DE23" s="51"/>
      <c r="DG23" s="33">
        <f t="shared" si="90"/>
        <v>0</v>
      </c>
      <c r="DH23" s="33">
        <f t="shared" si="46"/>
        <v>0</v>
      </c>
      <c r="DI23" s="51">
        <f t="shared" si="47"/>
        <v>0</v>
      </c>
      <c r="DJ23" s="51">
        <f t="shared" si="48"/>
        <v>0</v>
      </c>
      <c r="DK23" s="51"/>
      <c r="DM23" s="33">
        <f t="shared" si="91"/>
        <v>0</v>
      </c>
      <c r="DN23" s="33">
        <f t="shared" si="49"/>
        <v>0</v>
      </c>
      <c r="DO23" s="51">
        <f t="shared" si="50"/>
        <v>0</v>
      </c>
      <c r="DP23" s="51">
        <f t="shared" si="51"/>
        <v>0</v>
      </c>
      <c r="DQ23" s="51"/>
      <c r="DS23" s="33">
        <f t="shared" si="92"/>
        <v>0</v>
      </c>
      <c r="DT23" s="51">
        <f t="shared" si="52"/>
        <v>0</v>
      </c>
      <c r="DU23" s="51">
        <f t="shared" si="53"/>
        <v>0</v>
      </c>
      <c r="DV23" s="51">
        <f t="shared" si="54"/>
        <v>0</v>
      </c>
      <c r="DW23" s="51"/>
      <c r="DY23" s="33">
        <f t="shared" si="93"/>
        <v>0</v>
      </c>
      <c r="DZ23" s="33">
        <f t="shared" si="55"/>
        <v>0</v>
      </c>
      <c r="EA23" s="51">
        <f t="shared" si="56"/>
        <v>0</v>
      </c>
      <c r="EB23" s="51">
        <f t="shared" si="57"/>
        <v>0</v>
      </c>
      <c r="EC23" s="51"/>
      <c r="EE23" s="33">
        <f t="shared" si="94"/>
        <v>0</v>
      </c>
      <c r="EF23" s="33">
        <f t="shared" si="58"/>
        <v>0</v>
      </c>
      <c r="EG23" s="33">
        <f t="shared" si="59"/>
        <v>0</v>
      </c>
      <c r="EH23" s="51">
        <f t="shared" si="60"/>
        <v>0</v>
      </c>
      <c r="EI23" s="51"/>
      <c r="EK23" s="33">
        <f t="shared" si="95"/>
        <v>0</v>
      </c>
      <c r="EL23" s="33">
        <f t="shared" si="61"/>
        <v>0</v>
      </c>
      <c r="EM23" s="51">
        <f t="shared" si="62"/>
        <v>0</v>
      </c>
      <c r="EN23" s="51">
        <f t="shared" si="63"/>
        <v>0</v>
      </c>
      <c r="EO23" s="51"/>
      <c r="EQ23" s="33">
        <f t="shared" si="96"/>
        <v>0</v>
      </c>
      <c r="ER23" s="33">
        <f t="shared" si="64"/>
        <v>0</v>
      </c>
      <c r="ES23" s="51">
        <f t="shared" si="65"/>
        <v>0</v>
      </c>
      <c r="ET23" s="51">
        <f t="shared" si="66"/>
        <v>0</v>
      </c>
      <c r="EU23" s="51"/>
      <c r="EV23"/>
    </row>
    <row r="24" spans="1:152" ht="12.75">
      <c r="A24" s="78">
        <v>45200</v>
      </c>
      <c r="E24" s="35">
        <f t="shared" si="0"/>
        <v>0</v>
      </c>
      <c r="I24" s="71"/>
      <c r="J24" s="71">
        <f t="shared" si="1"/>
        <v>0</v>
      </c>
      <c r="K24" s="71">
        <f t="shared" si="2"/>
        <v>0</v>
      </c>
      <c r="L24" s="71">
        <f t="shared" si="3"/>
        <v>0</v>
      </c>
      <c r="M24" s="71"/>
      <c r="P24" s="33">
        <f t="shared" si="4"/>
        <v>0</v>
      </c>
      <c r="Q24" s="33">
        <f t="shared" si="5"/>
        <v>0</v>
      </c>
      <c r="R24" s="51">
        <f t="shared" si="6"/>
        <v>0</v>
      </c>
      <c r="S24" s="51"/>
      <c r="V24" s="51">
        <f t="shared" si="7"/>
        <v>0</v>
      </c>
      <c r="W24" s="51">
        <f t="shared" si="8"/>
        <v>0</v>
      </c>
      <c r="X24" s="51">
        <f t="shared" si="9"/>
        <v>0</v>
      </c>
      <c r="Y24" s="51"/>
      <c r="AB24" s="51">
        <f t="shared" si="10"/>
        <v>0</v>
      </c>
      <c r="AC24" s="51">
        <f t="shared" si="11"/>
        <v>0</v>
      </c>
      <c r="AD24" s="51">
        <f t="shared" si="12"/>
        <v>0</v>
      </c>
      <c r="AE24" s="51"/>
      <c r="AG24" s="33">
        <f t="shared" si="71"/>
        <v>0</v>
      </c>
      <c r="AH24" s="33">
        <f t="shared" si="72"/>
        <v>0</v>
      </c>
      <c r="AI24" s="33">
        <f t="shared" si="73"/>
        <v>0</v>
      </c>
      <c r="AJ24" s="51">
        <f t="shared" si="74"/>
        <v>0</v>
      </c>
      <c r="AK24" s="51"/>
      <c r="AN24" s="33">
        <f t="shared" si="13"/>
        <v>0</v>
      </c>
      <c r="AO24" s="33">
        <f t="shared" si="14"/>
        <v>0</v>
      </c>
      <c r="AP24" s="51">
        <f t="shared" si="15"/>
        <v>0</v>
      </c>
      <c r="AQ24" s="51"/>
      <c r="AS24" s="51"/>
      <c r="AT24" s="33">
        <f t="shared" si="16"/>
        <v>0</v>
      </c>
      <c r="AU24" s="51">
        <f t="shared" si="17"/>
        <v>0</v>
      </c>
      <c r="AV24" s="51">
        <f t="shared" si="18"/>
        <v>0</v>
      </c>
      <c r="AW24" s="51"/>
      <c r="AY24" s="51"/>
      <c r="AZ24" s="33">
        <f t="shared" si="19"/>
        <v>0</v>
      </c>
      <c r="BA24" s="51">
        <f t="shared" si="20"/>
        <v>0</v>
      </c>
      <c r="BB24" s="51">
        <f t="shared" si="21"/>
        <v>0</v>
      </c>
      <c r="BC24" s="51"/>
      <c r="BF24" s="33">
        <f t="shared" si="22"/>
        <v>0</v>
      </c>
      <c r="BG24" s="33">
        <f t="shared" si="23"/>
        <v>0</v>
      </c>
      <c r="BH24" s="51">
        <f t="shared" si="24"/>
        <v>0</v>
      </c>
      <c r="BI24" s="51"/>
      <c r="BL24" s="33">
        <f t="shared" si="25"/>
        <v>0</v>
      </c>
      <c r="BM24" s="51">
        <f t="shared" si="26"/>
        <v>0</v>
      </c>
      <c r="BN24" s="51">
        <f t="shared" si="27"/>
        <v>0</v>
      </c>
      <c r="BO24" s="51"/>
      <c r="BR24" s="33">
        <f t="shared" si="28"/>
        <v>0</v>
      </c>
      <c r="BS24" s="51">
        <f t="shared" si="29"/>
        <v>0</v>
      </c>
      <c r="BT24" s="51">
        <f t="shared" si="30"/>
        <v>0</v>
      </c>
      <c r="BU24" s="51"/>
      <c r="BW24" s="33">
        <f t="shared" si="81"/>
        <v>0</v>
      </c>
      <c r="BX24" s="33">
        <f t="shared" si="82"/>
        <v>0</v>
      </c>
      <c r="BY24" s="51">
        <f t="shared" si="83"/>
        <v>0</v>
      </c>
      <c r="BZ24" s="33">
        <f t="shared" si="84"/>
        <v>0</v>
      </c>
      <c r="CA24" s="51"/>
      <c r="CC24" s="51"/>
      <c r="CD24" s="51">
        <f t="shared" si="31"/>
        <v>0</v>
      </c>
      <c r="CE24" s="33">
        <f t="shared" si="32"/>
        <v>0</v>
      </c>
      <c r="CF24" s="51">
        <f t="shared" si="33"/>
        <v>0</v>
      </c>
      <c r="CG24" s="51"/>
      <c r="CI24" s="51"/>
      <c r="CJ24" s="51">
        <f t="shared" si="34"/>
        <v>0</v>
      </c>
      <c r="CK24" s="33">
        <f t="shared" si="35"/>
        <v>0</v>
      </c>
      <c r="CL24" s="51">
        <f t="shared" si="36"/>
        <v>0</v>
      </c>
      <c r="CM24" s="51"/>
      <c r="CP24" s="33">
        <f t="shared" si="37"/>
        <v>0</v>
      </c>
      <c r="CQ24" s="51">
        <f t="shared" si="38"/>
        <v>0</v>
      </c>
      <c r="CR24" s="51">
        <f t="shared" si="39"/>
        <v>0</v>
      </c>
      <c r="CS24" s="51"/>
      <c r="CV24" s="33">
        <f t="shared" si="40"/>
        <v>0</v>
      </c>
      <c r="CW24" s="33">
        <f t="shared" si="41"/>
        <v>0</v>
      </c>
      <c r="CX24" s="51">
        <f t="shared" si="42"/>
        <v>0</v>
      </c>
      <c r="CY24" s="51"/>
      <c r="DB24" s="33">
        <f t="shared" si="43"/>
        <v>0</v>
      </c>
      <c r="DC24" s="51">
        <f t="shared" si="44"/>
        <v>0</v>
      </c>
      <c r="DD24" s="51">
        <f t="shared" si="45"/>
        <v>0</v>
      </c>
      <c r="DE24" s="51"/>
      <c r="DH24" s="33">
        <f t="shared" si="46"/>
        <v>0</v>
      </c>
      <c r="DI24" s="51">
        <f t="shared" si="47"/>
        <v>0</v>
      </c>
      <c r="DJ24" s="51">
        <f t="shared" si="48"/>
        <v>0</v>
      </c>
      <c r="DK24" s="51"/>
      <c r="DN24" s="33">
        <f t="shared" si="49"/>
        <v>0</v>
      </c>
      <c r="DO24" s="51">
        <f t="shared" si="50"/>
        <v>0</v>
      </c>
      <c r="DP24" s="51">
        <f t="shared" si="51"/>
        <v>0</v>
      </c>
      <c r="DQ24" s="51"/>
      <c r="DT24" s="51">
        <f t="shared" si="52"/>
        <v>0</v>
      </c>
      <c r="DU24" s="51">
        <f t="shared" si="53"/>
        <v>0</v>
      </c>
      <c r="DV24" s="51">
        <f t="shared" si="54"/>
        <v>0</v>
      </c>
      <c r="DW24" s="51"/>
      <c r="DZ24" s="33">
        <f t="shared" si="55"/>
        <v>0</v>
      </c>
      <c r="EA24" s="51">
        <f t="shared" si="56"/>
        <v>0</v>
      </c>
      <c r="EB24" s="51">
        <f t="shared" si="57"/>
        <v>0</v>
      </c>
      <c r="EC24" s="51"/>
      <c r="EF24" s="33">
        <f t="shared" si="58"/>
        <v>0</v>
      </c>
      <c r="EG24" s="33">
        <f t="shared" si="59"/>
        <v>0</v>
      </c>
      <c r="EH24" s="51">
        <f t="shared" si="60"/>
        <v>0</v>
      </c>
      <c r="EI24" s="51"/>
      <c r="EL24" s="33">
        <f t="shared" si="61"/>
        <v>0</v>
      </c>
      <c r="EM24" s="51">
        <f t="shared" si="62"/>
        <v>0</v>
      </c>
      <c r="EN24" s="51">
        <f t="shared" si="63"/>
        <v>0</v>
      </c>
      <c r="EO24" s="51"/>
      <c r="ER24" s="33">
        <f t="shared" si="64"/>
        <v>0</v>
      </c>
      <c r="ES24" s="51">
        <f t="shared" si="65"/>
        <v>0</v>
      </c>
      <c r="ET24" s="51">
        <f t="shared" si="66"/>
        <v>0</v>
      </c>
      <c r="EU24" s="51"/>
      <c r="EV24"/>
    </row>
    <row r="25" spans="1:152" ht="12.75">
      <c r="A25" s="78">
        <v>45383</v>
      </c>
      <c r="E25" s="35">
        <f t="shared" si="0"/>
        <v>0</v>
      </c>
      <c r="I25" s="71">
        <f t="shared" si="67"/>
        <v>0</v>
      </c>
      <c r="J25" s="71">
        <f t="shared" si="1"/>
        <v>0</v>
      </c>
      <c r="K25" s="71">
        <f t="shared" si="2"/>
        <v>0</v>
      </c>
      <c r="L25" s="71">
        <f t="shared" si="3"/>
        <v>0</v>
      </c>
      <c r="M25" s="71"/>
      <c r="O25" s="33">
        <f t="shared" si="68"/>
        <v>0</v>
      </c>
      <c r="P25" s="33">
        <f t="shared" si="4"/>
        <v>0</v>
      </c>
      <c r="Q25" s="33">
        <f t="shared" si="5"/>
        <v>0</v>
      </c>
      <c r="R25" s="51">
        <f t="shared" si="6"/>
        <v>0</v>
      </c>
      <c r="S25" s="51"/>
      <c r="U25" s="33">
        <f t="shared" si="69"/>
        <v>0</v>
      </c>
      <c r="V25" s="51">
        <f t="shared" si="7"/>
        <v>0</v>
      </c>
      <c r="W25" s="51">
        <f t="shared" si="8"/>
        <v>0</v>
      </c>
      <c r="X25" s="51">
        <f t="shared" si="9"/>
        <v>0</v>
      </c>
      <c r="Y25" s="51"/>
      <c r="AA25" s="33">
        <f t="shared" si="70"/>
        <v>0</v>
      </c>
      <c r="AB25" s="51">
        <f t="shared" si="10"/>
        <v>0</v>
      </c>
      <c r="AC25" s="51">
        <f t="shared" si="11"/>
        <v>0</v>
      </c>
      <c r="AD25" s="51">
        <f t="shared" si="12"/>
        <v>0</v>
      </c>
      <c r="AE25" s="51"/>
      <c r="AG25" s="33">
        <f t="shared" si="71"/>
        <v>0</v>
      </c>
      <c r="AH25" s="33">
        <f t="shared" si="72"/>
        <v>0</v>
      </c>
      <c r="AI25" s="33">
        <f t="shared" si="73"/>
        <v>0</v>
      </c>
      <c r="AJ25" s="51">
        <f t="shared" si="74"/>
        <v>0</v>
      </c>
      <c r="AK25" s="51"/>
      <c r="AM25" s="33">
        <f t="shared" si="75"/>
        <v>0</v>
      </c>
      <c r="AN25" s="33">
        <f t="shared" si="13"/>
        <v>0</v>
      </c>
      <c r="AO25" s="33">
        <f t="shared" si="14"/>
        <v>0</v>
      </c>
      <c r="AP25" s="51">
        <f t="shared" si="15"/>
        <v>0</v>
      </c>
      <c r="AQ25" s="51"/>
      <c r="AS25" s="51">
        <f t="shared" si="76"/>
        <v>0</v>
      </c>
      <c r="AT25" s="33">
        <f t="shared" si="16"/>
        <v>0</v>
      </c>
      <c r="AU25" s="51">
        <f t="shared" si="17"/>
        <v>0</v>
      </c>
      <c r="AV25" s="51">
        <f t="shared" si="18"/>
        <v>0</v>
      </c>
      <c r="AW25" s="51"/>
      <c r="AY25" s="51">
        <f t="shared" si="77"/>
        <v>0</v>
      </c>
      <c r="AZ25" s="33">
        <f t="shared" si="19"/>
        <v>0</v>
      </c>
      <c r="BA25" s="51">
        <f t="shared" si="20"/>
        <v>0</v>
      </c>
      <c r="BB25" s="51">
        <f t="shared" si="21"/>
        <v>0</v>
      </c>
      <c r="BC25" s="51"/>
      <c r="BE25" s="33">
        <f t="shared" si="78"/>
        <v>0</v>
      </c>
      <c r="BF25" s="33">
        <f t="shared" si="22"/>
        <v>0</v>
      </c>
      <c r="BG25" s="33">
        <f t="shared" si="23"/>
        <v>0</v>
      </c>
      <c r="BH25" s="51">
        <f t="shared" si="24"/>
        <v>0</v>
      </c>
      <c r="BI25" s="51"/>
      <c r="BK25" s="33">
        <f t="shared" si="79"/>
        <v>0</v>
      </c>
      <c r="BL25" s="33">
        <f t="shared" si="25"/>
        <v>0</v>
      </c>
      <c r="BM25" s="51">
        <f t="shared" si="26"/>
        <v>0</v>
      </c>
      <c r="BN25" s="51">
        <f t="shared" si="27"/>
        <v>0</v>
      </c>
      <c r="BO25" s="51"/>
      <c r="BQ25" s="33">
        <f t="shared" si="80"/>
        <v>0</v>
      </c>
      <c r="BR25" s="33">
        <f t="shared" si="28"/>
        <v>0</v>
      </c>
      <c r="BS25" s="51">
        <f t="shared" si="29"/>
        <v>0</v>
      </c>
      <c r="BT25" s="51">
        <f t="shared" si="30"/>
        <v>0</v>
      </c>
      <c r="BU25" s="51"/>
      <c r="BW25" s="33">
        <f t="shared" si="81"/>
        <v>0</v>
      </c>
      <c r="BX25" s="33">
        <f t="shared" si="82"/>
        <v>0</v>
      </c>
      <c r="BY25" s="51">
        <f t="shared" si="83"/>
        <v>0</v>
      </c>
      <c r="BZ25" s="33">
        <f t="shared" si="84"/>
        <v>0</v>
      </c>
      <c r="CA25" s="51"/>
      <c r="CC25" s="51">
        <f t="shared" si="85"/>
        <v>0</v>
      </c>
      <c r="CD25" s="51">
        <f t="shared" si="31"/>
        <v>0</v>
      </c>
      <c r="CE25" s="33">
        <f t="shared" si="32"/>
        <v>0</v>
      </c>
      <c r="CF25" s="51">
        <f t="shared" si="33"/>
        <v>0</v>
      </c>
      <c r="CG25" s="51"/>
      <c r="CI25" s="51">
        <f t="shared" si="86"/>
        <v>0</v>
      </c>
      <c r="CJ25" s="51">
        <f t="shared" si="34"/>
        <v>0</v>
      </c>
      <c r="CK25" s="33">
        <f t="shared" si="35"/>
        <v>0</v>
      </c>
      <c r="CL25" s="51">
        <f t="shared" si="36"/>
        <v>0</v>
      </c>
      <c r="CM25" s="51"/>
      <c r="CO25" s="33">
        <f t="shared" si="87"/>
        <v>0</v>
      </c>
      <c r="CP25" s="33">
        <f t="shared" si="37"/>
        <v>0</v>
      </c>
      <c r="CQ25" s="51">
        <f t="shared" si="38"/>
        <v>0</v>
      </c>
      <c r="CR25" s="51">
        <f t="shared" si="39"/>
        <v>0</v>
      </c>
      <c r="CS25" s="51"/>
      <c r="CU25" s="33">
        <f t="shared" si="88"/>
        <v>0</v>
      </c>
      <c r="CV25" s="33">
        <f t="shared" si="40"/>
        <v>0</v>
      </c>
      <c r="CW25" s="33">
        <f t="shared" si="41"/>
        <v>0</v>
      </c>
      <c r="CX25" s="51">
        <f t="shared" si="42"/>
        <v>0</v>
      </c>
      <c r="CY25" s="51"/>
      <c r="DA25" s="33">
        <f t="shared" si="89"/>
        <v>0</v>
      </c>
      <c r="DB25" s="33">
        <f t="shared" si="43"/>
        <v>0</v>
      </c>
      <c r="DC25" s="51">
        <f t="shared" si="44"/>
        <v>0</v>
      </c>
      <c r="DD25" s="51">
        <f t="shared" si="45"/>
        <v>0</v>
      </c>
      <c r="DE25" s="51"/>
      <c r="DG25" s="33">
        <f t="shared" si="90"/>
        <v>0</v>
      </c>
      <c r="DH25" s="33">
        <f t="shared" si="46"/>
        <v>0</v>
      </c>
      <c r="DI25" s="51">
        <f t="shared" si="47"/>
        <v>0</v>
      </c>
      <c r="DJ25" s="51">
        <f t="shared" si="48"/>
        <v>0</v>
      </c>
      <c r="DK25" s="51"/>
      <c r="DM25" s="33">
        <f t="shared" si="91"/>
        <v>0</v>
      </c>
      <c r="DN25" s="33">
        <f t="shared" si="49"/>
        <v>0</v>
      </c>
      <c r="DO25" s="51">
        <f t="shared" si="50"/>
        <v>0</v>
      </c>
      <c r="DP25" s="51">
        <f t="shared" si="51"/>
        <v>0</v>
      </c>
      <c r="DQ25" s="51"/>
      <c r="DS25" s="33">
        <f t="shared" si="92"/>
        <v>0</v>
      </c>
      <c r="DT25" s="51">
        <f t="shared" si="52"/>
        <v>0</v>
      </c>
      <c r="DU25" s="51">
        <f t="shared" si="53"/>
        <v>0</v>
      </c>
      <c r="DV25" s="51">
        <f t="shared" si="54"/>
        <v>0</v>
      </c>
      <c r="DW25" s="51"/>
      <c r="DY25" s="33">
        <f t="shared" si="93"/>
        <v>0</v>
      </c>
      <c r="DZ25" s="33">
        <f t="shared" si="55"/>
        <v>0</v>
      </c>
      <c r="EA25" s="51">
        <f t="shared" si="56"/>
        <v>0</v>
      </c>
      <c r="EB25" s="51">
        <f t="shared" si="57"/>
        <v>0</v>
      </c>
      <c r="EC25" s="51"/>
      <c r="EE25" s="33">
        <f t="shared" si="94"/>
        <v>0</v>
      </c>
      <c r="EF25" s="33">
        <f t="shared" si="58"/>
        <v>0</v>
      </c>
      <c r="EG25" s="33">
        <f t="shared" si="59"/>
        <v>0</v>
      </c>
      <c r="EH25" s="51">
        <f t="shared" si="60"/>
        <v>0</v>
      </c>
      <c r="EI25" s="51"/>
      <c r="EK25" s="33">
        <f t="shared" si="95"/>
        <v>0</v>
      </c>
      <c r="EL25" s="33">
        <f t="shared" si="61"/>
        <v>0</v>
      </c>
      <c r="EM25" s="51">
        <f t="shared" si="62"/>
        <v>0</v>
      </c>
      <c r="EN25" s="51">
        <f t="shared" si="63"/>
        <v>0</v>
      </c>
      <c r="EO25" s="51"/>
      <c r="EQ25" s="33">
        <f t="shared" si="96"/>
        <v>0</v>
      </c>
      <c r="ER25" s="33">
        <f t="shared" si="64"/>
        <v>0</v>
      </c>
      <c r="ES25" s="51">
        <f t="shared" si="65"/>
        <v>0</v>
      </c>
      <c r="ET25" s="51">
        <f t="shared" si="66"/>
        <v>0</v>
      </c>
      <c r="EU25" s="51"/>
      <c r="EV25"/>
    </row>
    <row r="26" spans="1:152" ht="12.75">
      <c r="A26" s="78">
        <v>45566</v>
      </c>
      <c r="E26" s="35">
        <f t="shared" si="0"/>
        <v>0</v>
      </c>
      <c r="I26" s="71"/>
      <c r="J26" s="71">
        <f t="shared" si="1"/>
        <v>0</v>
      </c>
      <c r="K26" s="71">
        <f t="shared" si="2"/>
        <v>0</v>
      </c>
      <c r="L26" s="71">
        <f t="shared" si="3"/>
        <v>0</v>
      </c>
      <c r="M26" s="71"/>
      <c r="P26" s="33">
        <f t="shared" si="4"/>
        <v>0</v>
      </c>
      <c r="Q26" s="33">
        <f t="shared" si="5"/>
        <v>0</v>
      </c>
      <c r="R26" s="51">
        <f t="shared" si="6"/>
        <v>0</v>
      </c>
      <c r="S26" s="51"/>
      <c r="V26" s="51">
        <f t="shared" si="7"/>
        <v>0</v>
      </c>
      <c r="W26" s="51">
        <f t="shared" si="8"/>
        <v>0</v>
      </c>
      <c r="X26" s="51">
        <f t="shared" si="9"/>
        <v>0</v>
      </c>
      <c r="Y26" s="51"/>
      <c r="AB26" s="51">
        <f t="shared" si="10"/>
        <v>0</v>
      </c>
      <c r="AC26" s="51">
        <f t="shared" si="11"/>
        <v>0</v>
      </c>
      <c r="AD26" s="51">
        <f t="shared" si="12"/>
        <v>0</v>
      </c>
      <c r="AE26" s="51"/>
      <c r="AG26" s="33">
        <f t="shared" si="71"/>
        <v>0</v>
      </c>
      <c r="AH26" s="33">
        <f t="shared" si="72"/>
        <v>0</v>
      </c>
      <c r="AI26" s="33">
        <f t="shared" si="73"/>
        <v>0</v>
      </c>
      <c r="AJ26" s="51">
        <f t="shared" si="74"/>
        <v>0</v>
      </c>
      <c r="AK26" s="51"/>
      <c r="AN26" s="33">
        <f t="shared" si="13"/>
        <v>0</v>
      </c>
      <c r="AO26" s="33">
        <f t="shared" si="14"/>
        <v>0</v>
      </c>
      <c r="AP26" s="51">
        <f t="shared" si="15"/>
        <v>0</v>
      </c>
      <c r="AQ26" s="51"/>
      <c r="AS26" s="51"/>
      <c r="AT26" s="33">
        <f t="shared" si="16"/>
        <v>0</v>
      </c>
      <c r="AU26" s="51">
        <f t="shared" si="17"/>
        <v>0</v>
      </c>
      <c r="AV26" s="51">
        <f t="shared" si="18"/>
        <v>0</v>
      </c>
      <c r="AW26" s="51"/>
      <c r="AY26" s="51"/>
      <c r="AZ26" s="33">
        <f t="shared" si="19"/>
        <v>0</v>
      </c>
      <c r="BA26" s="51">
        <f t="shared" si="20"/>
        <v>0</v>
      </c>
      <c r="BB26" s="51">
        <f t="shared" si="21"/>
        <v>0</v>
      </c>
      <c r="BC26" s="51"/>
      <c r="BF26" s="33">
        <f t="shared" si="22"/>
        <v>0</v>
      </c>
      <c r="BG26" s="33">
        <f t="shared" si="23"/>
        <v>0</v>
      </c>
      <c r="BH26" s="51">
        <f t="shared" si="24"/>
        <v>0</v>
      </c>
      <c r="BI26" s="51"/>
      <c r="BL26" s="33">
        <f t="shared" si="25"/>
        <v>0</v>
      </c>
      <c r="BM26" s="51">
        <f t="shared" si="26"/>
        <v>0</v>
      </c>
      <c r="BN26" s="51">
        <f t="shared" si="27"/>
        <v>0</v>
      </c>
      <c r="BO26" s="51"/>
      <c r="BR26" s="33">
        <f t="shared" si="28"/>
        <v>0</v>
      </c>
      <c r="BS26" s="51">
        <f t="shared" si="29"/>
        <v>0</v>
      </c>
      <c r="BT26" s="51">
        <f t="shared" si="30"/>
        <v>0</v>
      </c>
      <c r="BU26" s="51"/>
      <c r="BW26" s="33">
        <f t="shared" si="81"/>
        <v>0</v>
      </c>
      <c r="BX26" s="33">
        <f t="shared" si="82"/>
        <v>0</v>
      </c>
      <c r="BY26" s="51">
        <f t="shared" si="83"/>
        <v>0</v>
      </c>
      <c r="BZ26" s="33">
        <f t="shared" si="84"/>
        <v>0</v>
      </c>
      <c r="CA26" s="51"/>
      <c r="CC26" s="51"/>
      <c r="CD26" s="51">
        <f t="shared" si="31"/>
        <v>0</v>
      </c>
      <c r="CE26" s="33">
        <f t="shared" si="32"/>
        <v>0</v>
      </c>
      <c r="CF26" s="51">
        <f t="shared" si="33"/>
        <v>0</v>
      </c>
      <c r="CG26" s="51"/>
      <c r="CI26" s="51"/>
      <c r="CJ26" s="51">
        <f t="shared" si="34"/>
        <v>0</v>
      </c>
      <c r="CK26" s="33">
        <f t="shared" si="35"/>
        <v>0</v>
      </c>
      <c r="CL26" s="51">
        <f t="shared" si="36"/>
        <v>0</v>
      </c>
      <c r="CM26" s="51"/>
      <c r="CP26" s="33">
        <f t="shared" si="37"/>
        <v>0</v>
      </c>
      <c r="CQ26" s="51">
        <f t="shared" si="38"/>
        <v>0</v>
      </c>
      <c r="CR26" s="51">
        <f t="shared" si="39"/>
        <v>0</v>
      </c>
      <c r="CS26" s="51"/>
      <c r="CV26" s="33">
        <f t="shared" si="40"/>
        <v>0</v>
      </c>
      <c r="CW26" s="33">
        <f t="shared" si="41"/>
        <v>0</v>
      </c>
      <c r="CX26" s="51">
        <f t="shared" si="42"/>
        <v>0</v>
      </c>
      <c r="CY26" s="51"/>
      <c r="DB26" s="33">
        <f t="shared" si="43"/>
        <v>0</v>
      </c>
      <c r="DC26" s="51">
        <f t="shared" si="44"/>
        <v>0</v>
      </c>
      <c r="DD26" s="51">
        <f t="shared" si="45"/>
        <v>0</v>
      </c>
      <c r="DE26" s="51"/>
      <c r="DH26" s="33">
        <f t="shared" si="46"/>
        <v>0</v>
      </c>
      <c r="DI26" s="51">
        <f t="shared" si="47"/>
        <v>0</v>
      </c>
      <c r="DJ26" s="51">
        <f t="shared" si="48"/>
        <v>0</v>
      </c>
      <c r="DK26" s="51"/>
      <c r="DN26" s="33">
        <f t="shared" si="49"/>
        <v>0</v>
      </c>
      <c r="DO26" s="51">
        <f t="shared" si="50"/>
        <v>0</v>
      </c>
      <c r="DP26" s="51">
        <f t="shared" si="51"/>
        <v>0</v>
      </c>
      <c r="DQ26" s="51"/>
      <c r="DT26" s="51">
        <f t="shared" si="52"/>
        <v>0</v>
      </c>
      <c r="DU26" s="51">
        <f t="shared" si="53"/>
        <v>0</v>
      </c>
      <c r="DV26" s="51">
        <f t="shared" si="54"/>
        <v>0</v>
      </c>
      <c r="DW26" s="51"/>
      <c r="DZ26" s="33">
        <f t="shared" si="55"/>
        <v>0</v>
      </c>
      <c r="EA26" s="51">
        <f t="shared" si="56"/>
        <v>0</v>
      </c>
      <c r="EB26" s="51">
        <f t="shared" si="57"/>
        <v>0</v>
      </c>
      <c r="EC26" s="51"/>
      <c r="EF26" s="33">
        <f t="shared" si="58"/>
        <v>0</v>
      </c>
      <c r="EG26" s="33">
        <f t="shared" si="59"/>
        <v>0</v>
      </c>
      <c r="EH26" s="51">
        <f t="shared" si="60"/>
        <v>0</v>
      </c>
      <c r="EI26" s="51"/>
      <c r="EL26" s="33">
        <f t="shared" si="61"/>
        <v>0</v>
      </c>
      <c r="EM26" s="51">
        <f t="shared" si="62"/>
        <v>0</v>
      </c>
      <c r="EN26" s="51">
        <f t="shared" si="63"/>
        <v>0</v>
      </c>
      <c r="EO26" s="51"/>
      <c r="ER26" s="33">
        <f t="shared" si="64"/>
        <v>0</v>
      </c>
      <c r="ES26" s="51">
        <f t="shared" si="65"/>
        <v>0</v>
      </c>
      <c r="ET26" s="51">
        <f t="shared" si="66"/>
        <v>0</v>
      </c>
      <c r="EU26" s="51"/>
      <c r="EV26"/>
    </row>
    <row r="27" spans="1:152" ht="12.75">
      <c r="A27" s="78">
        <v>45748</v>
      </c>
      <c r="E27" s="35">
        <f t="shared" si="0"/>
        <v>0</v>
      </c>
      <c r="I27" s="71">
        <f t="shared" si="67"/>
        <v>0</v>
      </c>
      <c r="J27" s="71">
        <f t="shared" si="1"/>
        <v>0</v>
      </c>
      <c r="K27" s="71">
        <f t="shared" si="2"/>
        <v>0</v>
      </c>
      <c r="L27" s="71">
        <f t="shared" si="3"/>
        <v>0</v>
      </c>
      <c r="M27" s="71"/>
      <c r="O27" s="33">
        <f t="shared" si="68"/>
        <v>0</v>
      </c>
      <c r="P27" s="33">
        <f t="shared" si="4"/>
        <v>0</v>
      </c>
      <c r="Q27" s="33">
        <f t="shared" si="5"/>
        <v>0</v>
      </c>
      <c r="R27" s="51">
        <f t="shared" si="6"/>
        <v>0</v>
      </c>
      <c r="S27" s="51"/>
      <c r="U27" s="33">
        <f t="shared" si="69"/>
        <v>0</v>
      </c>
      <c r="V27" s="51">
        <f t="shared" si="7"/>
        <v>0</v>
      </c>
      <c r="W27" s="51">
        <f t="shared" si="8"/>
        <v>0</v>
      </c>
      <c r="X27" s="51">
        <f t="shared" si="9"/>
        <v>0</v>
      </c>
      <c r="Y27" s="51"/>
      <c r="AA27" s="33">
        <f t="shared" si="70"/>
        <v>0</v>
      </c>
      <c r="AB27" s="51">
        <f t="shared" si="10"/>
        <v>0</v>
      </c>
      <c r="AC27" s="51">
        <f t="shared" si="11"/>
        <v>0</v>
      </c>
      <c r="AD27" s="51">
        <f t="shared" si="12"/>
        <v>0</v>
      </c>
      <c r="AE27" s="51"/>
      <c r="AG27" s="33">
        <f t="shared" si="71"/>
        <v>0</v>
      </c>
      <c r="AH27" s="33">
        <f t="shared" si="72"/>
        <v>0</v>
      </c>
      <c r="AI27" s="33">
        <f t="shared" si="73"/>
        <v>0</v>
      </c>
      <c r="AJ27" s="51">
        <f t="shared" si="74"/>
        <v>0</v>
      </c>
      <c r="AK27" s="51"/>
      <c r="AM27" s="33">
        <f t="shared" si="75"/>
        <v>0</v>
      </c>
      <c r="AN27" s="33">
        <f t="shared" si="13"/>
        <v>0</v>
      </c>
      <c r="AO27" s="33">
        <f t="shared" si="14"/>
        <v>0</v>
      </c>
      <c r="AP27" s="51">
        <f t="shared" si="15"/>
        <v>0</v>
      </c>
      <c r="AQ27" s="51"/>
      <c r="AS27" s="51">
        <f t="shared" si="76"/>
        <v>0</v>
      </c>
      <c r="AT27" s="33">
        <f t="shared" si="16"/>
        <v>0</v>
      </c>
      <c r="AU27" s="51">
        <f t="shared" si="17"/>
        <v>0</v>
      </c>
      <c r="AV27" s="51">
        <f t="shared" si="18"/>
        <v>0</v>
      </c>
      <c r="AW27" s="51"/>
      <c r="AY27" s="51">
        <f t="shared" si="77"/>
        <v>0</v>
      </c>
      <c r="AZ27" s="33">
        <f t="shared" si="19"/>
        <v>0</v>
      </c>
      <c r="BA27" s="51">
        <f t="shared" si="20"/>
        <v>0</v>
      </c>
      <c r="BB27" s="51">
        <f t="shared" si="21"/>
        <v>0</v>
      </c>
      <c r="BC27" s="51"/>
      <c r="BE27" s="33">
        <f t="shared" si="78"/>
        <v>0</v>
      </c>
      <c r="BF27" s="33">
        <f t="shared" si="22"/>
        <v>0</v>
      </c>
      <c r="BG27" s="33">
        <f t="shared" si="23"/>
        <v>0</v>
      </c>
      <c r="BH27" s="51">
        <f t="shared" si="24"/>
        <v>0</v>
      </c>
      <c r="BI27" s="51"/>
      <c r="BK27" s="33">
        <f t="shared" si="79"/>
        <v>0</v>
      </c>
      <c r="BL27" s="33">
        <f t="shared" si="25"/>
        <v>0</v>
      </c>
      <c r="BM27" s="51">
        <f t="shared" si="26"/>
        <v>0</v>
      </c>
      <c r="BN27" s="51">
        <f t="shared" si="27"/>
        <v>0</v>
      </c>
      <c r="BO27" s="51"/>
      <c r="BQ27" s="33">
        <f t="shared" si="80"/>
        <v>0</v>
      </c>
      <c r="BR27" s="33">
        <f t="shared" si="28"/>
        <v>0</v>
      </c>
      <c r="BS27" s="51">
        <f t="shared" si="29"/>
        <v>0</v>
      </c>
      <c r="BT27" s="51">
        <f t="shared" si="30"/>
        <v>0</v>
      </c>
      <c r="BU27" s="51"/>
      <c r="BW27" s="33">
        <f t="shared" si="81"/>
        <v>0</v>
      </c>
      <c r="BX27" s="33">
        <f t="shared" si="82"/>
        <v>0</v>
      </c>
      <c r="BY27" s="51">
        <f t="shared" si="83"/>
        <v>0</v>
      </c>
      <c r="BZ27" s="33">
        <f t="shared" si="84"/>
        <v>0</v>
      </c>
      <c r="CA27" s="51"/>
      <c r="CC27" s="51">
        <f t="shared" si="85"/>
        <v>0</v>
      </c>
      <c r="CD27" s="51">
        <f t="shared" si="31"/>
        <v>0</v>
      </c>
      <c r="CE27" s="33">
        <f t="shared" si="32"/>
        <v>0</v>
      </c>
      <c r="CF27" s="51">
        <f t="shared" si="33"/>
        <v>0</v>
      </c>
      <c r="CG27" s="51"/>
      <c r="CI27" s="51">
        <f t="shared" si="86"/>
        <v>0</v>
      </c>
      <c r="CJ27" s="51">
        <f t="shared" si="34"/>
        <v>0</v>
      </c>
      <c r="CK27" s="33">
        <f t="shared" si="35"/>
        <v>0</v>
      </c>
      <c r="CL27" s="51">
        <f t="shared" si="36"/>
        <v>0</v>
      </c>
      <c r="CM27" s="51"/>
      <c r="CO27" s="33">
        <f t="shared" si="87"/>
        <v>0</v>
      </c>
      <c r="CP27" s="33">
        <f t="shared" si="37"/>
        <v>0</v>
      </c>
      <c r="CQ27" s="51">
        <f t="shared" si="38"/>
        <v>0</v>
      </c>
      <c r="CR27" s="51">
        <f t="shared" si="39"/>
        <v>0</v>
      </c>
      <c r="CS27" s="51"/>
      <c r="CU27" s="33">
        <f t="shared" si="88"/>
        <v>0</v>
      </c>
      <c r="CV27" s="33">
        <f t="shared" si="40"/>
        <v>0</v>
      </c>
      <c r="CW27" s="33">
        <f t="shared" si="41"/>
        <v>0</v>
      </c>
      <c r="CX27" s="51">
        <f t="shared" si="42"/>
        <v>0</v>
      </c>
      <c r="CY27" s="51"/>
      <c r="DA27" s="33">
        <f t="shared" si="89"/>
        <v>0</v>
      </c>
      <c r="DB27" s="33">
        <f t="shared" si="43"/>
        <v>0</v>
      </c>
      <c r="DC27" s="51">
        <f t="shared" si="44"/>
        <v>0</v>
      </c>
      <c r="DD27" s="51">
        <f t="shared" si="45"/>
        <v>0</v>
      </c>
      <c r="DE27" s="51"/>
      <c r="DG27" s="33">
        <f t="shared" si="90"/>
        <v>0</v>
      </c>
      <c r="DH27" s="33">
        <f t="shared" si="46"/>
        <v>0</v>
      </c>
      <c r="DI27" s="51">
        <f t="shared" si="47"/>
        <v>0</v>
      </c>
      <c r="DJ27" s="51">
        <f t="shared" si="48"/>
        <v>0</v>
      </c>
      <c r="DK27" s="51"/>
      <c r="DM27" s="33">
        <f t="shared" si="91"/>
        <v>0</v>
      </c>
      <c r="DN27" s="33">
        <f t="shared" si="49"/>
        <v>0</v>
      </c>
      <c r="DO27" s="51">
        <f t="shared" si="50"/>
        <v>0</v>
      </c>
      <c r="DP27" s="51">
        <f t="shared" si="51"/>
        <v>0</v>
      </c>
      <c r="DQ27" s="51"/>
      <c r="DS27" s="33">
        <f t="shared" si="92"/>
        <v>0</v>
      </c>
      <c r="DT27" s="51">
        <f t="shared" si="52"/>
        <v>0</v>
      </c>
      <c r="DU27" s="51">
        <f t="shared" si="53"/>
        <v>0</v>
      </c>
      <c r="DV27" s="51">
        <f t="shared" si="54"/>
        <v>0</v>
      </c>
      <c r="DW27" s="51"/>
      <c r="DY27" s="33">
        <f t="shared" si="93"/>
        <v>0</v>
      </c>
      <c r="DZ27" s="33">
        <f t="shared" si="55"/>
        <v>0</v>
      </c>
      <c r="EA27" s="51">
        <f t="shared" si="56"/>
        <v>0</v>
      </c>
      <c r="EB27" s="51">
        <f t="shared" si="57"/>
        <v>0</v>
      </c>
      <c r="EC27" s="51"/>
      <c r="EE27" s="33">
        <f t="shared" si="94"/>
        <v>0</v>
      </c>
      <c r="EF27" s="33">
        <f t="shared" si="58"/>
        <v>0</v>
      </c>
      <c r="EG27" s="33">
        <f t="shared" si="59"/>
        <v>0</v>
      </c>
      <c r="EH27" s="51">
        <f t="shared" si="60"/>
        <v>0</v>
      </c>
      <c r="EI27" s="51"/>
      <c r="EK27" s="33">
        <f t="shared" si="95"/>
        <v>0</v>
      </c>
      <c r="EL27" s="33">
        <f t="shared" si="61"/>
        <v>0</v>
      </c>
      <c r="EM27" s="51">
        <f t="shared" si="62"/>
        <v>0</v>
      </c>
      <c r="EN27" s="51">
        <f t="shared" si="63"/>
        <v>0</v>
      </c>
      <c r="EO27" s="51"/>
      <c r="EQ27" s="33">
        <f t="shared" si="96"/>
        <v>0</v>
      </c>
      <c r="ER27" s="33">
        <f t="shared" si="64"/>
        <v>0</v>
      </c>
      <c r="ES27" s="51">
        <f t="shared" si="65"/>
        <v>0</v>
      </c>
      <c r="ET27" s="51">
        <f t="shared" si="66"/>
        <v>0</v>
      </c>
      <c r="EU27" s="51"/>
      <c r="EV27"/>
    </row>
    <row r="28" spans="1:152" ht="12.75">
      <c r="A28" s="78">
        <v>45931</v>
      </c>
      <c r="E28" s="35">
        <f t="shared" si="0"/>
        <v>0</v>
      </c>
      <c r="I28" s="71"/>
      <c r="J28" s="71">
        <f t="shared" si="1"/>
        <v>0</v>
      </c>
      <c r="K28" s="71">
        <f t="shared" si="2"/>
        <v>0</v>
      </c>
      <c r="L28" s="71">
        <f t="shared" si="3"/>
        <v>0</v>
      </c>
      <c r="M28" s="71"/>
      <c r="P28" s="33">
        <f t="shared" si="4"/>
        <v>0</v>
      </c>
      <c r="Q28" s="33">
        <f t="shared" si="5"/>
        <v>0</v>
      </c>
      <c r="R28" s="51">
        <f t="shared" si="6"/>
        <v>0</v>
      </c>
      <c r="S28" s="51"/>
      <c r="V28" s="51">
        <f t="shared" si="7"/>
        <v>0</v>
      </c>
      <c r="W28" s="51">
        <f t="shared" si="8"/>
        <v>0</v>
      </c>
      <c r="X28" s="51">
        <f t="shared" si="9"/>
        <v>0</v>
      </c>
      <c r="Y28" s="51"/>
      <c r="AB28" s="51">
        <f t="shared" si="10"/>
        <v>0</v>
      </c>
      <c r="AC28" s="51">
        <f t="shared" si="11"/>
        <v>0</v>
      </c>
      <c r="AD28" s="51">
        <f t="shared" si="12"/>
        <v>0</v>
      </c>
      <c r="AE28" s="51"/>
      <c r="AG28" s="33">
        <f t="shared" si="71"/>
        <v>0</v>
      </c>
      <c r="AH28" s="33">
        <f t="shared" si="72"/>
        <v>0</v>
      </c>
      <c r="AI28" s="33">
        <f t="shared" si="73"/>
        <v>0</v>
      </c>
      <c r="AJ28" s="51">
        <f t="shared" si="74"/>
        <v>0</v>
      </c>
      <c r="AK28" s="51"/>
      <c r="AN28" s="33">
        <f t="shared" si="13"/>
        <v>0</v>
      </c>
      <c r="AO28" s="33">
        <f t="shared" si="14"/>
        <v>0</v>
      </c>
      <c r="AP28" s="51">
        <f t="shared" si="15"/>
        <v>0</v>
      </c>
      <c r="AQ28" s="51"/>
      <c r="AS28" s="51"/>
      <c r="AT28" s="33">
        <f t="shared" si="16"/>
        <v>0</v>
      </c>
      <c r="AU28" s="51">
        <f t="shared" si="17"/>
        <v>0</v>
      </c>
      <c r="AV28" s="51">
        <f t="shared" si="18"/>
        <v>0</v>
      </c>
      <c r="AW28" s="51"/>
      <c r="AY28" s="51"/>
      <c r="AZ28" s="33">
        <f t="shared" si="19"/>
        <v>0</v>
      </c>
      <c r="BA28" s="51">
        <f t="shared" si="20"/>
        <v>0</v>
      </c>
      <c r="BB28" s="51">
        <f t="shared" si="21"/>
        <v>0</v>
      </c>
      <c r="BC28" s="51"/>
      <c r="BF28" s="33">
        <f t="shared" si="22"/>
        <v>0</v>
      </c>
      <c r="BG28" s="33">
        <f t="shared" si="23"/>
        <v>0</v>
      </c>
      <c r="BH28" s="51">
        <f t="shared" si="24"/>
        <v>0</v>
      </c>
      <c r="BI28" s="51"/>
      <c r="BL28" s="33">
        <f t="shared" si="25"/>
        <v>0</v>
      </c>
      <c r="BM28" s="51">
        <f t="shared" si="26"/>
        <v>0</v>
      </c>
      <c r="BN28" s="51">
        <f t="shared" si="27"/>
        <v>0</v>
      </c>
      <c r="BO28" s="51"/>
      <c r="BR28" s="33">
        <f t="shared" si="28"/>
        <v>0</v>
      </c>
      <c r="BS28" s="51">
        <f t="shared" si="29"/>
        <v>0</v>
      </c>
      <c r="BT28" s="51">
        <f t="shared" si="30"/>
        <v>0</v>
      </c>
      <c r="BU28" s="51"/>
      <c r="BW28" s="33">
        <f t="shared" si="81"/>
        <v>0</v>
      </c>
      <c r="BX28" s="33">
        <f t="shared" si="82"/>
        <v>0</v>
      </c>
      <c r="BY28" s="51">
        <f t="shared" si="83"/>
        <v>0</v>
      </c>
      <c r="BZ28" s="33">
        <f t="shared" si="84"/>
        <v>0</v>
      </c>
      <c r="CA28" s="51"/>
      <c r="CC28" s="51"/>
      <c r="CD28" s="51">
        <f t="shared" si="31"/>
        <v>0</v>
      </c>
      <c r="CE28" s="33">
        <f t="shared" si="32"/>
        <v>0</v>
      </c>
      <c r="CF28" s="51">
        <f t="shared" si="33"/>
        <v>0</v>
      </c>
      <c r="CG28" s="51"/>
      <c r="CI28" s="51"/>
      <c r="CJ28" s="51">
        <f t="shared" si="34"/>
        <v>0</v>
      </c>
      <c r="CK28" s="33">
        <f t="shared" si="35"/>
        <v>0</v>
      </c>
      <c r="CL28" s="51">
        <f t="shared" si="36"/>
        <v>0</v>
      </c>
      <c r="CM28" s="51"/>
      <c r="CP28" s="33">
        <f t="shared" si="37"/>
        <v>0</v>
      </c>
      <c r="CQ28" s="51">
        <f t="shared" si="38"/>
        <v>0</v>
      </c>
      <c r="CR28" s="51">
        <f t="shared" si="39"/>
        <v>0</v>
      </c>
      <c r="CS28" s="51"/>
      <c r="CV28" s="33">
        <f t="shared" si="40"/>
        <v>0</v>
      </c>
      <c r="CW28" s="33">
        <f t="shared" si="41"/>
        <v>0</v>
      </c>
      <c r="CX28" s="51">
        <f t="shared" si="42"/>
        <v>0</v>
      </c>
      <c r="CY28" s="51"/>
      <c r="DB28" s="33">
        <f t="shared" si="43"/>
        <v>0</v>
      </c>
      <c r="DC28" s="51">
        <f t="shared" si="44"/>
        <v>0</v>
      </c>
      <c r="DD28" s="51">
        <f t="shared" si="45"/>
        <v>0</v>
      </c>
      <c r="DE28" s="51"/>
      <c r="DH28" s="33">
        <f t="shared" si="46"/>
        <v>0</v>
      </c>
      <c r="DI28" s="51">
        <f t="shared" si="47"/>
        <v>0</v>
      </c>
      <c r="DJ28" s="51">
        <f t="shared" si="48"/>
        <v>0</v>
      </c>
      <c r="DK28" s="51"/>
      <c r="DN28" s="33">
        <f t="shared" si="49"/>
        <v>0</v>
      </c>
      <c r="DO28" s="51">
        <f t="shared" si="50"/>
        <v>0</v>
      </c>
      <c r="DP28" s="51">
        <f t="shared" si="51"/>
        <v>0</v>
      </c>
      <c r="DQ28" s="51"/>
      <c r="DT28" s="51">
        <f t="shared" si="52"/>
        <v>0</v>
      </c>
      <c r="DU28" s="51">
        <f t="shared" si="53"/>
        <v>0</v>
      </c>
      <c r="DV28" s="51">
        <f t="shared" si="54"/>
        <v>0</v>
      </c>
      <c r="DW28" s="51"/>
      <c r="DZ28" s="33">
        <f t="shared" si="55"/>
        <v>0</v>
      </c>
      <c r="EA28" s="51">
        <f t="shared" si="56"/>
        <v>0</v>
      </c>
      <c r="EB28" s="51">
        <f t="shared" si="57"/>
        <v>0</v>
      </c>
      <c r="EC28" s="51"/>
      <c r="EF28" s="33">
        <f t="shared" si="58"/>
        <v>0</v>
      </c>
      <c r="EG28" s="33">
        <f t="shared" si="59"/>
        <v>0</v>
      </c>
      <c r="EH28" s="51">
        <f t="shared" si="60"/>
        <v>0</v>
      </c>
      <c r="EI28" s="51"/>
      <c r="EL28" s="33">
        <f t="shared" si="61"/>
        <v>0</v>
      </c>
      <c r="EM28" s="51">
        <f t="shared" si="62"/>
        <v>0</v>
      </c>
      <c r="EN28" s="51">
        <f t="shared" si="63"/>
        <v>0</v>
      </c>
      <c r="EO28" s="51"/>
      <c r="ER28" s="33">
        <f t="shared" si="64"/>
        <v>0</v>
      </c>
      <c r="ES28" s="51">
        <f t="shared" si="65"/>
        <v>0</v>
      </c>
      <c r="ET28" s="51">
        <f t="shared" si="66"/>
        <v>0</v>
      </c>
      <c r="EU28" s="51"/>
      <c r="EV28"/>
    </row>
    <row r="29" spans="1:152" ht="12.75">
      <c r="A29" s="78">
        <v>46113</v>
      </c>
      <c r="E29" s="35">
        <f t="shared" si="0"/>
        <v>0</v>
      </c>
      <c r="I29" s="71">
        <f t="shared" si="67"/>
        <v>0</v>
      </c>
      <c r="J29" s="71">
        <f t="shared" si="1"/>
        <v>0</v>
      </c>
      <c r="K29" s="71">
        <f t="shared" si="2"/>
        <v>0</v>
      </c>
      <c r="L29" s="71">
        <f t="shared" si="3"/>
        <v>0</v>
      </c>
      <c r="M29" s="71"/>
      <c r="O29" s="33">
        <f t="shared" si="68"/>
        <v>0</v>
      </c>
      <c r="P29" s="33">
        <f t="shared" si="4"/>
        <v>0</v>
      </c>
      <c r="Q29" s="33">
        <f t="shared" si="5"/>
        <v>0</v>
      </c>
      <c r="R29" s="51">
        <f t="shared" si="6"/>
        <v>0</v>
      </c>
      <c r="S29" s="51"/>
      <c r="U29" s="33">
        <f t="shared" si="69"/>
        <v>0</v>
      </c>
      <c r="V29" s="51">
        <f t="shared" si="7"/>
        <v>0</v>
      </c>
      <c r="W29" s="51">
        <f t="shared" si="8"/>
        <v>0</v>
      </c>
      <c r="X29" s="51">
        <f t="shared" si="9"/>
        <v>0</v>
      </c>
      <c r="Y29" s="51"/>
      <c r="AA29" s="33">
        <f t="shared" si="70"/>
        <v>0</v>
      </c>
      <c r="AB29" s="51">
        <f t="shared" si="10"/>
        <v>0</v>
      </c>
      <c r="AC29" s="51">
        <f t="shared" si="11"/>
        <v>0</v>
      </c>
      <c r="AD29" s="51">
        <f t="shared" si="12"/>
        <v>0</v>
      </c>
      <c r="AE29" s="51"/>
      <c r="AG29" s="33">
        <f t="shared" si="71"/>
        <v>0</v>
      </c>
      <c r="AH29" s="33">
        <f t="shared" si="72"/>
        <v>0</v>
      </c>
      <c r="AI29" s="33">
        <f t="shared" si="73"/>
        <v>0</v>
      </c>
      <c r="AJ29" s="51">
        <f t="shared" si="74"/>
        <v>0</v>
      </c>
      <c r="AK29" s="51"/>
      <c r="AM29" s="33">
        <f t="shared" si="75"/>
        <v>0</v>
      </c>
      <c r="AN29" s="33">
        <f t="shared" si="13"/>
        <v>0</v>
      </c>
      <c r="AO29" s="33">
        <f t="shared" si="14"/>
        <v>0</v>
      </c>
      <c r="AP29" s="51">
        <f t="shared" si="15"/>
        <v>0</v>
      </c>
      <c r="AQ29" s="51"/>
      <c r="AS29" s="51">
        <f t="shared" si="76"/>
        <v>0</v>
      </c>
      <c r="AT29" s="33">
        <f t="shared" si="16"/>
        <v>0</v>
      </c>
      <c r="AU29" s="51">
        <f t="shared" si="17"/>
        <v>0</v>
      </c>
      <c r="AV29" s="51">
        <f t="shared" si="18"/>
        <v>0</v>
      </c>
      <c r="AW29" s="51"/>
      <c r="AY29" s="51">
        <f t="shared" si="77"/>
        <v>0</v>
      </c>
      <c r="AZ29" s="33">
        <f t="shared" si="19"/>
        <v>0</v>
      </c>
      <c r="BA29" s="51">
        <f t="shared" si="20"/>
        <v>0</v>
      </c>
      <c r="BB29" s="51">
        <f t="shared" si="21"/>
        <v>0</v>
      </c>
      <c r="BC29" s="51"/>
      <c r="BE29" s="33">
        <f t="shared" si="78"/>
        <v>0</v>
      </c>
      <c r="BF29" s="33">
        <f t="shared" si="22"/>
        <v>0</v>
      </c>
      <c r="BG29" s="33">
        <f t="shared" si="23"/>
        <v>0</v>
      </c>
      <c r="BH29" s="51">
        <f t="shared" si="24"/>
        <v>0</v>
      </c>
      <c r="BI29" s="51"/>
      <c r="BK29" s="33">
        <f t="shared" si="79"/>
        <v>0</v>
      </c>
      <c r="BL29" s="33">
        <f t="shared" si="25"/>
        <v>0</v>
      </c>
      <c r="BM29" s="51">
        <f t="shared" si="26"/>
        <v>0</v>
      </c>
      <c r="BN29" s="51">
        <f t="shared" si="27"/>
        <v>0</v>
      </c>
      <c r="BO29" s="51"/>
      <c r="BQ29" s="33">
        <f t="shared" si="80"/>
        <v>0</v>
      </c>
      <c r="BR29" s="33">
        <f t="shared" si="28"/>
        <v>0</v>
      </c>
      <c r="BS29" s="51">
        <f t="shared" si="29"/>
        <v>0</v>
      </c>
      <c r="BT29" s="51">
        <f t="shared" si="30"/>
        <v>0</v>
      </c>
      <c r="BU29" s="51"/>
      <c r="BW29" s="33">
        <f t="shared" si="81"/>
        <v>0</v>
      </c>
      <c r="BX29" s="33">
        <f t="shared" si="82"/>
        <v>0</v>
      </c>
      <c r="BY29" s="51">
        <f t="shared" si="83"/>
        <v>0</v>
      </c>
      <c r="BZ29" s="33">
        <f t="shared" si="84"/>
        <v>0</v>
      </c>
      <c r="CA29" s="51"/>
      <c r="CC29" s="51">
        <f t="shared" si="85"/>
        <v>0</v>
      </c>
      <c r="CD29" s="51">
        <f t="shared" si="31"/>
        <v>0</v>
      </c>
      <c r="CE29" s="33">
        <f t="shared" si="32"/>
        <v>0</v>
      </c>
      <c r="CF29" s="51">
        <f t="shared" si="33"/>
        <v>0</v>
      </c>
      <c r="CG29" s="51"/>
      <c r="CI29" s="51">
        <f t="shared" si="86"/>
        <v>0</v>
      </c>
      <c r="CJ29" s="51">
        <f t="shared" si="34"/>
        <v>0</v>
      </c>
      <c r="CK29" s="33">
        <f t="shared" si="35"/>
        <v>0</v>
      </c>
      <c r="CL29" s="51">
        <f t="shared" si="36"/>
        <v>0</v>
      </c>
      <c r="CM29" s="51"/>
      <c r="CO29" s="33">
        <f t="shared" si="87"/>
        <v>0</v>
      </c>
      <c r="CP29" s="33">
        <f t="shared" si="37"/>
        <v>0</v>
      </c>
      <c r="CQ29" s="51">
        <f t="shared" si="38"/>
        <v>0</v>
      </c>
      <c r="CR29" s="51">
        <f t="shared" si="39"/>
        <v>0</v>
      </c>
      <c r="CS29" s="51"/>
      <c r="CU29" s="33">
        <f t="shared" si="88"/>
        <v>0</v>
      </c>
      <c r="CV29" s="33">
        <f t="shared" si="40"/>
        <v>0</v>
      </c>
      <c r="CW29" s="33">
        <f t="shared" si="41"/>
        <v>0</v>
      </c>
      <c r="CX29" s="51">
        <f t="shared" si="42"/>
        <v>0</v>
      </c>
      <c r="CY29" s="51"/>
      <c r="DA29" s="33">
        <f t="shared" si="89"/>
        <v>0</v>
      </c>
      <c r="DB29" s="33">
        <f t="shared" si="43"/>
        <v>0</v>
      </c>
      <c r="DC29" s="51">
        <f t="shared" si="44"/>
        <v>0</v>
      </c>
      <c r="DD29" s="51">
        <f t="shared" si="45"/>
        <v>0</v>
      </c>
      <c r="DE29" s="51"/>
      <c r="DG29" s="33">
        <f t="shared" si="90"/>
        <v>0</v>
      </c>
      <c r="DH29" s="33">
        <f t="shared" si="46"/>
        <v>0</v>
      </c>
      <c r="DI29" s="51">
        <f t="shared" si="47"/>
        <v>0</v>
      </c>
      <c r="DJ29" s="51">
        <f t="shared" si="48"/>
        <v>0</v>
      </c>
      <c r="DK29" s="51"/>
      <c r="DM29" s="33">
        <f t="shared" si="91"/>
        <v>0</v>
      </c>
      <c r="DN29" s="33">
        <f t="shared" si="49"/>
        <v>0</v>
      </c>
      <c r="DO29" s="51">
        <f t="shared" si="50"/>
        <v>0</v>
      </c>
      <c r="DP29" s="51">
        <f t="shared" si="51"/>
        <v>0</v>
      </c>
      <c r="DQ29" s="51"/>
      <c r="DS29" s="33">
        <f t="shared" si="92"/>
        <v>0</v>
      </c>
      <c r="DT29" s="51">
        <f t="shared" si="52"/>
        <v>0</v>
      </c>
      <c r="DU29" s="51">
        <f t="shared" si="53"/>
        <v>0</v>
      </c>
      <c r="DV29" s="51">
        <f t="shared" si="54"/>
        <v>0</v>
      </c>
      <c r="DW29" s="51"/>
      <c r="DY29" s="33">
        <f t="shared" si="93"/>
        <v>0</v>
      </c>
      <c r="DZ29" s="33">
        <f t="shared" si="55"/>
        <v>0</v>
      </c>
      <c r="EA29" s="51">
        <f t="shared" si="56"/>
        <v>0</v>
      </c>
      <c r="EB29" s="51">
        <f t="shared" si="57"/>
        <v>0</v>
      </c>
      <c r="EC29" s="51"/>
      <c r="EE29" s="33">
        <f t="shared" si="94"/>
        <v>0</v>
      </c>
      <c r="EF29" s="33">
        <f t="shared" si="58"/>
        <v>0</v>
      </c>
      <c r="EG29" s="33">
        <f t="shared" si="59"/>
        <v>0</v>
      </c>
      <c r="EH29" s="51">
        <f t="shared" si="60"/>
        <v>0</v>
      </c>
      <c r="EI29" s="51"/>
      <c r="EK29" s="33">
        <f t="shared" si="95"/>
        <v>0</v>
      </c>
      <c r="EL29" s="33">
        <f t="shared" si="61"/>
        <v>0</v>
      </c>
      <c r="EM29" s="51">
        <f t="shared" si="62"/>
        <v>0</v>
      </c>
      <c r="EN29" s="51">
        <f t="shared" si="63"/>
        <v>0</v>
      </c>
      <c r="EO29" s="51"/>
      <c r="EQ29" s="33">
        <f t="shared" si="96"/>
        <v>0</v>
      </c>
      <c r="ER29" s="33">
        <f t="shared" si="64"/>
        <v>0</v>
      </c>
      <c r="ES29" s="51">
        <f t="shared" si="65"/>
        <v>0</v>
      </c>
      <c r="ET29" s="51">
        <f t="shared" si="66"/>
        <v>0</v>
      </c>
      <c r="EU29" s="51"/>
      <c r="EV29"/>
    </row>
    <row r="30" spans="1:152" ht="12.75">
      <c r="A30" s="78">
        <v>46296</v>
      </c>
      <c r="E30" s="35">
        <f t="shared" si="0"/>
        <v>0</v>
      </c>
      <c r="I30" s="71"/>
      <c r="J30" s="71">
        <f t="shared" si="1"/>
        <v>0</v>
      </c>
      <c r="K30" s="71">
        <f t="shared" si="2"/>
        <v>0</v>
      </c>
      <c r="L30" s="71">
        <f t="shared" si="3"/>
        <v>0</v>
      </c>
      <c r="M30" s="71"/>
      <c r="P30" s="33">
        <f t="shared" si="4"/>
        <v>0</v>
      </c>
      <c r="Q30" s="33">
        <f t="shared" si="5"/>
        <v>0</v>
      </c>
      <c r="R30" s="51">
        <f t="shared" si="6"/>
        <v>0</v>
      </c>
      <c r="S30" s="51"/>
      <c r="V30" s="51">
        <f t="shared" si="7"/>
        <v>0</v>
      </c>
      <c r="W30" s="51">
        <f t="shared" si="8"/>
        <v>0</v>
      </c>
      <c r="X30" s="51">
        <f t="shared" si="9"/>
        <v>0</v>
      </c>
      <c r="Y30" s="51"/>
      <c r="AB30" s="51">
        <f t="shared" si="10"/>
        <v>0</v>
      </c>
      <c r="AC30" s="51">
        <f t="shared" si="11"/>
        <v>0</v>
      </c>
      <c r="AD30" s="51">
        <f t="shared" si="12"/>
        <v>0</v>
      </c>
      <c r="AE30" s="51"/>
      <c r="AG30" s="33">
        <f t="shared" si="71"/>
        <v>0</v>
      </c>
      <c r="AH30" s="33">
        <f t="shared" si="72"/>
        <v>0</v>
      </c>
      <c r="AI30" s="33">
        <f t="shared" si="73"/>
        <v>0</v>
      </c>
      <c r="AJ30" s="51">
        <f t="shared" si="74"/>
        <v>0</v>
      </c>
      <c r="AK30" s="51"/>
      <c r="AN30" s="33">
        <f t="shared" si="13"/>
        <v>0</v>
      </c>
      <c r="AO30" s="33">
        <f t="shared" si="14"/>
        <v>0</v>
      </c>
      <c r="AP30" s="51">
        <f t="shared" si="15"/>
        <v>0</v>
      </c>
      <c r="AQ30" s="51"/>
      <c r="AS30" s="51"/>
      <c r="AT30" s="33">
        <f t="shared" si="16"/>
        <v>0</v>
      </c>
      <c r="AU30" s="51">
        <f t="shared" si="17"/>
        <v>0</v>
      </c>
      <c r="AV30" s="51">
        <f t="shared" si="18"/>
        <v>0</v>
      </c>
      <c r="AW30" s="51"/>
      <c r="AY30" s="51"/>
      <c r="AZ30" s="33">
        <f t="shared" si="19"/>
        <v>0</v>
      </c>
      <c r="BA30" s="51">
        <f t="shared" si="20"/>
        <v>0</v>
      </c>
      <c r="BB30" s="51">
        <f t="shared" si="21"/>
        <v>0</v>
      </c>
      <c r="BC30" s="51"/>
      <c r="BF30" s="33">
        <f t="shared" si="22"/>
        <v>0</v>
      </c>
      <c r="BG30" s="33">
        <f t="shared" si="23"/>
        <v>0</v>
      </c>
      <c r="BH30" s="51">
        <f t="shared" si="24"/>
        <v>0</v>
      </c>
      <c r="BI30" s="51"/>
      <c r="BL30" s="33">
        <f t="shared" si="25"/>
        <v>0</v>
      </c>
      <c r="BM30" s="51">
        <f t="shared" si="26"/>
        <v>0</v>
      </c>
      <c r="BN30" s="51">
        <f t="shared" si="27"/>
        <v>0</v>
      </c>
      <c r="BO30" s="51"/>
      <c r="BR30" s="33">
        <f t="shared" si="28"/>
        <v>0</v>
      </c>
      <c r="BS30" s="51">
        <f t="shared" si="29"/>
        <v>0</v>
      </c>
      <c r="BT30" s="51">
        <f t="shared" si="30"/>
        <v>0</v>
      </c>
      <c r="BU30" s="51"/>
      <c r="BW30" s="33">
        <f t="shared" si="81"/>
        <v>0</v>
      </c>
      <c r="BX30" s="33">
        <f t="shared" si="82"/>
        <v>0</v>
      </c>
      <c r="BY30" s="51">
        <f t="shared" si="83"/>
        <v>0</v>
      </c>
      <c r="BZ30" s="33">
        <f t="shared" si="84"/>
        <v>0</v>
      </c>
      <c r="CA30" s="51"/>
      <c r="CC30" s="51"/>
      <c r="CD30" s="51">
        <f t="shared" si="31"/>
        <v>0</v>
      </c>
      <c r="CE30" s="33">
        <f t="shared" si="32"/>
        <v>0</v>
      </c>
      <c r="CF30" s="51">
        <f t="shared" si="33"/>
        <v>0</v>
      </c>
      <c r="CG30" s="51"/>
      <c r="CI30" s="51"/>
      <c r="CJ30" s="51">
        <f t="shared" si="34"/>
        <v>0</v>
      </c>
      <c r="CK30" s="33">
        <f t="shared" si="35"/>
        <v>0</v>
      </c>
      <c r="CL30" s="51">
        <f t="shared" si="36"/>
        <v>0</v>
      </c>
      <c r="CM30" s="51"/>
      <c r="CP30" s="33">
        <f t="shared" si="37"/>
        <v>0</v>
      </c>
      <c r="CQ30" s="51">
        <f t="shared" si="38"/>
        <v>0</v>
      </c>
      <c r="CR30" s="51">
        <f t="shared" si="39"/>
        <v>0</v>
      </c>
      <c r="CS30" s="51"/>
      <c r="CV30" s="33">
        <f t="shared" si="40"/>
        <v>0</v>
      </c>
      <c r="CW30" s="33">
        <f t="shared" si="41"/>
        <v>0</v>
      </c>
      <c r="CX30" s="51">
        <f t="shared" si="42"/>
        <v>0</v>
      </c>
      <c r="CY30" s="51"/>
      <c r="DB30" s="33">
        <f t="shared" si="43"/>
        <v>0</v>
      </c>
      <c r="DC30" s="51">
        <f t="shared" si="44"/>
        <v>0</v>
      </c>
      <c r="DD30" s="51">
        <f t="shared" si="45"/>
        <v>0</v>
      </c>
      <c r="DE30" s="51"/>
      <c r="DH30" s="33">
        <f t="shared" si="46"/>
        <v>0</v>
      </c>
      <c r="DI30" s="51">
        <f t="shared" si="47"/>
        <v>0</v>
      </c>
      <c r="DJ30" s="51">
        <f t="shared" si="48"/>
        <v>0</v>
      </c>
      <c r="DK30" s="51"/>
      <c r="DN30" s="33">
        <f t="shared" si="49"/>
        <v>0</v>
      </c>
      <c r="DO30" s="51">
        <f t="shared" si="50"/>
        <v>0</v>
      </c>
      <c r="DP30" s="51">
        <f t="shared" si="51"/>
        <v>0</v>
      </c>
      <c r="DQ30" s="51"/>
      <c r="DT30" s="51">
        <f t="shared" si="52"/>
        <v>0</v>
      </c>
      <c r="DU30" s="51">
        <f t="shared" si="53"/>
        <v>0</v>
      </c>
      <c r="DV30" s="51">
        <f t="shared" si="54"/>
        <v>0</v>
      </c>
      <c r="DW30" s="51"/>
      <c r="DZ30" s="33">
        <f t="shared" si="55"/>
        <v>0</v>
      </c>
      <c r="EA30" s="51">
        <f t="shared" si="56"/>
        <v>0</v>
      </c>
      <c r="EB30" s="51">
        <f t="shared" si="57"/>
        <v>0</v>
      </c>
      <c r="EC30" s="51"/>
      <c r="EF30" s="33">
        <f t="shared" si="58"/>
        <v>0</v>
      </c>
      <c r="EG30" s="33">
        <f t="shared" si="59"/>
        <v>0</v>
      </c>
      <c r="EH30" s="51">
        <f t="shared" si="60"/>
        <v>0</v>
      </c>
      <c r="EI30" s="51"/>
      <c r="EL30" s="33">
        <f t="shared" si="61"/>
        <v>0</v>
      </c>
      <c r="EM30" s="51">
        <f t="shared" si="62"/>
        <v>0</v>
      </c>
      <c r="EN30" s="51">
        <f t="shared" si="63"/>
        <v>0</v>
      </c>
      <c r="EO30" s="51"/>
      <c r="ER30" s="33">
        <f t="shared" si="64"/>
        <v>0</v>
      </c>
      <c r="ES30" s="51">
        <f t="shared" si="65"/>
        <v>0</v>
      </c>
      <c r="ET30" s="51">
        <f t="shared" si="66"/>
        <v>0</v>
      </c>
      <c r="EU30" s="51"/>
      <c r="EV30"/>
    </row>
    <row r="31" spans="1:152" ht="12.75">
      <c r="A31" s="78">
        <v>46478</v>
      </c>
      <c r="E31" s="35">
        <f t="shared" si="0"/>
        <v>0</v>
      </c>
      <c r="I31" s="71">
        <f t="shared" si="67"/>
        <v>0</v>
      </c>
      <c r="J31" s="71">
        <f t="shared" si="1"/>
        <v>0</v>
      </c>
      <c r="K31" s="71">
        <f t="shared" si="2"/>
        <v>0</v>
      </c>
      <c r="L31" s="71">
        <f t="shared" si="3"/>
        <v>0</v>
      </c>
      <c r="M31" s="71"/>
      <c r="O31" s="33">
        <f t="shared" si="68"/>
        <v>0</v>
      </c>
      <c r="P31" s="33">
        <f t="shared" si="4"/>
        <v>0</v>
      </c>
      <c r="Q31" s="33">
        <f t="shared" si="5"/>
        <v>0</v>
      </c>
      <c r="R31" s="51">
        <f t="shared" si="6"/>
        <v>0</v>
      </c>
      <c r="S31" s="51"/>
      <c r="U31" s="33">
        <f t="shared" si="69"/>
        <v>0</v>
      </c>
      <c r="V31" s="51">
        <f t="shared" si="7"/>
        <v>0</v>
      </c>
      <c r="W31" s="51">
        <f t="shared" si="8"/>
        <v>0</v>
      </c>
      <c r="X31" s="51">
        <f t="shared" si="9"/>
        <v>0</v>
      </c>
      <c r="Y31" s="51"/>
      <c r="AA31" s="33">
        <f t="shared" si="70"/>
        <v>0</v>
      </c>
      <c r="AB31" s="51">
        <f t="shared" si="10"/>
        <v>0</v>
      </c>
      <c r="AC31" s="51">
        <f t="shared" si="11"/>
        <v>0</v>
      </c>
      <c r="AD31" s="51">
        <f t="shared" si="12"/>
        <v>0</v>
      </c>
      <c r="AE31" s="51"/>
      <c r="AG31" s="33">
        <f t="shared" si="71"/>
        <v>0</v>
      </c>
      <c r="AH31" s="33">
        <f t="shared" si="72"/>
        <v>0</v>
      </c>
      <c r="AI31" s="33">
        <f t="shared" si="73"/>
        <v>0</v>
      </c>
      <c r="AJ31" s="51">
        <f t="shared" si="74"/>
        <v>0</v>
      </c>
      <c r="AK31" s="51"/>
      <c r="AM31" s="33">
        <f t="shared" si="75"/>
        <v>0</v>
      </c>
      <c r="AN31" s="33">
        <f t="shared" si="13"/>
        <v>0</v>
      </c>
      <c r="AO31" s="33">
        <f t="shared" si="14"/>
        <v>0</v>
      </c>
      <c r="AP31" s="51">
        <f t="shared" si="15"/>
        <v>0</v>
      </c>
      <c r="AQ31" s="51"/>
      <c r="AS31" s="51">
        <f t="shared" si="76"/>
        <v>0</v>
      </c>
      <c r="AT31" s="33">
        <f t="shared" si="16"/>
        <v>0</v>
      </c>
      <c r="AU31" s="51">
        <f t="shared" si="17"/>
        <v>0</v>
      </c>
      <c r="AV31" s="51">
        <f t="shared" si="18"/>
        <v>0</v>
      </c>
      <c r="AW31" s="51"/>
      <c r="AY31" s="51">
        <f t="shared" si="77"/>
        <v>0</v>
      </c>
      <c r="AZ31" s="33">
        <f t="shared" si="19"/>
        <v>0</v>
      </c>
      <c r="BA31" s="51">
        <f t="shared" si="20"/>
        <v>0</v>
      </c>
      <c r="BB31" s="51">
        <f t="shared" si="21"/>
        <v>0</v>
      </c>
      <c r="BC31" s="51"/>
      <c r="BE31" s="33">
        <f t="shared" si="78"/>
        <v>0</v>
      </c>
      <c r="BF31" s="33">
        <f t="shared" si="22"/>
        <v>0</v>
      </c>
      <c r="BG31" s="33">
        <f t="shared" si="23"/>
        <v>0</v>
      </c>
      <c r="BH31" s="51">
        <f t="shared" si="24"/>
        <v>0</v>
      </c>
      <c r="BI31" s="51"/>
      <c r="BK31" s="33">
        <f t="shared" si="79"/>
        <v>0</v>
      </c>
      <c r="BL31" s="33">
        <f t="shared" si="25"/>
        <v>0</v>
      </c>
      <c r="BM31" s="51">
        <f t="shared" si="26"/>
        <v>0</v>
      </c>
      <c r="BN31" s="51">
        <f t="shared" si="27"/>
        <v>0</v>
      </c>
      <c r="BO31" s="51"/>
      <c r="BQ31" s="33">
        <f t="shared" si="80"/>
        <v>0</v>
      </c>
      <c r="BR31" s="33">
        <f t="shared" si="28"/>
        <v>0</v>
      </c>
      <c r="BS31" s="51">
        <f t="shared" si="29"/>
        <v>0</v>
      </c>
      <c r="BT31" s="51">
        <f t="shared" si="30"/>
        <v>0</v>
      </c>
      <c r="BU31" s="51"/>
      <c r="BW31" s="33">
        <f t="shared" si="81"/>
        <v>0</v>
      </c>
      <c r="BX31" s="33">
        <f t="shared" si="82"/>
        <v>0</v>
      </c>
      <c r="BY31" s="51">
        <f t="shared" si="83"/>
        <v>0</v>
      </c>
      <c r="BZ31" s="33">
        <f t="shared" si="84"/>
        <v>0</v>
      </c>
      <c r="CA31" s="51"/>
      <c r="CC31" s="51">
        <f t="shared" si="85"/>
        <v>0</v>
      </c>
      <c r="CD31" s="51">
        <f t="shared" si="31"/>
        <v>0</v>
      </c>
      <c r="CE31" s="33">
        <f t="shared" si="32"/>
        <v>0</v>
      </c>
      <c r="CF31" s="51">
        <f t="shared" si="33"/>
        <v>0</v>
      </c>
      <c r="CG31" s="51"/>
      <c r="CI31" s="51">
        <f t="shared" si="86"/>
        <v>0</v>
      </c>
      <c r="CJ31" s="51">
        <f t="shared" si="34"/>
        <v>0</v>
      </c>
      <c r="CK31" s="33">
        <f t="shared" si="35"/>
        <v>0</v>
      </c>
      <c r="CL31" s="51">
        <f t="shared" si="36"/>
        <v>0</v>
      </c>
      <c r="CM31" s="51"/>
      <c r="CO31" s="33">
        <f t="shared" si="87"/>
        <v>0</v>
      </c>
      <c r="CP31" s="33">
        <f t="shared" si="37"/>
        <v>0</v>
      </c>
      <c r="CQ31" s="51">
        <f t="shared" si="38"/>
        <v>0</v>
      </c>
      <c r="CR31" s="51">
        <f t="shared" si="39"/>
        <v>0</v>
      </c>
      <c r="CS31" s="51"/>
      <c r="CU31" s="33">
        <f t="shared" si="88"/>
        <v>0</v>
      </c>
      <c r="CV31" s="33">
        <f t="shared" si="40"/>
        <v>0</v>
      </c>
      <c r="CW31" s="33">
        <f t="shared" si="41"/>
        <v>0</v>
      </c>
      <c r="CX31" s="51">
        <f t="shared" si="42"/>
        <v>0</v>
      </c>
      <c r="CY31" s="51"/>
      <c r="DA31" s="33">
        <f t="shared" si="89"/>
        <v>0</v>
      </c>
      <c r="DB31" s="33">
        <f t="shared" si="43"/>
        <v>0</v>
      </c>
      <c r="DC31" s="51">
        <f t="shared" si="44"/>
        <v>0</v>
      </c>
      <c r="DD31" s="51">
        <f t="shared" si="45"/>
        <v>0</v>
      </c>
      <c r="DE31" s="51"/>
      <c r="DG31" s="33">
        <f t="shared" si="90"/>
        <v>0</v>
      </c>
      <c r="DH31" s="33">
        <f t="shared" si="46"/>
        <v>0</v>
      </c>
      <c r="DI31" s="51">
        <f t="shared" si="47"/>
        <v>0</v>
      </c>
      <c r="DJ31" s="51">
        <f t="shared" si="48"/>
        <v>0</v>
      </c>
      <c r="DK31" s="51"/>
      <c r="DM31" s="33">
        <f t="shared" si="91"/>
        <v>0</v>
      </c>
      <c r="DN31" s="33">
        <f t="shared" si="49"/>
        <v>0</v>
      </c>
      <c r="DO31" s="51">
        <f t="shared" si="50"/>
        <v>0</v>
      </c>
      <c r="DP31" s="51">
        <f t="shared" si="51"/>
        <v>0</v>
      </c>
      <c r="DQ31" s="51"/>
      <c r="DS31" s="33">
        <f t="shared" si="92"/>
        <v>0</v>
      </c>
      <c r="DT31" s="51">
        <f t="shared" si="52"/>
        <v>0</v>
      </c>
      <c r="DU31" s="51">
        <f t="shared" si="53"/>
        <v>0</v>
      </c>
      <c r="DV31" s="51">
        <f t="shared" si="54"/>
        <v>0</v>
      </c>
      <c r="DW31" s="51"/>
      <c r="DY31" s="33">
        <f t="shared" si="93"/>
        <v>0</v>
      </c>
      <c r="DZ31" s="33">
        <f t="shared" si="55"/>
        <v>0</v>
      </c>
      <c r="EA31" s="51">
        <f t="shared" si="56"/>
        <v>0</v>
      </c>
      <c r="EB31" s="51">
        <f t="shared" si="57"/>
        <v>0</v>
      </c>
      <c r="EC31" s="51"/>
      <c r="EE31" s="33">
        <f t="shared" si="94"/>
        <v>0</v>
      </c>
      <c r="EF31" s="33">
        <f t="shared" si="58"/>
        <v>0</v>
      </c>
      <c r="EG31" s="33">
        <f t="shared" si="59"/>
        <v>0</v>
      </c>
      <c r="EH31" s="51">
        <f t="shared" si="60"/>
        <v>0</v>
      </c>
      <c r="EI31" s="51"/>
      <c r="EK31" s="33">
        <f t="shared" si="95"/>
        <v>0</v>
      </c>
      <c r="EL31" s="33">
        <f t="shared" si="61"/>
        <v>0</v>
      </c>
      <c r="EM31" s="51">
        <f t="shared" si="62"/>
        <v>0</v>
      </c>
      <c r="EN31" s="51">
        <f t="shared" si="63"/>
        <v>0</v>
      </c>
      <c r="EO31" s="51"/>
      <c r="EQ31" s="33">
        <f t="shared" si="96"/>
        <v>0</v>
      </c>
      <c r="ER31" s="33">
        <f t="shared" si="64"/>
        <v>0</v>
      </c>
      <c r="ES31" s="51">
        <f t="shared" si="65"/>
        <v>0</v>
      </c>
      <c r="ET31" s="51">
        <f t="shared" si="66"/>
        <v>0</v>
      </c>
      <c r="EU31" s="51"/>
      <c r="EV31"/>
    </row>
    <row r="32" spans="1:152" ht="12.75">
      <c r="A32" s="78">
        <v>46661</v>
      </c>
      <c r="E32" s="35">
        <f t="shared" si="0"/>
        <v>0</v>
      </c>
      <c r="H32"/>
      <c r="I32" s="71"/>
      <c r="J32" s="71">
        <f t="shared" si="1"/>
        <v>0</v>
      </c>
      <c r="K32" s="71">
        <f t="shared" si="2"/>
        <v>0</v>
      </c>
      <c r="L32" s="71">
        <f t="shared" si="3"/>
        <v>0</v>
      </c>
      <c r="M32" s="71"/>
      <c r="P32" s="33">
        <f t="shared" si="4"/>
        <v>0</v>
      </c>
      <c r="Q32" s="33">
        <f t="shared" si="5"/>
        <v>0</v>
      </c>
      <c r="R32" s="51">
        <f t="shared" si="6"/>
        <v>0</v>
      </c>
      <c r="S32" s="51"/>
      <c r="V32" s="51">
        <f t="shared" si="7"/>
        <v>0</v>
      </c>
      <c r="W32" s="51">
        <f t="shared" si="8"/>
        <v>0</v>
      </c>
      <c r="X32" s="51">
        <f t="shared" si="9"/>
        <v>0</v>
      </c>
      <c r="Y32" s="51"/>
      <c r="AB32" s="51">
        <f t="shared" si="10"/>
        <v>0</v>
      </c>
      <c r="AC32" s="51">
        <f t="shared" si="11"/>
        <v>0</v>
      </c>
      <c r="AD32" s="51">
        <f t="shared" si="12"/>
        <v>0</v>
      </c>
      <c r="AE32" s="51"/>
      <c r="AG32" s="33">
        <f t="shared" si="71"/>
        <v>0</v>
      </c>
      <c r="AH32" s="33">
        <f t="shared" si="72"/>
        <v>0</v>
      </c>
      <c r="AI32" s="33">
        <f t="shared" si="73"/>
        <v>0</v>
      </c>
      <c r="AJ32" s="51">
        <f t="shared" si="74"/>
        <v>0</v>
      </c>
      <c r="AK32" s="51"/>
      <c r="AN32" s="33">
        <f t="shared" si="13"/>
        <v>0</v>
      </c>
      <c r="AO32" s="33">
        <f t="shared" si="14"/>
        <v>0</v>
      </c>
      <c r="AP32" s="51">
        <f t="shared" si="15"/>
        <v>0</v>
      </c>
      <c r="AQ32" s="51"/>
      <c r="AS32" s="51"/>
      <c r="AT32" s="33">
        <f t="shared" si="16"/>
        <v>0</v>
      </c>
      <c r="AU32" s="51">
        <f t="shared" si="17"/>
        <v>0</v>
      </c>
      <c r="AV32" s="51">
        <f t="shared" si="18"/>
        <v>0</v>
      </c>
      <c r="AW32" s="51"/>
      <c r="AY32" s="51"/>
      <c r="AZ32" s="33">
        <f t="shared" si="19"/>
        <v>0</v>
      </c>
      <c r="BA32" s="51">
        <f t="shared" si="20"/>
        <v>0</v>
      </c>
      <c r="BB32" s="51">
        <f t="shared" si="21"/>
        <v>0</v>
      </c>
      <c r="BC32" s="51"/>
      <c r="BF32" s="33">
        <f t="shared" si="22"/>
        <v>0</v>
      </c>
      <c r="BG32" s="33">
        <f t="shared" si="23"/>
        <v>0</v>
      </c>
      <c r="BH32" s="51">
        <f t="shared" si="24"/>
        <v>0</v>
      </c>
      <c r="BI32" s="51"/>
      <c r="BL32" s="33">
        <f t="shared" si="25"/>
        <v>0</v>
      </c>
      <c r="BM32" s="51">
        <f t="shared" si="26"/>
        <v>0</v>
      </c>
      <c r="BN32" s="51">
        <f t="shared" si="27"/>
        <v>0</v>
      </c>
      <c r="BO32" s="51"/>
      <c r="BR32" s="33">
        <f t="shared" si="28"/>
        <v>0</v>
      </c>
      <c r="BS32" s="51">
        <f t="shared" si="29"/>
        <v>0</v>
      </c>
      <c r="BT32" s="51">
        <f t="shared" si="30"/>
        <v>0</v>
      </c>
      <c r="BU32" s="51"/>
      <c r="BW32" s="33">
        <f t="shared" si="81"/>
        <v>0</v>
      </c>
      <c r="BX32" s="33">
        <f t="shared" si="82"/>
        <v>0</v>
      </c>
      <c r="BY32" s="51">
        <f t="shared" si="83"/>
        <v>0</v>
      </c>
      <c r="BZ32" s="33">
        <f t="shared" si="84"/>
        <v>0</v>
      </c>
      <c r="CA32" s="51"/>
      <c r="CC32" s="51"/>
      <c r="CD32" s="51">
        <f t="shared" si="31"/>
        <v>0</v>
      </c>
      <c r="CE32" s="33">
        <f t="shared" si="32"/>
        <v>0</v>
      </c>
      <c r="CF32" s="51">
        <f t="shared" si="33"/>
        <v>0</v>
      </c>
      <c r="CG32" s="51"/>
      <c r="CI32" s="51"/>
      <c r="CJ32" s="51">
        <f t="shared" si="34"/>
        <v>0</v>
      </c>
      <c r="CK32" s="33">
        <f t="shared" si="35"/>
        <v>0</v>
      </c>
      <c r="CL32" s="51">
        <f t="shared" si="36"/>
        <v>0</v>
      </c>
      <c r="CM32" s="51"/>
      <c r="CP32" s="33">
        <f t="shared" si="37"/>
        <v>0</v>
      </c>
      <c r="CQ32" s="51">
        <f t="shared" si="38"/>
        <v>0</v>
      </c>
      <c r="CR32" s="51">
        <f t="shared" si="39"/>
        <v>0</v>
      </c>
      <c r="CS32" s="51"/>
      <c r="CV32" s="33">
        <f t="shared" si="40"/>
        <v>0</v>
      </c>
      <c r="CW32" s="33">
        <f t="shared" si="41"/>
        <v>0</v>
      </c>
      <c r="CX32" s="51">
        <f t="shared" si="42"/>
        <v>0</v>
      </c>
      <c r="CY32" s="51"/>
      <c r="DB32" s="33">
        <f t="shared" si="43"/>
        <v>0</v>
      </c>
      <c r="DC32" s="51">
        <f t="shared" si="44"/>
        <v>0</v>
      </c>
      <c r="DD32" s="51">
        <f t="shared" si="45"/>
        <v>0</v>
      </c>
      <c r="DE32" s="51"/>
      <c r="DH32" s="33">
        <f t="shared" si="46"/>
        <v>0</v>
      </c>
      <c r="DI32" s="51">
        <f t="shared" si="47"/>
        <v>0</v>
      </c>
      <c r="DJ32" s="51">
        <f t="shared" si="48"/>
        <v>0</v>
      </c>
      <c r="DK32" s="51"/>
      <c r="DN32" s="33">
        <f t="shared" si="49"/>
        <v>0</v>
      </c>
      <c r="DO32" s="51">
        <f t="shared" si="50"/>
        <v>0</v>
      </c>
      <c r="DP32" s="51">
        <f t="shared" si="51"/>
        <v>0</v>
      </c>
      <c r="DQ32" s="51"/>
      <c r="DT32" s="51">
        <f t="shared" si="52"/>
        <v>0</v>
      </c>
      <c r="DU32" s="51">
        <f t="shared" si="53"/>
        <v>0</v>
      </c>
      <c r="DV32" s="51">
        <f t="shared" si="54"/>
        <v>0</v>
      </c>
      <c r="DW32" s="51"/>
      <c r="DZ32" s="33">
        <f t="shared" si="55"/>
        <v>0</v>
      </c>
      <c r="EA32" s="51">
        <f t="shared" si="56"/>
        <v>0</v>
      </c>
      <c r="EB32" s="51">
        <f t="shared" si="57"/>
        <v>0</v>
      </c>
      <c r="EC32" s="51"/>
      <c r="EF32" s="33">
        <f t="shared" si="58"/>
        <v>0</v>
      </c>
      <c r="EG32" s="33">
        <f t="shared" si="59"/>
        <v>0</v>
      </c>
      <c r="EH32" s="51">
        <f t="shared" si="60"/>
        <v>0</v>
      </c>
      <c r="EI32" s="51"/>
      <c r="EL32" s="33">
        <f t="shared" si="61"/>
        <v>0</v>
      </c>
      <c r="EM32" s="51">
        <f t="shared" si="62"/>
        <v>0</v>
      </c>
      <c r="EN32" s="51">
        <f t="shared" si="63"/>
        <v>0</v>
      </c>
      <c r="EO32" s="51"/>
      <c r="ER32" s="33">
        <f t="shared" si="64"/>
        <v>0</v>
      </c>
      <c r="ES32" s="51">
        <f t="shared" si="65"/>
        <v>0</v>
      </c>
      <c r="ET32" s="51">
        <f t="shared" si="66"/>
        <v>0</v>
      </c>
      <c r="EU32" s="51"/>
      <c r="EV32"/>
    </row>
    <row r="33" spans="1:152" ht="12.75">
      <c r="A33" s="78">
        <v>46844</v>
      </c>
      <c r="E33" s="35">
        <f t="shared" si="0"/>
        <v>0</v>
      </c>
      <c r="H33"/>
      <c r="I33" s="71">
        <f t="shared" si="67"/>
        <v>0</v>
      </c>
      <c r="J33" s="71">
        <f t="shared" si="1"/>
        <v>0</v>
      </c>
      <c r="K33" s="71">
        <f t="shared" si="2"/>
        <v>0</v>
      </c>
      <c r="L33" s="71">
        <f t="shared" si="3"/>
        <v>0</v>
      </c>
      <c r="M33" s="71"/>
      <c r="O33" s="33">
        <f t="shared" si="68"/>
        <v>0</v>
      </c>
      <c r="P33" s="33">
        <f t="shared" si="4"/>
        <v>0</v>
      </c>
      <c r="Q33" s="33">
        <f t="shared" si="5"/>
        <v>0</v>
      </c>
      <c r="R33" s="51">
        <f t="shared" si="6"/>
        <v>0</v>
      </c>
      <c r="S33" s="51"/>
      <c r="U33" s="33">
        <f t="shared" si="69"/>
        <v>0</v>
      </c>
      <c r="V33" s="51">
        <f t="shared" si="7"/>
        <v>0</v>
      </c>
      <c r="W33" s="51">
        <f t="shared" si="8"/>
        <v>0</v>
      </c>
      <c r="X33" s="51">
        <f t="shared" si="9"/>
        <v>0</v>
      </c>
      <c r="Y33" s="51"/>
      <c r="AA33" s="33">
        <f t="shared" si="70"/>
        <v>0</v>
      </c>
      <c r="AB33" s="51">
        <f t="shared" si="10"/>
        <v>0</v>
      </c>
      <c r="AC33" s="51">
        <f t="shared" si="11"/>
        <v>0</v>
      </c>
      <c r="AD33" s="51">
        <f t="shared" si="12"/>
        <v>0</v>
      </c>
      <c r="AE33" s="51"/>
      <c r="AG33" s="33">
        <f t="shared" si="71"/>
        <v>0</v>
      </c>
      <c r="AH33" s="33">
        <f t="shared" si="72"/>
        <v>0</v>
      </c>
      <c r="AI33" s="33">
        <f t="shared" si="73"/>
        <v>0</v>
      </c>
      <c r="AJ33" s="51">
        <f t="shared" si="74"/>
        <v>0</v>
      </c>
      <c r="AK33" s="51"/>
      <c r="AM33" s="33">
        <f t="shared" si="75"/>
        <v>0</v>
      </c>
      <c r="AN33" s="33">
        <f t="shared" si="13"/>
        <v>0</v>
      </c>
      <c r="AO33" s="33">
        <f t="shared" si="14"/>
        <v>0</v>
      </c>
      <c r="AP33" s="51">
        <f t="shared" si="15"/>
        <v>0</v>
      </c>
      <c r="AQ33" s="51"/>
      <c r="AS33" s="51">
        <f t="shared" si="76"/>
        <v>0</v>
      </c>
      <c r="AT33" s="33">
        <f t="shared" si="16"/>
        <v>0</v>
      </c>
      <c r="AU33" s="51">
        <f t="shared" si="17"/>
        <v>0</v>
      </c>
      <c r="AV33" s="51">
        <f t="shared" si="18"/>
        <v>0</v>
      </c>
      <c r="AW33" s="51"/>
      <c r="AY33" s="51">
        <f t="shared" si="77"/>
        <v>0</v>
      </c>
      <c r="AZ33" s="33">
        <f t="shared" si="19"/>
        <v>0</v>
      </c>
      <c r="BA33" s="51">
        <f t="shared" si="20"/>
        <v>0</v>
      </c>
      <c r="BB33" s="51">
        <f t="shared" si="21"/>
        <v>0</v>
      </c>
      <c r="BC33" s="51"/>
      <c r="BE33" s="33">
        <f t="shared" si="78"/>
        <v>0</v>
      </c>
      <c r="BF33" s="33">
        <f t="shared" si="22"/>
        <v>0</v>
      </c>
      <c r="BG33" s="33">
        <f t="shared" si="23"/>
        <v>0</v>
      </c>
      <c r="BH33" s="51">
        <f t="shared" si="24"/>
        <v>0</v>
      </c>
      <c r="BI33" s="51"/>
      <c r="BK33" s="33">
        <f t="shared" si="79"/>
        <v>0</v>
      </c>
      <c r="BL33" s="33">
        <f t="shared" si="25"/>
        <v>0</v>
      </c>
      <c r="BM33" s="51">
        <f t="shared" si="26"/>
        <v>0</v>
      </c>
      <c r="BN33" s="51">
        <f t="shared" si="27"/>
        <v>0</v>
      </c>
      <c r="BO33" s="51"/>
      <c r="BQ33" s="33">
        <f t="shared" si="80"/>
        <v>0</v>
      </c>
      <c r="BR33" s="33">
        <f t="shared" si="28"/>
        <v>0</v>
      </c>
      <c r="BS33" s="51">
        <f t="shared" si="29"/>
        <v>0</v>
      </c>
      <c r="BT33" s="51">
        <f t="shared" si="30"/>
        <v>0</v>
      </c>
      <c r="BU33" s="51"/>
      <c r="BW33" s="33">
        <f t="shared" si="81"/>
        <v>0</v>
      </c>
      <c r="BX33" s="33">
        <f t="shared" si="82"/>
        <v>0</v>
      </c>
      <c r="BY33" s="51">
        <f t="shared" si="83"/>
        <v>0</v>
      </c>
      <c r="BZ33" s="33">
        <f t="shared" si="84"/>
        <v>0</v>
      </c>
      <c r="CA33" s="51"/>
      <c r="CC33" s="51">
        <f t="shared" si="85"/>
        <v>0</v>
      </c>
      <c r="CD33" s="51">
        <f t="shared" si="31"/>
        <v>0</v>
      </c>
      <c r="CE33" s="33">
        <f t="shared" si="32"/>
        <v>0</v>
      </c>
      <c r="CF33" s="51">
        <f t="shared" si="33"/>
        <v>0</v>
      </c>
      <c r="CG33" s="51"/>
      <c r="CI33" s="51">
        <f t="shared" si="86"/>
        <v>0</v>
      </c>
      <c r="CJ33" s="51">
        <f t="shared" si="34"/>
        <v>0</v>
      </c>
      <c r="CK33" s="33">
        <f t="shared" si="35"/>
        <v>0</v>
      </c>
      <c r="CL33" s="51">
        <f t="shared" si="36"/>
        <v>0</v>
      </c>
      <c r="CM33" s="51"/>
      <c r="CO33" s="33">
        <f t="shared" si="87"/>
        <v>0</v>
      </c>
      <c r="CP33" s="33">
        <f t="shared" si="37"/>
        <v>0</v>
      </c>
      <c r="CQ33" s="51">
        <f t="shared" si="38"/>
        <v>0</v>
      </c>
      <c r="CR33" s="51">
        <f t="shared" si="39"/>
        <v>0</v>
      </c>
      <c r="CS33" s="51"/>
      <c r="CU33" s="33">
        <f t="shared" si="88"/>
        <v>0</v>
      </c>
      <c r="CV33" s="33">
        <f t="shared" si="40"/>
        <v>0</v>
      </c>
      <c r="CW33" s="33">
        <f t="shared" si="41"/>
        <v>0</v>
      </c>
      <c r="CX33" s="51">
        <f t="shared" si="42"/>
        <v>0</v>
      </c>
      <c r="CY33" s="51"/>
      <c r="DA33" s="33">
        <f t="shared" si="89"/>
        <v>0</v>
      </c>
      <c r="DB33" s="33">
        <f t="shared" si="43"/>
        <v>0</v>
      </c>
      <c r="DC33" s="51">
        <f t="shared" si="44"/>
        <v>0</v>
      </c>
      <c r="DD33" s="51">
        <f t="shared" si="45"/>
        <v>0</v>
      </c>
      <c r="DE33" s="51"/>
      <c r="DG33" s="33">
        <f t="shared" si="90"/>
        <v>0</v>
      </c>
      <c r="DH33" s="33">
        <f t="shared" si="46"/>
        <v>0</v>
      </c>
      <c r="DI33" s="51">
        <f t="shared" si="47"/>
        <v>0</v>
      </c>
      <c r="DJ33" s="51">
        <f t="shared" si="48"/>
        <v>0</v>
      </c>
      <c r="DK33" s="51"/>
      <c r="DM33" s="33">
        <f t="shared" si="91"/>
        <v>0</v>
      </c>
      <c r="DN33" s="33">
        <f t="shared" si="49"/>
        <v>0</v>
      </c>
      <c r="DO33" s="51">
        <f t="shared" si="50"/>
        <v>0</v>
      </c>
      <c r="DP33" s="51">
        <f t="shared" si="51"/>
        <v>0</v>
      </c>
      <c r="DQ33" s="51"/>
      <c r="DS33" s="33">
        <f t="shared" si="92"/>
        <v>0</v>
      </c>
      <c r="DT33" s="51">
        <f t="shared" si="52"/>
        <v>0</v>
      </c>
      <c r="DU33" s="51">
        <f t="shared" si="53"/>
        <v>0</v>
      </c>
      <c r="DV33" s="51">
        <f t="shared" si="54"/>
        <v>0</v>
      </c>
      <c r="DW33" s="51"/>
      <c r="DY33" s="33">
        <f t="shared" si="93"/>
        <v>0</v>
      </c>
      <c r="DZ33" s="33">
        <f t="shared" si="55"/>
        <v>0</v>
      </c>
      <c r="EA33" s="51">
        <f t="shared" si="56"/>
        <v>0</v>
      </c>
      <c r="EB33" s="51">
        <f t="shared" si="57"/>
        <v>0</v>
      </c>
      <c r="EC33" s="51"/>
      <c r="EE33" s="33">
        <f t="shared" si="94"/>
        <v>0</v>
      </c>
      <c r="EF33" s="33">
        <f t="shared" si="58"/>
        <v>0</v>
      </c>
      <c r="EG33" s="33">
        <f t="shared" si="59"/>
        <v>0</v>
      </c>
      <c r="EH33" s="51">
        <f t="shared" si="60"/>
        <v>0</v>
      </c>
      <c r="EI33" s="51"/>
      <c r="EK33" s="33">
        <f t="shared" si="95"/>
        <v>0</v>
      </c>
      <c r="EL33" s="33">
        <f t="shared" si="61"/>
        <v>0</v>
      </c>
      <c r="EM33" s="51">
        <f t="shared" si="62"/>
        <v>0</v>
      </c>
      <c r="EN33" s="51">
        <f t="shared" si="63"/>
        <v>0</v>
      </c>
      <c r="EO33" s="51"/>
      <c r="EQ33" s="33">
        <f t="shared" si="96"/>
        <v>0</v>
      </c>
      <c r="ER33" s="33">
        <f t="shared" si="64"/>
        <v>0</v>
      </c>
      <c r="ES33" s="51">
        <f t="shared" si="65"/>
        <v>0</v>
      </c>
      <c r="ET33" s="51">
        <f t="shared" si="66"/>
        <v>0</v>
      </c>
      <c r="EU33" s="51"/>
      <c r="EV33"/>
    </row>
    <row r="34" spans="1:152" ht="12.75">
      <c r="A34" s="78">
        <v>47027</v>
      </c>
      <c r="E34" s="35">
        <f t="shared" si="0"/>
        <v>0</v>
      </c>
      <c r="H34"/>
      <c r="I34" s="71"/>
      <c r="J34" s="71">
        <f t="shared" si="1"/>
        <v>0</v>
      </c>
      <c r="K34" s="71">
        <f t="shared" si="2"/>
        <v>0</v>
      </c>
      <c r="L34" s="71">
        <f t="shared" si="3"/>
        <v>0</v>
      </c>
      <c r="M34" s="71"/>
      <c r="N34"/>
      <c r="P34" s="33">
        <f t="shared" si="4"/>
        <v>0</v>
      </c>
      <c r="Q34" s="33">
        <f t="shared" si="5"/>
        <v>0</v>
      </c>
      <c r="R34" s="51">
        <f t="shared" si="6"/>
        <v>0</v>
      </c>
      <c r="S34" s="51"/>
      <c r="T34"/>
      <c r="V34" s="51">
        <f t="shared" si="7"/>
        <v>0</v>
      </c>
      <c r="W34" s="51">
        <f t="shared" si="8"/>
        <v>0</v>
      </c>
      <c r="X34" s="51">
        <f t="shared" si="9"/>
        <v>0</v>
      </c>
      <c r="Y34" s="51"/>
      <c r="Z34"/>
      <c r="AB34" s="51">
        <f t="shared" si="10"/>
        <v>0</v>
      </c>
      <c r="AC34" s="51">
        <f t="shared" si="11"/>
        <v>0</v>
      </c>
      <c r="AD34" s="51">
        <f t="shared" si="12"/>
        <v>0</v>
      </c>
      <c r="AE34" s="51"/>
      <c r="AF34"/>
      <c r="AG34" s="33">
        <f t="shared" si="71"/>
        <v>0</v>
      </c>
      <c r="AH34" s="33">
        <f t="shared" si="72"/>
        <v>0</v>
      </c>
      <c r="AI34" s="33">
        <f t="shared" si="73"/>
        <v>0</v>
      </c>
      <c r="AJ34" s="51">
        <f t="shared" si="74"/>
        <v>0</v>
      </c>
      <c r="AK34" s="51"/>
      <c r="AN34" s="33">
        <f t="shared" si="13"/>
        <v>0</v>
      </c>
      <c r="AO34" s="33">
        <f t="shared" si="14"/>
        <v>0</v>
      </c>
      <c r="AP34" s="51">
        <f t="shared" si="15"/>
        <v>0</v>
      </c>
      <c r="AQ34" s="51"/>
      <c r="AR34"/>
      <c r="AS34" s="51"/>
      <c r="AT34" s="33">
        <f t="shared" si="16"/>
        <v>0</v>
      </c>
      <c r="AU34" s="51">
        <f t="shared" si="17"/>
        <v>0</v>
      </c>
      <c r="AV34" s="51">
        <f t="shared" si="18"/>
        <v>0</v>
      </c>
      <c r="AW34" s="51"/>
      <c r="AX34"/>
      <c r="AY34" s="51"/>
      <c r="AZ34" s="33">
        <f t="shared" si="19"/>
        <v>0</v>
      </c>
      <c r="BA34" s="51">
        <f t="shared" si="20"/>
        <v>0</v>
      </c>
      <c r="BB34" s="51">
        <f t="shared" si="21"/>
        <v>0</v>
      </c>
      <c r="BC34" s="51"/>
      <c r="BD34"/>
      <c r="BF34" s="33">
        <f t="shared" si="22"/>
        <v>0</v>
      </c>
      <c r="BG34" s="33">
        <f t="shared" si="23"/>
        <v>0</v>
      </c>
      <c r="BH34" s="51">
        <f t="shared" si="24"/>
        <v>0</v>
      </c>
      <c r="BI34" s="51"/>
      <c r="BJ34"/>
      <c r="BL34" s="33">
        <f t="shared" si="25"/>
        <v>0</v>
      </c>
      <c r="BM34" s="51">
        <f t="shared" si="26"/>
        <v>0</v>
      </c>
      <c r="BN34" s="51">
        <f t="shared" si="27"/>
        <v>0</v>
      </c>
      <c r="BO34" s="51"/>
      <c r="BR34" s="33">
        <f t="shared" si="28"/>
        <v>0</v>
      </c>
      <c r="BS34" s="51">
        <f t="shared" si="29"/>
        <v>0</v>
      </c>
      <c r="BT34" s="51">
        <f t="shared" si="30"/>
        <v>0</v>
      </c>
      <c r="BU34" s="51"/>
      <c r="BW34" s="33">
        <f t="shared" si="81"/>
        <v>0</v>
      </c>
      <c r="BX34" s="33">
        <f t="shared" si="82"/>
        <v>0</v>
      </c>
      <c r="BY34" s="51">
        <f t="shared" si="83"/>
        <v>0</v>
      </c>
      <c r="BZ34" s="33">
        <f t="shared" si="84"/>
        <v>0</v>
      </c>
      <c r="CA34" s="51"/>
      <c r="CC34" s="51"/>
      <c r="CD34" s="51">
        <f t="shared" si="31"/>
        <v>0</v>
      </c>
      <c r="CE34" s="33">
        <f t="shared" si="32"/>
        <v>0</v>
      </c>
      <c r="CF34" s="51">
        <f t="shared" si="33"/>
        <v>0</v>
      </c>
      <c r="CG34" s="51"/>
      <c r="CI34" s="51"/>
      <c r="CJ34" s="51">
        <f t="shared" si="34"/>
        <v>0</v>
      </c>
      <c r="CK34" s="33">
        <f t="shared" si="35"/>
        <v>0</v>
      </c>
      <c r="CL34" s="51">
        <f t="shared" si="36"/>
        <v>0</v>
      </c>
      <c r="CM34" s="51"/>
      <c r="CP34" s="33">
        <f t="shared" si="37"/>
        <v>0</v>
      </c>
      <c r="CQ34" s="51">
        <f t="shared" si="38"/>
        <v>0</v>
      </c>
      <c r="CR34" s="51">
        <f t="shared" si="39"/>
        <v>0</v>
      </c>
      <c r="CS34" s="51"/>
      <c r="CV34" s="33">
        <f t="shared" si="40"/>
        <v>0</v>
      </c>
      <c r="CW34" s="33">
        <f t="shared" si="41"/>
        <v>0</v>
      </c>
      <c r="CX34" s="51">
        <f t="shared" si="42"/>
        <v>0</v>
      </c>
      <c r="CY34" s="51"/>
      <c r="DB34" s="33">
        <f t="shared" si="43"/>
        <v>0</v>
      </c>
      <c r="DC34" s="51">
        <f t="shared" si="44"/>
        <v>0</v>
      </c>
      <c r="DD34" s="51">
        <f t="shared" si="45"/>
        <v>0</v>
      </c>
      <c r="DE34" s="51"/>
      <c r="DH34" s="33">
        <f t="shared" si="46"/>
        <v>0</v>
      </c>
      <c r="DI34" s="51">
        <f t="shared" si="47"/>
        <v>0</v>
      </c>
      <c r="DJ34" s="51">
        <f t="shared" si="48"/>
        <v>0</v>
      </c>
      <c r="DK34" s="51"/>
      <c r="DN34" s="33">
        <f t="shared" si="49"/>
        <v>0</v>
      </c>
      <c r="DO34" s="51">
        <f t="shared" si="50"/>
        <v>0</v>
      </c>
      <c r="DP34" s="51">
        <f t="shared" si="51"/>
        <v>0</v>
      </c>
      <c r="DQ34" s="51"/>
      <c r="DT34" s="51">
        <f t="shared" si="52"/>
        <v>0</v>
      </c>
      <c r="DU34" s="51">
        <f t="shared" si="53"/>
        <v>0</v>
      </c>
      <c r="DV34" s="51">
        <f t="shared" si="54"/>
        <v>0</v>
      </c>
      <c r="DW34" s="51"/>
      <c r="DZ34" s="33">
        <f t="shared" si="55"/>
        <v>0</v>
      </c>
      <c r="EA34" s="51">
        <f t="shared" si="56"/>
        <v>0</v>
      </c>
      <c r="EB34" s="51">
        <f t="shared" si="57"/>
        <v>0</v>
      </c>
      <c r="EC34" s="51"/>
      <c r="EF34" s="33">
        <f t="shared" si="58"/>
        <v>0</v>
      </c>
      <c r="EG34" s="33">
        <f t="shared" si="59"/>
        <v>0</v>
      </c>
      <c r="EH34" s="51">
        <f t="shared" si="60"/>
        <v>0</v>
      </c>
      <c r="EI34" s="51"/>
      <c r="EL34" s="33">
        <f t="shared" si="61"/>
        <v>0</v>
      </c>
      <c r="EM34" s="51">
        <f t="shared" si="62"/>
        <v>0</v>
      </c>
      <c r="EN34" s="51">
        <f t="shared" si="63"/>
        <v>0</v>
      </c>
      <c r="EO34" s="51"/>
      <c r="ER34" s="33">
        <f t="shared" si="64"/>
        <v>0</v>
      </c>
      <c r="ES34" s="51">
        <f t="shared" si="65"/>
        <v>0</v>
      </c>
      <c r="ET34" s="51">
        <f t="shared" si="66"/>
        <v>0</v>
      </c>
      <c r="EU34" s="51"/>
      <c r="EV34"/>
    </row>
    <row r="35" spans="1:152" ht="12.75">
      <c r="A35" s="78">
        <v>47209</v>
      </c>
      <c r="E35" s="35">
        <f t="shared" si="0"/>
        <v>0</v>
      </c>
      <c r="H35"/>
      <c r="I35" s="71">
        <f t="shared" si="67"/>
        <v>0</v>
      </c>
      <c r="J35" s="71">
        <f t="shared" si="1"/>
        <v>0</v>
      </c>
      <c r="K35" s="71">
        <f t="shared" si="2"/>
        <v>0</v>
      </c>
      <c r="L35" s="71">
        <f t="shared" si="3"/>
        <v>0</v>
      </c>
      <c r="M35" s="71"/>
      <c r="N35"/>
      <c r="O35" s="33">
        <f t="shared" si="68"/>
        <v>0</v>
      </c>
      <c r="P35" s="33">
        <f t="shared" si="4"/>
        <v>0</v>
      </c>
      <c r="Q35" s="33">
        <f t="shared" si="5"/>
        <v>0</v>
      </c>
      <c r="R35" s="51">
        <f t="shared" si="6"/>
        <v>0</v>
      </c>
      <c r="S35" s="51"/>
      <c r="T35"/>
      <c r="U35" s="33">
        <f t="shared" si="69"/>
        <v>0</v>
      </c>
      <c r="V35" s="51">
        <f t="shared" si="7"/>
        <v>0</v>
      </c>
      <c r="W35" s="51">
        <f t="shared" si="8"/>
        <v>0</v>
      </c>
      <c r="X35" s="51">
        <f t="shared" si="9"/>
        <v>0</v>
      </c>
      <c r="Y35" s="51"/>
      <c r="Z35"/>
      <c r="AA35" s="33">
        <f t="shared" si="70"/>
        <v>0</v>
      </c>
      <c r="AB35" s="51">
        <f t="shared" si="10"/>
        <v>0</v>
      </c>
      <c r="AC35" s="51">
        <f t="shared" si="11"/>
        <v>0</v>
      </c>
      <c r="AD35" s="51">
        <f t="shared" si="12"/>
        <v>0</v>
      </c>
      <c r="AE35" s="51"/>
      <c r="AF35"/>
      <c r="AG35" s="33">
        <f t="shared" si="71"/>
        <v>0</v>
      </c>
      <c r="AH35" s="33">
        <f t="shared" si="72"/>
        <v>0</v>
      </c>
      <c r="AI35" s="33">
        <f t="shared" si="73"/>
        <v>0</v>
      </c>
      <c r="AJ35" s="51">
        <f t="shared" si="74"/>
        <v>0</v>
      </c>
      <c r="AK35" s="51"/>
      <c r="AM35" s="33">
        <f t="shared" si="75"/>
        <v>0</v>
      </c>
      <c r="AN35" s="33">
        <f t="shared" si="13"/>
        <v>0</v>
      </c>
      <c r="AO35" s="33">
        <f t="shared" si="14"/>
        <v>0</v>
      </c>
      <c r="AP35" s="51">
        <f t="shared" si="15"/>
        <v>0</v>
      </c>
      <c r="AQ35" s="51"/>
      <c r="AR35"/>
      <c r="AS35" s="51">
        <f t="shared" si="76"/>
        <v>0</v>
      </c>
      <c r="AT35" s="33">
        <f t="shared" si="16"/>
        <v>0</v>
      </c>
      <c r="AU35" s="51">
        <f t="shared" si="17"/>
        <v>0</v>
      </c>
      <c r="AV35" s="51">
        <f t="shared" si="18"/>
        <v>0</v>
      </c>
      <c r="AW35" s="51"/>
      <c r="AX35"/>
      <c r="AY35" s="51">
        <f t="shared" si="77"/>
        <v>0</v>
      </c>
      <c r="AZ35" s="33">
        <f t="shared" si="19"/>
        <v>0</v>
      </c>
      <c r="BA35" s="51">
        <f t="shared" si="20"/>
        <v>0</v>
      </c>
      <c r="BB35" s="51">
        <f t="shared" si="21"/>
        <v>0</v>
      </c>
      <c r="BC35" s="51"/>
      <c r="BD35"/>
      <c r="BE35" s="33">
        <f t="shared" si="78"/>
        <v>0</v>
      </c>
      <c r="BF35" s="33">
        <f t="shared" si="22"/>
        <v>0</v>
      </c>
      <c r="BG35" s="33">
        <f t="shared" si="23"/>
        <v>0</v>
      </c>
      <c r="BH35" s="51">
        <f t="shared" si="24"/>
        <v>0</v>
      </c>
      <c r="BI35" s="51"/>
      <c r="BJ35"/>
      <c r="BK35" s="33">
        <f t="shared" si="79"/>
        <v>0</v>
      </c>
      <c r="BL35" s="33">
        <f t="shared" si="25"/>
        <v>0</v>
      </c>
      <c r="BM35" s="51">
        <f t="shared" si="26"/>
        <v>0</v>
      </c>
      <c r="BN35" s="51">
        <f t="shared" si="27"/>
        <v>0</v>
      </c>
      <c r="BO35" s="51"/>
      <c r="BQ35" s="33">
        <f t="shared" si="80"/>
        <v>0</v>
      </c>
      <c r="BR35" s="33">
        <f t="shared" si="28"/>
        <v>0</v>
      </c>
      <c r="BS35" s="51">
        <f t="shared" si="29"/>
        <v>0</v>
      </c>
      <c r="BT35" s="51">
        <f t="shared" si="30"/>
        <v>0</v>
      </c>
      <c r="BU35" s="51"/>
      <c r="BW35" s="33">
        <f t="shared" si="81"/>
        <v>0</v>
      </c>
      <c r="BX35" s="33">
        <f t="shared" si="82"/>
        <v>0</v>
      </c>
      <c r="BY35" s="51">
        <f t="shared" si="83"/>
        <v>0</v>
      </c>
      <c r="BZ35" s="33">
        <f t="shared" si="84"/>
        <v>0</v>
      </c>
      <c r="CA35" s="51"/>
      <c r="CC35" s="51">
        <f t="shared" si="85"/>
        <v>0</v>
      </c>
      <c r="CD35" s="51">
        <f t="shared" si="31"/>
        <v>0</v>
      </c>
      <c r="CE35" s="33">
        <f t="shared" si="32"/>
        <v>0</v>
      </c>
      <c r="CF35" s="51">
        <f t="shared" si="33"/>
        <v>0</v>
      </c>
      <c r="CG35" s="51"/>
      <c r="CI35" s="51">
        <f t="shared" si="86"/>
        <v>0</v>
      </c>
      <c r="CJ35" s="51">
        <f t="shared" si="34"/>
        <v>0</v>
      </c>
      <c r="CK35" s="33">
        <f t="shared" si="35"/>
        <v>0</v>
      </c>
      <c r="CL35" s="51">
        <f t="shared" si="36"/>
        <v>0</v>
      </c>
      <c r="CM35" s="51"/>
      <c r="CO35" s="33">
        <f t="shared" si="87"/>
        <v>0</v>
      </c>
      <c r="CP35" s="33">
        <f t="shared" si="37"/>
        <v>0</v>
      </c>
      <c r="CQ35" s="51">
        <f t="shared" si="38"/>
        <v>0</v>
      </c>
      <c r="CR35" s="51">
        <f t="shared" si="39"/>
        <v>0</v>
      </c>
      <c r="CS35" s="51"/>
      <c r="CU35" s="33">
        <f t="shared" si="88"/>
        <v>0</v>
      </c>
      <c r="CV35" s="33">
        <f t="shared" si="40"/>
        <v>0</v>
      </c>
      <c r="CW35" s="33">
        <f t="shared" si="41"/>
        <v>0</v>
      </c>
      <c r="CX35" s="51">
        <f t="shared" si="42"/>
        <v>0</v>
      </c>
      <c r="CY35" s="51"/>
      <c r="DA35" s="33">
        <f t="shared" si="89"/>
        <v>0</v>
      </c>
      <c r="DB35" s="33">
        <f t="shared" si="43"/>
        <v>0</v>
      </c>
      <c r="DC35" s="51">
        <f t="shared" si="44"/>
        <v>0</v>
      </c>
      <c r="DD35" s="51">
        <f t="shared" si="45"/>
        <v>0</v>
      </c>
      <c r="DE35" s="51"/>
      <c r="DG35" s="33">
        <f t="shared" si="90"/>
        <v>0</v>
      </c>
      <c r="DH35" s="33">
        <f t="shared" si="46"/>
        <v>0</v>
      </c>
      <c r="DI35" s="51">
        <f t="shared" si="47"/>
        <v>0</v>
      </c>
      <c r="DJ35" s="51">
        <f t="shared" si="48"/>
        <v>0</v>
      </c>
      <c r="DK35" s="51"/>
      <c r="DM35" s="33">
        <f t="shared" si="91"/>
        <v>0</v>
      </c>
      <c r="DN35" s="33">
        <f t="shared" si="49"/>
        <v>0</v>
      </c>
      <c r="DO35" s="51">
        <f t="shared" si="50"/>
        <v>0</v>
      </c>
      <c r="DP35" s="51">
        <f t="shared" si="51"/>
        <v>0</v>
      </c>
      <c r="DQ35" s="51"/>
      <c r="DS35" s="33">
        <f t="shared" si="92"/>
        <v>0</v>
      </c>
      <c r="DT35" s="51">
        <f t="shared" si="52"/>
        <v>0</v>
      </c>
      <c r="DU35" s="51">
        <f t="shared" si="53"/>
        <v>0</v>
      </c>
      <c r="DV35" s="51">
        <f t="shared" si="54"/>
        <v>0</v>
      </c>
      <c r="DW35" s="51"/>
      <c r="DY35" s="33">
        <f t="shared" si="93"/>
        <v>0</v>
      </c>
      <c r="DZ35" s="33">
        <f t="shared" si="55"/>
        <v>0</v>
      </c>
      <c r="EA35" s="51">
        <f t="shared" si="56"/>
        <v>0</v>
      </c>
      <c r="EB35" s="51">
        <f t="shared" si="57"/>
        <v>0</v>
      </c>
      <c r="EC35" s="51"/>
      <c r="EE35" s="33">
        <f t="shared" si="94"/>
        <v>0</v>
      </c>
      <c r="EF35" s="33">
        <f t="shared" si="58"/>
        <v>0</v>
      </c>
      <c r="EG35" s="33">
        <f t="shared" si="59"/>
        <v>0</v>
      </c>
      <c r="EH35" s="51">
        <f t="shared" si="60"/>
        <v>0</v>
      </c>
      <c r="EI35" s="51"/>
      <c r="EK35" s="33">
        <f t="shared" si="95"/>
        <v>0</v>
      </c>
      <c r="EL35" s="33">
        <f t="shared" si="61"/>
        <v>0</v>
      </c>
      <c r="EM35" s="51">
        <f t="shared" si="62"/>
        <v>0</v>
      </c>
      <c r="EN35" s="51">
        <f t="shared" si="63"/>
        <v>0</v>
      </c>
      <c r="EO35" s="51"/>
      <c r="EQ35" s="33">
        <f t="shared" si="96"/>
        <v>0</v>
      </c>
      <c r="ER35" s="33">
        <f t="shared" si="64"/>
        <v>0</v>
      </c>
      <c r="ES35" s="51">
        <f t="shared" si="65"/>
        <v>0</v>
      </c>
      <c r="ET35" s="51">
        <f t="shared" si="66"/>
        <v>0</v>
      </c>
      <c r="EU35" s="51"/>
      <c r="EV35"/>
    </row>
    <row r="36" spans="3:152" ht="12.75">
      <c r="C36" s="41"/>
      <c r="D36" s="41"/>
      <c r="E36" s="41"/>
      <c r="F36" s="41"/>
      <c r="G36" s="41"/>
      <c r="H36"/>
      <c r="I36"/>
      <c r="J36"/>
      <c r="K36"/>
      <c r="L36"/>
      <c r="M36" s="41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N36"/>
      <c r="BO36"/>
      <c r="BT36"/>
      <c r="BU36"/>
      <c r="CA36"/>
      <c r="CF36"/>
      <c r="CG36"/>
      <c r="CL36"/>
      <c r="CM36"/>
      <c r="CR36"/>
      <c r="CS36"/>
      <c r="CX36"/>
      <c r="CY36"/>
      <c r="DD36"/>
      <c r="DE36"/>
      <c r="DJ36"/>
      <c r="DK36"/>
      <c r="DP36"/>
      <c r="DQ36"/>
      <c r="DV36"/>
      <c r="DW36"/>
      <c r="EB36"/>
      <c r="EC36"/>
      <c r="EH36"/>
      <c r="EI36"/>
      <c r="EN36"/>
      <c r="EO36"/>
      <c r="ET36"/>
      <c r="EU36"/>
      <c r="EV36"/>
    </row>
    <row r="37" spans="1:152" ht="13.5" thickBot="1">
      <c r="A37" s="31" t="s">
        <v>4</v>
      </c>
      <c r="C37" s="50">
        <f>SUM(C8:C36)</f>
        <v>10090000</v>
      </c>
      <c r="D37" s="50">
        <f>SUM(D8:D36)</f>
        <v>2329887</v>
      </c>
      <c r="E37" s="50">
        <f>SUM(E8:E36)</f>
        <v>12419887</v>
      </c>
      <c r="F37" s="50">
        <f>SUM(F8:F36)</f>
        <v>2010219</v>
      </c>
      <c r="G37" s="50">
        <f>SUM(G8:G36)</f>
        <v>1083852</v>
      </c>
      <c r="H37"/>
      <c r="I37" s="50">
        <f>SUM(I8:I36)</f>
        <v>3244474.8149999995</v>
      </c>
      <c r="J37" s="50">
        <f>SUM(J8:J36)</f>
        <v>749183.3194545</v>
      </c>
      <c r="K37" s="50">
        <f>SUM(K8:K36)</f>
        <v>3993658.1344545</v>
      </c>
      <c r="L37" s="50">
        <f>SUM(L8:L36)</f>
        <v>646392.9552165002</v>
      </c>
      <c r="M37" s="50">
        <f>SUM(M8:M36)</f>
        <v>348516.40408199996</v>
      </c>
      <c r="O37" s="50">
        <f>SUM(O8:O36)</f>
        <v>445887.19000000006</v>
      </c>
      <c r="P37" s="50">
        <f>SUM(P8:P36)</f>
        <v>102960.03641700001</v>
      </c>
      <c r="Q37" s="50">
        <f>SUM(Q8:Q36)</f>
        <v>548847.2264169999</v>
      </c>
      <c r="R37" s="50">
        <f>SUM(R8:R36)</f>
        <v>88833.58782899998</v>
      </c>
      <c r="S37" s="50">
        <f>SUM(S8:S36)</f>
        <v>47896.50373200001</v>
      </c>
      <c r="T37"/>
      <c r="U37" s="50">
        <f>SUM(U8:U36)</f>
        <v>454958.1</v>
      </c>
      <c r="V37" s="50">
        <f>SUM(V8:V36)</f>
        <v>105054.60483000001</v>
      </c>
      <c r="W37" s="50">
        <f>SUM(W8:W36)</f>
        <v>560012.70483</v>
      </c>
      <c r="X37" s="50">
        <f>SUM(X8:X36)</f>
        <v>90640.77471</v>
      </c>
      <c r="Y37" s="50">
        <f>SUM(Y8:Y36)</f>
        <v>48870.886679999996</v>
      </c>
      <c r="Z37"/>
      <c r="AA37" s="50">
        <f>SUM(AA8:AA36)</f>
        <v>15212.693</v>
      </c>
      <c r="AB37" s="50">
        <f>SUM(AB8:AB36)</f>
        <v>3512.770629899999</v>
      </c>
      <c r="AC37" s="50">
        <f>SUM(AC8:AC36)</f>
        <v>18725.4636299</v>
      </c>
      <c r="AD37" s="50">
        <f>SUM(AD8:AD36)</f>
        <v>3030.8071862999996</v>
      </c>
      <c r="AE37" s="50">
        <f>SUM(AE8:AE36)</f>
        <v>1634.1236603999998</v>
      </c>
      <c r="AF37"/>
      <c r="AG37" s="50">
        <f>SUM(AG8:AG36)</f>
        <v>5650.4</v>
      </c>
      <c r="AH37" s="50">
        <f>SUM(AH8:AH36)</f>
        <v>1304.7367199999999</v>
      </c>
      <c r="AI37" s="50">
        <f>SUM(AI8:AI36)</f>
        <v>6955.136719999999</v>
      </c>
      <c r="AJ37" s="50">
        <f>SUM(AJ8:AJ36)</f>
        <v>1125.7226399999997</v>
      </c>
      <c r="AK37" s="50">
        <f>SUM(AK8:AK36)</f>
        <v>606.9571199999998</v>
      </c>
      <c r="AL37" s="50"/>
      <c r="AM37" s="50">
        <f>SUM(AM8:AM36)</f>
        <v>85634.83899999999</v>
      </c>
      <c r="AN37" s="50">
        <f>SUM(AN8:AN36)</f>
        <v>19773.983957699995</v>
      </c>
      <c r="AO37" s="50">
        <f>SUM(AO8:AO36)</f>
        <v>105408.82295769997</v>
      </c>
      <c r="AP37" s="50">
        <f>SUM(AP8:AP36)</f>
        <v>17060.929674899995</v>
      </c>
      <c r="AQ37" s="50">
        <f>SUM(AQ8:AQ36)</f>
        <v>9198.760309199999</v>
      </c>
      <c r="AR37"/>
      <c r="AS37" s="50">
        <f>SUM(AS8:AS36)</f>
        <v>21728.815000000002</v>
      </c>
      <c r="AT37" s="50">
        <f>SUM(AT8:AT36)</f>
        <v>5017.4116545</v>
      </c>
      <c r="AU37" s="50">
        <f>SUM(AU8:AU36)</f>
        <v>26746.226654500002</v>
      </c>
      <c r="AV37" s="50">
        <f>SUM(AV8:AV36)</f>
        <v>4329.0066165</v>
      </c>
      <c r="AW37" s="50">
        <f>SUM(AW8:AW36)</f>
        <v>2334.075282</v>
      </c>
      <c r="AX37"/>
      <c r="AY37" s="50">
        <f>SUM(AY8:AY36)</f>
        <v>23255.432</v>
      </c>
      <c r="AZ37" s="50">
        <f>SUM(AZ8:AZ36)</f>
        <v>5369.923557599999</v>
      </c>
      <c r="BA37" s="50">
        <f>SUM(BA8:BA36)</f>
        <v>28625.3555576</v>
      </c>
      <c r="BB37" s="50">
        <f>SUM(BB8:BB36)</f>
        <v>4633.152751199999</v>
      </c>
      <c r="BC37" s="50">
        <f>SUM(BC8:BC36)</f>
        <v>2498.0620896</v>
      </c>
      <c r="BD37"/>
      <c r="BE37" s="50">
        <f>SUM(BE8:BE36)</f>
        <v>23571.248999999996</v>
      </c>
      <c r="BF37" s="50">
        <f>SUM(BF8:BF36)</f>
        <v>5442.8490207</v>
      </c>
      <c r="BG37" s="50">
        <f>SUM(BG8:BG36)</f>
        <v>29014.098020699996</v>
      </c>
      <c r="BH37" s="50">
        <f>SUM(BH8:BH36)</f>
        <v>4696.072605899999</v>
      </c>
      <c r="BI37" s="50">
        <f>SUM(BI8:BI36)</f>
        <v>2531.9866571999996</v>
      </c>
      <c r="BJ37"/>
      <c r="BK37" s="50">
        <f>SUM(BK8:BK36)</f>
        <v>4684.787</v>
      </c>
      <c r="BL37" s="50">
        <f>SUM(BL8:BL36)</f>
        <v>1081.7665341</v>
      </c>
      <c r="BM37" s="50">
        <f>SUM(BM8:BM36)</f>
        <v>5766.5535340999995</v>
      </c>
      <c r="BN37" s="50">
        <f>SUM(BN8:BN36)</f>
        <v>933.3446817000001</v>
      </c>
      <c r="BO37" s="50">
        <f>SUM(BO8:BO36)</f>
        <v>503.2324836</v>
      </c>
      <c r="BQ37" s="50">
        <f>SUM(BQ8:BQ36)</f>
        <v>38020.129</v>
      </c>
      <c r="BR37" s="50">
        <f>SUM(BR8:BR36)</f>
        <v>8779.2472047</v>
      </c>
      <c r="BS37" s="50">
        <f>SUM(BS8:BS36)</f>
        <v>46799.3762047</v>
      </c>
      <c r="BT37" s="50">
        <f>SUM(BT8:BT36)</f>
        <v>7574.706213899999</v>
      </c>
      <c r="BU37" s="50">
        <f>SUM(BU8:BU36)</f>
        <v>4084.0627212</v>
      </c>
      <c r="BW37" s="50">
        <f>SUM(BW8:BW36)</f>
        <v>1158.3320000000008</v>
      </c>
      <c r="BX37" s="50">
        <f>SUM(BX8:BX36)</f>
        <v>267.4710276000002</v>
      </c>
      <c r="BY37" s="50">
        <f>SUM(BY8:BY36)</f>
        <v>1425.8030276000009</v>
      </c>
      <c r="BZ37" s="50">
        <f>SUM(BZ8:BZ36)</f>
        <v>230.7731412000001</v>
      </c>
      <c r="CA37" s="50">
        <f>SUM(CA8:CA36)</f>
        <v>124.42620960000006</v>
      </c>
      <c r="CC37" s="50">
        <f>SUM(CC8:CC36)</f>
        <v>33303.054000000004</v>
      </c>
      <c r="CD37" s="50">
        <f>SUM(CD8:CD36)</f>
        <v>7690.025032200002</v>
      </c>
      <c r="CE37" s="50">
        <f>SUM(CE8:CE36)</f>
        <v>40993.0790322</v>
      </c>
      <c r="CF37" s="50">
        <f>SUM(CF8:CF36)</f>
        <v>6634.9288314000005</v>
      </c>
      <c r="CG37" s="50">
        <f>SUM(CG8:CG36)</f>
        <v>3577.3619111999997</v>
      </c>
      <c r="CI37" s="50">
        <f>SUM(CI8:CI36)</f>
        <v>20963.993000000002</v>
      </c>
      <c r="CJ37" s="50">
        <f>SUM(CJ8:CJ36)</f>
        <v>4840.8062199000005</v>
      </c>
      <c r="CK37" s="50">
        <f>SUM(CK8:CK36)</f>
        <v>25804.7992199</v>
      </c>
      <c r="CL37" s="50">
        <f>SUM(CL8:CL36)</f>
        <v>4176.632016299999</v>
      </c>
      <c r="CM37" s="50">
        <f>SUM(CM8:CM36)</f>
        <v>2251.9193004</v>
      </c>
      <c r="CO37" s="50">
        <f>SUM(CO8:CO36)</f>
        <v>802923.858</v>
      </c>
      <c r="CP37" s="50">
        <f>SUM(CP8:CP36)</f>
        <v>185403.55388939998</v>
      </c>
      <c r="CQ37" s="50">
        <f>SUM(CQ8:CQ36)</f>
        <v>988327.4118894001</v>
      </c>
      <c r="CR37" s="50">
        <f>SUM(CR8:CR36)</f>
        <v>159965.58918780007</v>
      </c>
      <c r="CS37" s="50">
        <f>SUM(CS8:CS36)</f>
        <v>86248.8235224</v>
      </c>
      <c r="CU37" s="50">
        <f>SUM(CU8:CU36)</f>
        <v>9163.738</v>
      </c>
      <c r="CV37" s="50">
        <f>SUM(CV8:CV36)</f>
        <v>2116.0033734</v>
      </c>
      <c r="CW37" s="50">
        <f>SUM(CW8:CW36)</f>
        <v>11279.7413734</v>
      </c>
      <c r="CX37" s="50">
        <f>SUM(CX8:CX36)</f>
        <v>1825.6808957999995</v>
      </c>
      <c r="CY37" s="50">
        <f>SUM(CY8:CY36)</f>
        <v>984.3543863999997</v>
      </c>
      <c r="DA37" s="50">
        <f>SUM(DA8:DA36)</f>
        <v>1119420.924</v>
      </c>
      <c r="DB37" s="50">
        <f>SUM(DB8:DB36)</f>
        <v>258486.05137319997</v>
      </c>
      <c r="DC37" s="50">
        <f>SUM(DC8:DC36)</f>
        <v>1377906.9753732</v>
      </c>
      <c r="DD37" s="50">
        <f>SUM(DD8:DD36)</f>
        <v>223020.93264839996</v>
      </c>
      <c r="DE37" s="50">
        <f>SUM(DE8:DE36)</f>
        <v>120246.44274720001</v>
      </c>
      <c r="DG37" s="50">
        <f>SUM(DG8:DG36)</f>
        <v>10796.3</v>
      </c>
      <c r="DH37" s="50">
        <f>SUM(DH8:DH36)</f>
        <v>2492.97909</v>
      </c>
      <c r="DI37" s="50">
        <f>SUM(DI8:DI36)</f>
        <v>13289.27909</v>
      </c>
      <c r="DJ37" s="50">
        <f>SUM(DJ8:DJ36)</f>
        <v>2150.9343299999996</v>
      </c>
      <c r="DK37" s="50">
        <f>SUM(DK8:DK36)</f>
        <v>1159.72164</v>
      </c>
      <c r="DM37" s="50">
        <f>SUM(DM8:DM36)</f>
        <v>7467.609</v>
      </c>
      <c r="DN37" s="50">
        <f>SUM(DN8:DN36)</f>
        <v>1724.3493687000005</v>
      </c>
      <c r="DO37" s="50">
        <f>SUM(DO8:DO36)</f>
        <v>9191.958368700001</v>
      </c>
      <c r="DP37" s="50">
        <f>SUM(DP8:DP36)</f>
        <v>1487.7630818999999</v>
      </c>
      <c r="DQ37" s="50">
        <f>SUM(DQ8:DQ36)</f>
        <v>802.1588652</v>
      </c>
      <c r="DS37" s="50">
        <f>SUM(DS8:DS36)</f>
        <v>4605.076</v>
      </c>
      <c r="DT37" s="50">
        <f>SUM(DT8:DT36)</f>
        <v>1063.3604268</v>
      </c>
      <c r="DU37" s="50">
        <f>SUM(DU8:DU36)</f>
        <v>5668.436426799999</v>
      </c>
      <c r="DV37" s="50">
        <f>SUM(DV8:DV36)</f>
        <v>917.4639516</v>
      </c>
      <c r="DW37" s="50">
        <f>SUM(DW8:DW36)</f>
        <v>494.67005279999995</v>
      </c>
      <c r="DY37" s="50">
        <f>SUM(DY8:DY36)</f>
        <v>115.02599999999998</v>
      </c>
      <c r="DZ37" s="50">
        <f>SUM(DZ8:DZ36)</f>
        <v>26.560711799999993</v>
      </c>
      <c r="EA37" s="50">
        <f>SUM(EA8:EA36)</f>
        <v>141.5867118</v>
      </c>
      <c r="EB37" s="50">
        <f>SUM(EB8:EB36)</f>
        <v>22.916496600000002</v>
      </c>
      <c r="EC37" s="50">
        <f>SUM(EC8:EC36)</f>
        <v>12.355912799999999</v>
      </c>
      <c r="EE37" s="50">
        <f>SUM(EE8:EE36)</f>
        <v>28345.837</v>
      </c>
      <c r="EF37" s="50">
        <f>SUM(EF8:EF36)</f>
        <v>6545.3515491</v>
      </c>
      <c r="EG37" s="50">
        <f>SUM(EG8:EG36)</f>
        <v>34891.1885491</v>
      </c>
      <c r="EH37" s="50">
        <f>SUM(EH8:EH36)</f>
        <v>5647.308236699999</v>
      </c>
      <c r="EI37" s="50">
        <f>SUM(EI8:EI36)</f>
        <v>3044.8654235999998</v>
      </c>
      <c r="EK37" s="50">
        <f>SUM(EK8:EK36)</f>
        <v>68166.022</v>
      </c>
      <c r="EL37" s="50">
        <f>SUM(EL8:EL36)</f>
        <v>15740.250594600002</v>
      </c>
      <c r="EM37" s="50">
        <f>SUM(EM8:EM36)</f>
        <v>83906.27259460001</v>
      </c>
      <c r="EN37" s="50">
        <f>SUM(EN8:EN36)</f>
        <v>13580.637520200004</v>
      </c>
      <c r="EO37" s="50">
        <f>SUM(EO8:EO36)</f>
        <v>7322.287341599999</v>
      </c>
      <c r="EQ37" s="50">
        <f>SUM(EQ8:EQ36)</f>
        <v>19441.412</v>
      </c>
      <c r="ER37" s="50">
        <f>SUM(ER8:ER36)</f>
        <v>4489.2262716000005</v>
      </c>
      <c r="ES37" s="50">
        <f>SUM(ES8:ES36)</f>
        <v>23930.6382716</v>
      </c>
      <c r="ET37" s="50">
        <f>SUM(ET8:ET36)</f>
        <v>3873.289969199999</v>
      </c>
      <c r="EU37" s="50">
        <f>SUM(EU8:EU36)</f>
        <v>2088.3660336</v>
      </c>
      <c r="EV37"/>
    </row>
    <row r="38" spans="8:152" ht="13.5" thickTop="1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EV38"/>
    </row>
    <row r="39" spans="8:152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EV39"/>
    </row>
    <row r="40" spans="8:152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EV40"/>
    </row>
    <row r="41" spans="8:152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EV41"/>
    </row>
    <row r="42" spans="8:152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EV42"/>
    </row>
    <row r="43" spans="8:152" ht="12.75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EV43"/>
    </row>
    <row r="44" spans="8:152" ht="12.75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EV44"/>
    </row>
    <row r="45" spans="8:152" ht="12.75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EV45"/>
    </row>
    <row r="46" spans="8:152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EV46"/>
    </row>
    <row r="47" spans="8:152" ht="12.75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EV47"/>
    </row>
    <row r="48" spans="8:152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EV48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H59" s="33"/>
    </row>
    <row r="60" ht="12.75">
      <c r="H60" s="33"/>
    </row>
    <row r="61" ht="12.75"/>
    <row r="62" ht="12.75"/>
    <row r="63" ht="12.75"/>
    <row r="64" ht="12.75"/>
    <row r="65" spans="1:152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spans="1:152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</row>
    <row r="67" spans="1:152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  <row r="68" spans="1:152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</row>
    <row r="69" spans="1:152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</row>
    <row r="70" spans="1:152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</row>
    <row r="71" spans="1:152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</row>
    <row r="72" spans="1:152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</row>
    <row r="73" spans="1:152" ht="12.75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</row>
    <row r="74" spans="1:152" ht="12.75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</row>
    <row r="75" spans="1:152" ht="12.75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</row>
    <row r="76" spans="1:152" ht="12.75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</row>
    <row r="77" spans="1:152" ht="12.75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</row>
  </sheetData>
  <sheetProtection/>
  <printOptions/>
  <pageMargins left="0.75" right="0.75" top="1" bottom="1" header="0.3" footer="0.3"/>
  <pageSetup orientation="landscape" scale="7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zoomScale="150" zoomScaleNormal="15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9" sqref="E49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6" width="13.7109375" style="5" customWidth="1"/>
    <col min="7" max="7" width="13.7109375" style="5" hidden="1" customWidth="1"/>
    <col min="8" max="17" width="13.7109375" style="5" customWidth="1"/>
    <col min="18" max="18" width="13.7109375" style="5" hidden="1" customWidth="1"/>
    <col min="19" max="19" width="13.7109375" style="5" customWidth="1"/>
    <col min="20" max="20" width="13.7109375" style="12" customWidth="1"/>
    <col min="21" max="21" width="10.28125" style="0" bestFit="1" customWidth="1"/>
  </cols>
  <sheetData>
    <row r="1" ht="12.75">
      <c r="A1" s="18" t="s">
        <v>115</v>
      </c>
    </row>
    <row r="3" spans="1:20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8" t="s">
        <v>0</v>
      </c>
    </row>
    <row r="4" spans="1:20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14</v>
      </c>
      <c r="G4" s="4" t="s">
        <v>33</v>
      </c>
      <c r="H4" s="4" t="s">
        <v>33</v>
      </c>
      <c r="I4" s="4" t="s">
        <v>15</v>
      </c>
      <c r="J4" s="4" t="s">
        <v>16</v>
      </c>
      <c r="K4" s="4" t="s">
        <v>89</v>
      </c>
      <c r="L4" s="4" t="s">
        <v>22</v>
      </c>
      <c r="M4" s="4" t="s">
        <v>17</v>
      </c>
      <c r="N4" s="4" t="s">
        <v>41</v>
      </c>
      <c r="O4" s="4" t="s">
        <v>18</v>
      </c>
      <c r="P4" s="4" t="s">
        <v>43</v>
      </c>
      <c r="Q4" s="4" t="s">
        <v>19</v>
      </c>
      <c r="R4" s="4" t="s">
        <v>20</v>
      </c>
      <c r="S4" s="4" t="s">
        <v>20</v>
      </c>
      <c r="T4" s="59" t="s">
        <v>6</v>
      </c>
    </row>
    <row r="5" spans="1:20" s="11" customFormat="1" ht="13.5" thickBot="1">
      <c r="A5" s="8"/>
      <c r="B5" s="8"/>
      <c r="C5" s="8" t="s">
        <v>7</v>
      </c>
      <c r="D5" s="9">
        <f>SUM(E5:S5)</f>
        <v>101982841.72000001</v>
      </c>
      <c r="E5" s="9">
        <f aca="true" t="shared" si="0" ref="E5:S5">SUM(E6:E54)</f>
        <v>23224595.910000008</v>
      </c>
      <c r="F5" s="9">
        <f t="shared" si="0"/>
        <v>8131912.14</v>
      </c>
      <c r="G5" s="9">
        <f t="shared" si="0"/>
        <v>0</v>
      </c>
      <c r="H5" s="9">
        <f t="shared" si="0"/>
        <v>68820.04</v>
      </c>
      <c r="I5" s="9">
        <f t="shared" si="0"/>
        <v>1359431.58</v>
      </c>
      <c r="J5" s="9">
        <f t="shared" si="0"/>
        <v>2225921.1399999997</v>
      </c>
      <c r="K5" s="9">
        <f t="shared" si="0"/>
        <v>336603.6</v>
      </c>
      <c r="L5" s="9">
        <f t="shared" si="0"/>
        <v>909948.24</v>
      </c>
      <c r="M5" s="9">
        <f t="shared" si="0"/>
        <v>8295293.63</v>
      </c>
      <c r="N5" s="9">
        <f t="shared" si="0"/>
        <v>12025779.09</v>
      </c>
      <c r="O5" s="9">
        <f t="shared" si="0"/>
        <v>3603817.33</v>
      </c>
      <c r="P5" s="9">
        <f t="shared" si="0"/>
        <v>26406318.38</v>
      </c>
      <c r="Q5" s="9">
        <f t="shared" si="0"/>
        <v>15197900.64</v>
      </c>
      <c r="R5" s="9">
        <f t="shared" si="0"/>
        <v>0</v>
      </c>
      <c r="S5" s="9">
        <f t="shared" si="0"/>
        <v>196500</v>
      </c>
      <c r="T5" s="15"/>
    </row>
    <row r="6" spans="1:20" ht="13.5" thickTop="1">
      <c r="A6" s="6"/>
      <c r="B6" s="55"/>
      <c r="C6" s="5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6"/>
    </row>
    <row r="7" spans="1:20" ht="12.75">
      <c r="A7" s="55" t="s">
        <v>5</v>
      </c>
      <c r="B7" s="55" t="s">
        <v>88</v>
      </c>
      <c r="C7" s="55" t="s">
        <v>85</v>
      </c>
      <c r="D7" s="5">
        <f aca="true" t="shared" si="1" ref="D7:D53">SUM(E7:S7)</f>
        <v>4506724.630000001</v>
      </c>
      <c r="E7" s="76">
        <f>1546923.37+1512684.91+1447116.35</f>
        <v>4506724.630000001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2">
        <f aca="true" t="shared" si="2" ref="T7:T28">D7/$D$5</f>
        <v>0.04419100854605996</v>
      </c>
    </row>
    <row r="8" spans="1:20" ht="12.75">
      <c r="A8" s="55" t="s">
        <v>5</v>
      </c>
      <c r="B8" s="55" t="s">
        <v>86</v>
      </c>
      <c r="C8" s="55" t="s">
        <v>87</v>
      </c>
      <c r="D8" s="5">
        <f t="shared" si="1"/>
        <v>4598404.04</v>
      </c>
      <c r="E8" s="76">
        <f>3588616.28+1009787.76</f>
        <v>4598404.04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">
        <f t="shared" si="2"/>
        <v>0.04508997751430768</v>
      </c>
    </row>
    <row r="9" spans="1:20" ht="12.75">
      <c r="A9" s="55" t="s">
        <v>5</v>
      </c>
      <c r="B9" s="55" t="s">
        <v>93</v>
      </c>
      <c r="C9" s="55" t="s">
        <v>92</v>
      </c>
      <c r="D9" s="5">
        <f t="shared" si="1"/>
        <v>153759.05</v>
      </c>
      <c r="E9" s="76">
        <f>153759.05</f>
        <v>153759.05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2">
        <f t="shared" si="2"/>
        <v>0.0015076952888031367</v>
      </c>
    </row>
    <row r="10" spans="1:20" ht="12.75">
      <c r="A10" s="55" t="s">
        <v>14</v>
      </c>
      <c r="B10" s="55" t="s">
        <v>91</v>
      </c>
      <c r="C10" s="55" t="s">
        <v>85</v>
      </c>
      <c r="D10" s="5">
        <f t="shared" si="1"/>
        <v>865542.81</v>
      </c>
      <c r="E10" s="76"/>
      <c r="F10" s="76">
        <f>121126.6+107270.3+20782.57+616363.34</f>
        <v>865542.81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2">
        <f t="shared" si="2"/>
        <v>0.008487141517162265</v>
      </c>
    </row>
    <row r="11" spans="1:20" ht="12.75">
      <c r="A11" s="55" t="s">
        <v>14</v>
      </c>
      <c r="B11" s="55" t="s">
        <v>86</v>
      </c>
      <c r="C11" s="55" t="s">
        <v>116</v>
      </c>
      <c r="D11" s="5">
        <f t="shared" si="1"/>
        <v>219621.15</v>
      </c>
      <c r="E11" s="76"/>
      <c r="F11" s="76">
        <v>219621.15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2">
        <f t="shared" si="2"/>
        <v>0.002153510789618738</v>
      </c>
    </row>
    <row r="12" spans="1:20" ht="12.75">
      <c r="A12" s="55" t="s">
        <v>14</v>
      </c>
      <c r="B12" s="55" t="s">
        <v>96</v>
      </c>
      <c r="C12" s="55" t="s">
        <v>92</v>
      </c>
      <c r="D12" s="5">
        <f t="shared" si="1"/>
        <v>235054.96</v>
      </c>
      <c r="E12" s="76"/>
      <c r="F12" s="76">
        <f>208013.9+27041.06</f>
        <v>235054.96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2">
        <f t="shared" si="2"/>
        <v>0.002304848110090494</v>
      </c>
    </row>
    <row r="13" spans="1:20" ht="12.75">
      <c r="A13" s="55" t="s">
        <v>33</v>
      </c>
      <c r="B13" s="55" t="s">
        <v>93</v>
      </c>
      <c r="C13" s="55" t="s">
        <v>92</v>
      </c>
      <c r="D13" s="5">
        <f t="shared" si="1"/>
        <v>68820.04</v>
      </c>
      <c r="E13" s="76"/>
      <c r="F13" s="76"/>
      <c r="G13" s="7"/>
      <c r="H13" s="76">
        <f>65597.23+3222.81</f>
        <v>68820.04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">
        <f t="shared" si="2"/>
        <v>0.0006748197916366121</v>
      </c>
    </row>
    <row r="14" spans="1:20" ht="12.75">
      <c r="A14" s="55" t="s">
        <v>15</v>
      </c>
      <c r="B14" s="55" t="s">
        <v>117</v>
      </c>
      <c r="C14" s="55" t="s">
        <v>85</v>
      </c>
      <c r="D14" s="5">
        <f t="shared" si="1"/>
        <v>238245</v>
      </c>
      <c r="E14" s="76"/>
      <c r="F14" s="76"/>
      <c r="G14" s="7"/>
      <c r="H14" s="7"/>
      <c r="I14" s="76">
        <f>31400+206845</f>
        <v>238245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12">
        <f t="shared" si="2"/>
        <v>0.0023361282739513757</v>
      </c>
    </row>
    <row r="15" spans="1:20" ht="12.75">
      <c r="A15" s="55" t="s">
        <v>15</v>
      </c>
      <c r="B15" s="55" t="s">
        <v>98</v>
      </c>
      <c r="C15" s="55" t="s">
        <v>99</v>
      </c>
      <c r="D15" s="5">
        <f t="shared" si="1"/>
        <v>47351.130000000005</v>
      </c>
      <c r="E15" s="76"/>
      <c r="F15" s="76"/>
      <c r="G15" s="7"/>
      <c r="H15" s="7"/>
      <c r="I15" s="76">
        <f>12504.05+34847.08</f>
        <v>47351.130000000005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12">
        <f t="shared" si="2"/>
        <v>0.0004643048693426818</v>
      </c>
    </row>
    <row r="16" spans="1:20" ht="12.75">
      <c r="A16" s="55" t="s">
        <v>16</v>
      </c>
      <c r="B16" s="55" t="s">
        <v>120</v>
      </c>
      <c r="C16" s="55" t="s">
        <v>85</v>
      </c>
      <c r="D16" s="5">
        <f t="shared" si="1"/>
        <v>384277.72</v>
      </c>
      <c r="E16" s="76"/>
      <c r="F16" s="76"/>
      <c r="G16" s="7"/>
      <c r="H16" s="7"/>
      <c r="I16" s="76"/>
      <c r="J16" s="76">
        <f>227274.04+157003.68</f>
        <v>384277.72</v>
      </c>
      <c r="K16" s="7"/>
      <c r="L16" s="7"/>
      <c r="M16" s="7"/>
      <c r="N16" s="7"/>
      <c r="O16" s="7"/>
      <c r="P16" s="7"/>
      <c r="Q16" s="7"/>
      <c r="R16" s="7"/>
      <c r="S16" s="7"/>
      <c r="T16" s="12">
        <f t="shared" si="2"/>
        <v>0.003768062485011522</v>
      </c>
    </row>
    <row r="17" spans="1:20" ht="12.75">
      <c r="A17" s="55" t="s">
        <v>89</v>
      </c>
      <c r="B17" s="55" t="s">
        <v>118</v>
      </c>
      <c r="C17" s="55" t="s">
        <v>85</v>
      </c>
      <c r="D17" s="5">
        <f t="shared" si="1"/>
        <v>336603.6</v>
      </c>
      <c r="E17" s="76"/>
      <c r="F17" s="76"/>
      <c r="G17" s="7"/>
      <c r="H17" s="7"/>
      <c r="I17" s="76"/>
      <c r="J17" s="7"/>
      <c r="K17" s="76">
        <f>299999.6+3642+32962</f>
        <v>336603.6</v>
      </c>
      <c r="L17" s="76"/>
      <c r="M17" s="7"/>
      <c r="N17" s="7"/>
      <c r="O17" s="7"/>
      <c r="P17" s="7"/>
      <c r="Q17" s="7"/>
      <c r="R17" s="7"/>
      <c r="S17" s="7"/>
      <c r="T17" s="12">
        <f t="shared" si="2"/>
        <v>0.003300590514276561</v>
      </c>
    </row>
    <row r="18" spans="1:20" ht="12.75">
      <c r="A18" s="55" t="s">
        <v>22</v>
      </c>
      <c r="B18" s="55" t="s">
        <v>93</v>
      </c>
      <c r="C18" s="55" t="s">
        <v>94</v>
      </c>
      <c r="D18" s="5">
        <f t="shared" si="1"/>
        <v>211892.24</v>
      </c>
      <c r="E18" s="76"/>
      <c r="F18" s="76"/>
      <c r="G18" s="7"/>
      <c r="H18" s="7"/>
      <c r="I18" s="76"/>
      <c r="J18" s="7"/>
      <c r="K18" s="76"/>
      <c r="L18" s="76">
        <f>117720.73+94171.51</f>
        <v>211892.24</v>
      </c>
      <c r="M18" s="7"/>
      <c r="N18" s="7"/>
      <c r="O18" s="7"/>
      <c r="P18" s="7"/>
      <c r="Q18" s="7"/>
      <c r="R18" s="7"/>
      <c r="S18" s="7"/>
      <c r="T18" s="12">
        <f t="shared" si="2"/>
        <v>0.002077724413502448</v>
      </c>
    </row>
    <row r="19" spans="1:20" ht="12.75">
      <c r="A19" s="55" t="s">
        <v>17</v>
      </c>
      <c r="B19" s="55" t="s">
        <v>84</v>
      </c>
      <c r="C19" s="55" t="s">
        <v>105</v>
      </c>
      <c r="D19" s="5">
        <f t="shared" si="1"/>
        <v>8115408.2</v>
      </c>
      <c r="E19" s="76"/>
      <c r="F19" s="7"/>
      <c r="G19" s="7"/>
      <c r="H19" s="7"/>
      <c r="I19" s="7"/>
      <c r="J19" s="7"/>
      <c r="K19" s="7"/>
      <c r="L19" s="7"/>
      <c r="M19" s="76">
        <f>5977649.54+2137758.66</f>
        <v>8115408.2</v>
      </c>
      <c r="N19" s="7"/>
      <c r="O19" s="7"/>
      <c r="P19" s="7"/>
      <c r="Q19" s="7"/>
      <c r="R19" s="7"/>
      <c r="S19" s="7"/>
      <c r="T19" s="12">
        <f t="shared" si="2"/>
        <v>0.07957621167569873</v>
      </c>
    </row>
    <row r="20" spans="1:20" ht="12.75">
      <c r="A20" s="55" t="s">
        <v>41</v>
      </c>
      <c r="B20" s="55" t="s">
        <v>86</v>
      </c>
      <c r="C20" s="55" t="s">
        <v>85</v>
      </c>
      <c r="D20" s="5">
        <f t="shared" si="1"/>
        <v>92624</v>
      </c>
      <c r="E20" s="76"/>
      <c r="F20" s="7"/>
      <c r="G20" s="7"/>
      <c r="H20" s="7"/>
      <c r="I20" s="7"/>
      <c r="J20" s="7"/>
      <c r="K20" s="7"/>
      <c r="L20" s="7"/>
      <c r="M20" s="76"/>
      <c r="N20" s="76">
        <f>52345+40279</f>
        <v>92624</v>
      </c>
      <c r="O20" s="7"/>
      <c r="P20" s="7"/>
      <c r="Q20" s="7"/>
      <c r="R20" s="7"/>
      <c r="S20" s="7"/>
      <c r="T20" s="12">
        <f t="shared" si="2"/>
        <v>0.0009082312126024565</v>
      </c>
    </row>
    <row r="21" spans="1:20" ht="12.75">
      <c r="A21" s="55" t="s">
        <v>41</v>
      </c>
      <c r="B21" s="55" t="s">
        <v>90</v>
      </c>
      <c r="C21" s="55" t="s">
        <v>104</v>
      </c>
      <c r="D21" s="5">
        <f t="shared" si="1"/>
        <v>11314346.92</v>
      </c>
      <c r="E21" s="76"/>
      <c r="F21" s="7"/>
      <c r="G21" s="7"/>
      <c r="H21" s="7"/>
      <c r="I21" s="7"/>
      <c r="J21" s="7"/>
      <c r="K21" s="7"/>
      <c r="L21" s="7"/>
      <c r="M21" s="76"/>
      <c r="N21" s="76">
        <f>8229563.9+3084783.02</f>
        <v>11314346.92</v>
      </c>
      <c r="O21" s="7"/>
      <c r="P21" s="7"/>
      <c r="Q21" s="7"/>
      <c r="R21" s="7"/>
      <c r="S21" s="7"/>
      <c r="T21" s="12">
        <f t="shared" si="2"/>
        <v>0.11094363256776288</v>
      </c>
    </row>
    <row r="22" spans="1:20" ht="12.75">
      <c r="A22" s="55" t="s">
        <v>41</v>
      </c>
      <c r="B22" s="55" t="s">
        <v>98</v>
      </c>
      <c r="C22" s="55" t="s">
        <v>92</v>
      </c>
      <c r="D22" s="5">
        <f t="shared" si="1"/>
        <v>109125</v>
      </c>
      <c r="E22" s="76"/>
      <c r="F22" s="7"/>
      <c r="G22" s="7"/>
      <c r="H22" s="7"/>
      <c r="I22" s="7"/>
      <c r="J22" s="7"/>
      <c r="K22" s="7"/>
      <c r="L22" s="7"/>
      <c r="M22" s="76"/>
      <c r="N22" s="76">
        <f>109125</f>
        <v>109125</v>
      </c>
      <c r="O22" s="7"/>
      <c r="P22" s="7"/>
      <c r="Q22" s="7"/>
      <c r="R22" s="7"/>
      <c r="S22" s="7"/>
      <c r="T22" s="12">
        <f t="shared" si="2"/>
        <v>0.001070032940439228</v>
      </c>
    </row>
    <row r="23" spans="1:20" ht="12.75">
      <c r="A23" s="55" t="s">
        <v>18</v>
      </c>
      <c r="B23" s="55" t="s">
        <v>88</v>
      </c>
      <c r="C23" s="55" t="s">
        <v>85</v>
      </c>
      <c r="D23" s="5">
        <f t="shared" si="1"/>
        <v>75473</v>
      </c>
      <c r="E23" s="76"/>
      <c r="F23" s="7"/>
      <c r="G23" s="7"/>
      <c r="H23" s="7"/>
      <c r="I23" s="7"/>
      <c r="J23" s="7"/>
      <c r="K23" s="7"/>
      <c r="L23" s="7"/>
      <c r="M23" s="76"/>
      <c r="N23" s="76"/>
      <c r="O23" s="76">
        <f>14712.46+60760.54</f>
        <v>75473</v>
      </c>
      <c r="P23" s="7"/>
      <c r="Q23" s="7"/>
      <c r="R23" s="7"/>
      <c r="S23" s="7"/>
      <c r="T23" s="12">
        <f t="shared" si="2"/>
        <v>0.0007400558635855199</v>
      </c>
    </row>
    <row r="24" spans="1:20" ht="12.75">
      <c r="A24" s="55" t="s">
        <v>18</v>
      </c>
      <c r="B24" s="55" t="s">
        <v>128</v>
      </c>
      <c r="C24" s="55" t="s">
        <v>119</v>
      </c>
      <c r="D24" s="5">
        <f t="shared" si="1"/>
        <v>46548.09</v>
      </c>
      <c r="E24" s="76"/>
      <c r="F24" s="7"/>
      <c r="G24" s="7"/>
      <c r="H24" s="7"/>
      <c r="I24" s="7"/>
      <c r="J24" s="7"/>
      <c r="K24" s="7"/>
      <c r="L24" s="7"/>
      <c r="M24" s="76"/>
      <c r="N24" s="76"/>
      <c r="O24" s="76">
        <f>46548.09</f>
        <v>46548.09</v>
      </c>
      <c r="P24" s="7"/>
      <c r="Q24" s="7"/>
      <c r="R24" s="7"/>
      <c r="S24" s="7"/>
      <c r="T24" s="12">
        <f t="shared" si="2"/>
        <v>0.00045643060356957455</v>
      </c>
    </row>
    <row r="25" spans="1:20" ht="12.75">
      <c r="A25" s="55" t="s">
        <v>18</v>
      </c>
      <c r="B25" s="55" t="s">
        <v>98</v>
      </c>
      <c r="C25" s="55" t="s">
        <v>92</v>
      </c>
      <c r="D25" s="5">
        <f t="shared" si="1"/>
        <v>1159.34</v>
      </c>
      <c r="E25" s="76"/>
      <c r="F25" s="7"/>
      <c r="G25" s="7"/>
      <c r="H25" s="7"/>
      <c r="I25" s="7"/>
      <c r="J25" s="7"/>
      <c r="K25" s="7"/>
      <c r="L25" s="7"/>
      <c r="M25" s="76"/>
      <c r="N25" s="76"/>
      <c r="O25" s="76">
        <f>1159.34</f>
        <v>1159.34</v>
      </c>
      <c r="P25" s="7"/>
      <c r="Q25" s="7"/>
      <c r="R25" s="7"/>
      <c r="S25" s="7"/>
      <c r="T25" s="12">
        <f t="shared" si="2"/>
        <v>1.1367990736942172E-05</v>
      </c>
    </row>
    <row r="26" spans="1:20" ht="12.75">
      <c r="A26" s="55" t="s">
        <v>43</v>
      </c>
      <c r="B26" s="55" t="s">
        <v>120</v>
      </c>
      <c r="C26" s="55" t="s">
        <v>85</v>
      </c>
      <c r="D26" s="5">
        <f t="shared" si="1"/>
        <v>286505.42</v>
      </c>
      <c r="E26" s="76"/>
      <c r="F26" s="7"/>
      <c r="G26" s="7"/>
      <c r="H26" s="7"/>
      <c r="I26" s="7"/>
      <c r="J26" s="7"/>
      <c r="K26" s="7"/>
      <c r="L26" s="7"/>
      <c r="M26" s="76"/>
      <c r="N26" s="76"/>
      <c r="O26" s="76"/>
      <c r="P26" s="76">
        <f>209172.72+77332.7</f>
        <v>286505.42</v>
      </c>
      <c r="Q26" s="7"/>
      <c r="R26" s="7"/>
      <c r="S26" s="7"/>
      <c r="T26" s="12">
        <f t="shared" si="2"/>
        <v>0.0028093492509908453</v>
      </c>
    </row>
    <row r="27" spans="1:20" ht="12.75">
      <c r="A27" s="55" t="s">
        <v>19</v>
      </c>
      <c r="B27" s="55" t="s">
        <v>95</v>
      </c>
      <c r="C27" s="55" t="s">
        <v>85</v>
      </c>
      <c r="D27" s="5">
        <f t="shared" si="1"/>
        <v>688971.45</v>
      </c>
      <c r="E27" s="76"/>
      <c r="F27" s="7"/>
      <c r="G27" s="7"/>
      <c r="H27" s="7"/>
      <c r="I27" s="7"/>
      <c r="J27" s="7"/>
      <c r="K27" s="7"/>
      <c r="L27" s="7"/>
      <c r="M27" s="76"/>
      <c r="N27" s="76"/>
      <c r="O27" s="76"/>
      <c r="P27" s="7"/>
      <c r="Q27" s="76">
        <f>42996.8+915.5+950+140724.51+503384.64</f>
        <v>688971.45</v>
      </c>
      <c r="R27" s="7"/>
      <c r="S27" s="7"/>
      <c r="T27" s="12">
        <f t="shared" si="2"/>
        <v>0.006755758501921453</v>
      </c>
    </row>
    <row r="28" spans="1:21" ht="12.75">
      <c r="A28" s="55" t="s">
        <v>20</v>
      </c>
      <c r="B28" s="55" t="s">
        <v>97</v>
      </c>
      <c r="C28" s="55" t="s">
        <v>92</v>
      </c>
      <c r="D28" s="5">
        <f t="shared" si="1"/>
        <v>196500</v>
      </c>
      <c r="E28" s="76"/>
      <c r="F28" s="7"/>
      <c r="G28" s="7"/>
      <c r="H28" s="7"/>
      <c r="I28" s="7"/>
      <c r="J28" s="7"/>
      <c r="K28" s="7"/>
      <c r="L28" s="7"/>
      <c r="M28" s="76"/>
      <c r="N28" s="76"/>
      <c r="O28" s="76"/>
      <c r="P28" s="7"/>
      <c r="Q28" s="76"/>
      <c r="R28" s="7"/>
      <c r="S28" s="76">
        <f>140799.09+42800+1900.91+11000</f>
        <v>196500</v>
      </c>
      <c r="T28" s="12">
        <f t="shared" si="2"/>
        <v>0.001926794710619091</v>
      </c>
      <c r="U28" s="12">
        <f>SUM(T7:T28)</f>
        <v>0.3215536774316901</v>
      </c>
    </row>
    <row r="29" spans="1:21" ht="12.75">
      <c r="A29" s="30" t="s">
        <v>5</v>
      </c>
      <c r="B29" s="30" t="s">
        <v>34</v>
      </c>
      <c r="C29" t="s">
        <v>57</v>
      </c>
      <c r="D29" s="5">
        <f t="shared" si="1"/>
        <v>5610738.3</v>
      </c>
      <c r="E29" s="5">
        <f>5610738.3</f>
        <v>5610738.3</v>
      </c>
      <c r="T29" s="12">
        <f aca="true" t="shared" si="3" ref="T29:T53">D29/$D$5</f>
        <v>0.05501649302345013</v>
      </c>
      <c r="U29" s="12"/>
    </row>
    <row r="30" spans="1:21" ht="12.75">
      <c r="A30" s="30" t="s">
        <v>5</v>
      </c>
      <c r="B30" s="30" t="s">
        <v>79</v>
      </c>
      <c r="C30" t="s">
        <v>38</v>
      </c>
      <c r="D30" s="5">
        <f t="shared" si="1"/>
        <v>6849501.3100000005</v>
      </c>
      <c r="E30" s="5">
        <f>2882462.83+3961124.41+5914.07</f>
        <v>6849501.3100000005</v>
      </c>
      <c r="T30" s="12">
        <f t="shared" si="3"/>
        <v>0.06716327172766685</v>
      </c>
      <c r="U30" s="12"/>
    </row>
    <row r="31" spans="1:21" ht="12.75">
      <c r="A31" s="30" t="s">
        <v>5</v>
      </c>
      <c r="B31" s="30" t="s">
        <v>37</v>
      </c>
      <c r="C31" t="s">
        <v>39</v>
      </c>
      <c r="D31" s="5">
        <f t="shared" si="1"/>
        <v>25080.14</v>
      </c>
      <c r="E31" s="5">
        <f>21743.03+3337.11</f>
        <v>25080.14</v>
      </c>
      <c r="T31" s="12">
        <f t="shared" si="3"/>
        <v>0.0002459250946238488</v>
      </c>
      <c r="U31" s="12"/>
    </row>
    <row r="32" spans="1:21" ht="12.75">
      <c r="A32" s="30" t="s">
        <v>5</v>
      </c>
      <c r="B32" s="30" t="s">
        <v>34</v>
      </c>
      <c r="C32" t="s">
        <v>40</v>
      </c>
      <c r="D32" s="5">
        <f t="shared" si="1"/>
        <v>1480388.44</v>
      </c>
      <c r="E32" s="5">
        <f>1219927.25+260461.19</f>
        <v>1480388.44</v>
      </c>
      <c r="T32" s="12">
        <f t="shared" si="3"/>
        <v>0.014516054024700497</v>
      </c>
      <c r="U32" s="12"/>
    </row>
    <row r="33" spans="1:20" ht="12.75">
      <c r="A33" s="30" t="s">
        <v>14</v>
      </c>
      <c r="B33" s="30" t="s">
        <v>81</v>
      </c>
      <c r="C33" t="s">
        <v>26</v>
      </c>
      <c r="D33" s="5">
        <f t="shared" si="1"/>
        <v>6811693.22</v>
      </c>
      <c r="F33" s="5">
        <f>4651282.72+1236484+60611.1+863315.4</f>
        <v>6811693.22</v>
      </c>
      <c r="T33" s="12">
        <f t="shared" si="3"/>
        <v>0.06679254181504288</v>
      </c>
    </row>
    <row r="34" spans="1:20" ht="12.75">
      <c r="A34" s="30" t="s">
        <v>15</v>
      </c>
      <c r="B34" s="30" t="s">
        <v>73</v>
      </c>
      <c r="C34" t="s">
        <v>54</v>
      </c>
      <c r="D34" s="5">
        <f t="shared" si="1"/>
        <v>1073835.45</v>
      </c>
      <c r="I34" s="5">
        <f>355365+706688+11782.45</f>
        <v>1073835.45</v>
      </c>
      <c r="T34" s="12">
        <f t="shared" si="3"/>
        <v>0.010529569797126064</v>
      </c>
    </row>
    <row r="35" spans="1:20" ht="12.75">
      <c r="A35" s="30" t="s">
        <v>16</v>
      </c>
      <c r="B35" s="30" t="s">
        <v>37</v>
      </c>
      <c r="C35" t="s">
        <v>59</v>
      </c>
      <c r="D35" s="5">
        <f t="shared" si="1"/>
        <v>59647.39</v>
      </c>
      <c r="J35" s="5">
        <f>43555.86+16091.53</f>
        <v>59647.39</v>
      </c>
      <c r="T35" s="12">
        <f t="shared" si="3"/>
        <v>0.0005848767203777815</v>
      </c>
    </row>
    <row r="36" spans="1:20" ht="12.75">
      <c r="A36" s="30" t="s">
        <v>16</v>
      </c>
      <c r="B36" s="30" t="s">
        <v>37</v>
      </c>
      <c r="C36" t="s">
        <v>74</v>
      </c>
      <c r="D36" s="5">
        <f t="shared" si="1"/>
        <v>687087.73</v>
      </c>
      <c r="J36" s="5">
        <f>645690.73+41397</f>
        <v>687087.73</v>
      </c>
      <c r="T36" s="12">
        <f t="shared" si="3"/>
        <v>0.006737287551629914</v>
      </c>
    </row>
    <row r="37" spans="1:20" ht="12.75">
      <c r="A37" s="30" t="s">
        <v>16</v>
      </c>
      <c r="B37" s="30" t="s">
        <v>79</v>
      </c>
      <c r="C37" t="s">
        <v>21</v>
      </c>
      <c r="D37" s="5">
        <f t="shared" si="1"/>
        <v>960535.5499999999</v>
      </c>
      <c r="J37" s="5">
        <f>552687.57+407847.98</f>
        <v>960535.5499999999</v>
      </c>
      <c r="T37" s="12">
        <f t="shared" si="3"/>
        <v>0.009418599578125188</v>
      </c>
    </row>
    <row r="38" spans="1:20" ht="12.75">
      <c r="A38" s="30" t="s">
        <v>16</v>
      </c>
      <c r="B38" s="30" t="s">
        <v>34</v>
      </c>
      <c r="C38" t="s">
        <v>121</v>
      </c>
      <c r="D38" s="5">
        <f t="shared" si="1"/>
        <v>134372.75</v>
      </c>
      <c r="J38" s="5">
        <f>134372.75</f>
        <v>134372.75</v>
      </c>
      <c r="T38" s="12">
        <f t="shared" si="3"/>
        <v>0.0013176015468261654</v>
      </c>
    </row>
    <row r="39" spans="1:20" ht="12.75">
      <c r="A39" s="30" t="s">
        <v>22</v>
      </c>
      <c r="B39" s="30" t="s">
        <v>37</v>
      </c>
      <c r="C39" t="s">
        <v>60</v>
      </c>
      <c r="D39" s="5">
        <f t="shared" si="1"/>
        <v>698056</v>
      </c>
      <c r="L39" s="5">
        <f>668994.58+29061.42</f>
        <v>698056</v>
      </c>
      <c r="T39" s="12">
        <f t="shared" si="3"/>
        <v>0.006844837702371096</v>
      </c>
    </row>
    <row r="40" spans="1:20" ht="12.75">
      <c r="A40" s="30" t="s">
        <v>17</v>
      </c>
      <c r="B40" s="30" t="s">
        <v>102</v>
      </c>
      <c r="C40" t="s">
        <v>122</v>
      </c>
      <c r="D40" s="5">
        <f t="shared" si="1"/>
        <v>39670.43</v>
      </c>
      <c r="M40" s="5">
        <f>39670.43</f>
        <v>39670.43</v>
      </c>
      <c r="T40" s="12">
        <f t="shared" si="3"/>
        <v>0.000388991219806539</v>
      </c>
    </row>
    <row r="41" spans="1:20" ht="12.75">
      <c r="A41" s="30" t="s">
        <v>17</v>
      </c>
      <c r="B41" s="30" t="s">
        <v>24</v>
      </c>
      <c r="C41" t="s">
        <v>45</v>
      </c>
      <c r="D41" s="5">
        <f t="shared" si="1"/>
        <v>140215</v>
      </c>
      <c r="M41" s="5">
        <f>130280+9935</f>
        <v>140215</v>
      </c>
      <c r="T41" s="12">
        <f t="shared" si="3"/>
        <v>0.00137488814427204</v>
      </c>
    </row>
    <row r="42" spans="1:20" ht="12.75">
      <c r="A42" s="30" t="s">
        <v>41</v>
      </c>
      <c r="B42" s="30" t="s">
        <v>34</v>
      </c>
      <c r="C42" t="s">
        <v>42</v>
      </c>
      <c r="D42" s="5">
        <f t="shared" si="1"/>
        <v>509683.17000000004</v>
      </c>
      <c r="N42" s="5">
        <f>212391.35+297291.82</f>
        <v>509683.17000000004</v>
      </c>
      <c r="T42" s="12">
        <f t="shared" si="3"/>
        <v>0.004997734534593237</v>
      </c>
    </row>
    <row r="43" spans="1:20" ht="12.75">
      <c r="A43" s="30" t="s">
        <v>18</v>
      </c>
      <c r="B43" s="30" t="s">
        <v>80</v>
      </c>
      <c r="C43" t="s">
        <v>44</v>
      </c>
      <c r="D43" s="5">
        <f t="shared" si="1"/>
        <v>3480636.9</v>
      </c>
      <c r="O43" s="5">
        <f>234980.06+282811.31+2962845.53</f>
        <v>3480636.9</v>
      </c>
      <c r="T43" s="12">
        <f t="shared" si="3"/>
        <v>0.034129632409697866</v>
      </c>
    </row>
    <row r="44" spans="1:20" ht="12.75">
      <c r="A44" s="30" t="s">
        <v>43</v>
      </c>
      <c r="B44" s="30" t="s">
        <v>100</v>
      </c>
      <c r="C44" t="s">
        <v>61</v>
      </c>
      <c r="D44" s="5">
        <f t="shared" si="1"/>
        <v>14405177.77</v>
      </c>
      <c r="P44" s="5">
        <f>310399.54+2172082.44+7354399.76+95689.58+4472606.45</f>
        <v>14405177.77</v>
      </c>
      <c r="T44" s="12">
        <f t="shared" si="3"/>
        <v>0.14125099405986621</v>
      </c>
    </row>
    <row r="45" spans="1:20" ht="12.75">
      <c r="A45" s="30" t="s">
        <v>43</v>
      </c>
      <c r="B45" s="30" t="s">
        <v>53</v>
      </c>
      <c r="C45" t="s">
        <v>62</v>
      </c>
      <c r="D45" s="5">
        <f t="shared" si="1"/>
        <v>2648169.12</v>
      </c>
      <c r="P45" s="5">
        <f>2122460.67+525708.45</f>
        <v>2648169.12</v>
      </c>
      <c r="T45" s="12">
        <f t="shared" si="3"/>
        <v>0.025966810449062665</v>
      </c>
    </row>
    <row r="46" spans="1:20" ht="12.75">
      <c r="A46" s="30" t="s">
        <v>43</v>
      </c>
      <c r="B46" s="30" t="s">
        <v>123</v>
      </c>
      <c r="C46" t="s">
        <v>124</v>
      </c>
      <c r="D46" s="5">
        <f t="shared" si="1"/>
        <v>9066466.07</v>
      </c>
      <c r="P46" s="5">
        <f>9066466.07</f>
        <v>9066466.07</v>
      </c>
      <c r="T46" s="12">
        <f t="shared" si="3"/>
        <v>0.0889018771892288</v>
      </c>
    </row>
    <row r="47" spans="1:20" ht="12.75">
      <c r="A47" s="30" t="s">
        <v>19</v>
      </c>
      <c r="B47" s="30" t="s">
        <v>125</v>
      </c>
      <c r="C47" t="s">
        <v>126</v>
      </c>
      <c r="D47" s="5">
        <f t="shared" si="1"/>
        <v>1933034.35</v>
      </c>
      <c r="Q47" s="5">
        <f>1933034.35</f>
        <v>1933034.35</v>
      </c>
      <c r="T47" s="12">
        <f t="shared" si="3"/>
        <v>0.018954505654071314</v>
      </c>
    </row>
    <row r="48" spans="1:20" ht="12.75">
      <c r="A48" s="30" t="s">
        <v>19</v>
      </c>
      <c r="B48" s="30" t="s">
        <v>127</v>
      </c>
      <c r="C48" t="s">
        <v>21</v>
      </c>
      <c r="D48" s="5">
        <f t="shared" si="1"/>
        <v>157478.5</v>
      </c>
      <c r="Q48" s="5">
        <f>157478.5</f>
        <v>157478.5</v>
      </c>
      <c r="T48" s="12">
        <f t="shared" si="3"/>
        <v>0.0015441666200316975</v>
      </c>
    </row>
    <row r="49" spans="1:20" ht="12.75">
      <c r="A49" s="30" t="s">
        <v>19</v>
      </c>
      <c r="B49" s="30" t="s">
        <v>34</v>
      </c>
      <c r="C49" t="s">
        <v>29</v>
      </c>
      <c r="D49" s="5">
        <f t="shared" si="1"/>
        <v>187820.61</v>
      </c>
      <c r="Q49" s="5">
        <f>187820.61</f>
        <v>187820.61</v>
      </c>
      <c r="T49" s="12">
        <f t="shared" si="3"/>
        <v>0.0018416883353346114</v>
      </c>
    </row>
    <row r="50" spans="1:20" ht="12.75">
      <c r="A50" s="30" t="s">
        <v>19</v>
      </c>
      <c r="B50" s="30" t="s">
        <v>34</v>
      </c>
      <c r="C50" t="s">
        <v>30</v>
      </c>
      <c r="D50" s="5">
        <f t="shared" si="1"/>
        <v>383065.3</v>
      </c>
      <c r="Q50" s="5">
        <f>34195+348870.3</f>
        <v>383065.3</v>
      </c>
      <c r="T50" s="12">
        <f t="shared" si="3"/>
        <v>0.0037561740145634365</v>
      </c>
    </row>
    <row r="51" spans="1:20" ht="12.75">
      <c r="A51" s="30" t="s">
        <v>19</v>
      </c>
      <c r="B51" s="30" t="s">
        <v>101</v>
      </c>
      <c r="C51" t="s">
        <v>52</v>
      </c>
      <c r="D51" s="5">
        <f t="shared" si="1"/>
        <v>10558652.030000001</v>
      </c>
      <c r="Q51" s="5">
        <f>3849859.26+262011.2+6446781.57</f>
        <v>10558652.030000001</v>
      </c>
      <c r="T51" s="12">
        <f t="shared" si="3"/>
        <v>0.10353361263446072</v>
      </c>
    </row>
    <row r="52" spans="1:20" ht="12.75">
      <c r="A52" s="30" t="s">
        <v>19</v>
      </c>
      <c r="B52" s="30" t="s">
        <v>37</v>
      </c>
      <c r="C52" t="s">
        <v>35</v>
      </c>
      <c r="D52" s="5">
        <f t="shared" si="1"/>
        <v>410072.25</v>
      </c>
      <c r="Q52" s="5">
        <f>75926.21+334146.04</f>
        <v>410072.25</v>
      </c>
      <c r="T52" s="12">
        <f t="shared" si="3"/>
        <v>0.004020992581535214</v>
      </c>
    </row>
    <row r="53" spans="1:20" ht="12.75">
      <c r="A53" s="30" t="s">
        <v>19</v>
      </c>
      <c r="B53" s="30" t="s">
        <v>102</v>
      </c>
      <c r="C53" t="s">
        <v>103</v>
      </c>
      <c r="D53" s="5">
        <f t="shared" si="1"/>
        <v>878806.15</v>
      </c>
      <c r="Q53" s="5">
        <f>190+878616.15</f>
        <v>878806.15</v>
      </c>
      <c r="T53" s="12">
        <f t="shared" si="3"/>
        <v>0.008617196139844924</v>
      </c>
    </row>
    <row r="54" spans="5:20" ht="12.7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7"/>
    </row>
    <row r="55" spans="2:20" s="12" customFormat="1" ht="13.5" thickBot="1">
      <c r="B55" s="56"/>
      <c r="C55" s="13" t="s">
        <v>8</v>
      </c>
      <c r="D55" s="60">
        <f>SUM(E55:S55)</f>
        <v>1</v>
      </c>
      <c r="E55" s="14">
        <f>E5/D5</f>
        <v>0.22773042521961218</v>
      </c>
      <c r="F55" s="14">
        <f>F5/D5</f>
        <v>0.07973804223191437</v>
      </c>
      <c r="G55" s="14">
        <f>G5/D5</f>
        <v>0</v>
      </c>
      <c r="H55" s="14">
        <f>H5/D5</f>
        <v>0.0006748197916366121</v>
      </c>
      <c r="I55" s="14">
        <f>I5/D5</f>
        <v>0.013330002940420123</v>
      </c>
      <c r="J55" s="14">
        <f>J5/D5</f>
        <v>0.02182642788197057</v>
      </c>
      <c r="K55" s="14">
        <f>K5/D5</f>
        <v>0.003300590514276561</v>
      </c>
      <c r="L55" s="14">
        <f>L5/D5</f>
        <v>0.008922562115873544</v>
      </c>
      <c r="M55" s="14">
        <f>M5/D5</f>
        <v>0.0813400910397773</v>
      </c>
      <c r="N55" s="14">
        <f>N5/D5</f>
        <v>0.1179196312553978</v>
      </c>
      <c r="O55" s="14">
        <f>O5/D5</f>
        <v>0.035337486867589904</v>
      </c>
      <c r="P55" s="14">
        <f>P5/D5</f>
        <v>0.25892903094914854</v>
      </c>
      <c r="Q55" s="14">
        <f>Q5/D5</f>
        <v>0.14902409448176338</v>
      </c>
      <c r="R55" s="14">
        <f>R5/D5</f>
        <v>0</v>
      </c>
      <c r="S55" s="14">
        <f>S5/D5</f>
        <v>0.001926794710619091</v>
      </c>
      <c r="T55" s="14">
        <f>SUM(T6:T54)</f>
        <v>0.9999999999999997</v>
      </c>
    </row>
    <row r="56" spans="1:20" s="12" customFormat="1" ht="13.5" thickTop="1">
      <c r="A56" s="34"/>
      <c r="C56" s="13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1:20" s="53" customFormat="1" ht="12.75">
      <c r="A57" s="55"/>
      <c r="B57" s="67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8"/>
    </row>
  </sheetData>
  <sheetProtection/>
  <printOptions/>
  <pageMargins left="0.25" right="0" top="1" bottom="0.5" header="0.5" footer="0.25"/>
  <pageSetup horizontalDpi="600" verticalDpi="600" orientation="landscape" paperSize="5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4:O48"/>
  <sheetViews>
    <sheetView zoomScale="150" zoomScaleNormal="150" zoomScalePageLayoutView="0" workbookViewId="0" topLeftCell="A1">
      <pane xSplit="1" ySplit="7" topLeftCell="D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3" sqref="I53"/>
    </sheetView>
  </sheetViews>
  <sheetFormatPr defaultColWidth="8.8515625" defaultRowHeight="12.75"/>
  <cols>
    <col min="1" max="1" width="8.8515625" style="0" customWidth="1"/>
    <col min="2" max="5" width="12.7109375" style="0" customWidth="1"/>
    <col min="6" max="6" width="8.8515625" style="0" customWidth="1"/>
    <col min="7" max="9" width="9.28125" style="0" bestFit="1" customWidth="1"/>
    <col min="10" max="10" width="12.28125" style="0" customWidth="1"/>
    <col min="11" max="11" width="3.8515625" style="0" customWidth="1"/>
    <col min="12" max="12" width="10.28125" style="0" bestFit="1" customWidth="1"/>
    <col min="13" max="13" width="9.421875" style="0" bestFit="1" customWidth="1"/>
    <col min="14" max="14" width="10.28125" style="0" bestFit="1" customWidth="1"/>
    <col min="15" max="15" width="12.421875" style="0" customWidth="1"/>
  </cols>
  <sheetData>
    <row r="4" spans="2:12" ht="12.75">
      <c r="B4" s="81">
        <v>1</v>
      </c>
      <c r="G4" s="81">
        <v>0.83</v>
      </c>
      <c r="H4">
        <f>C6*0.83</f>
        <v>0.000560084</v>
      </c>
      <c r="L4" s="81">
        <v>0.17</v>
      </c>
    </row>
    <row r="5" spans="2:15" ht="12.75">
      <c r="B5" s="61" t="s">
        <v>75</v>
      </c>
      <c r="C5" s="70"/>
      <c r="D5" s="38"/>
      <c r="E5" s="49"/>
      <c r="G5" s="82" t="s">
        <v>144</v>
      </c>
      <c r="H5" s="70"/>
      <c r="I5" s="38"/>
      <c r="J5" s="83"/>
      <c r="L5" s="82" t="s">
        <v>145</v>
      </c>
      <c r="M5" s="70"/>
      <c r="N5" s="38"/>
      <c r="O5" s="83"/>
    </row>
    <row r="6" spans="2:15" ht="12.75">
      <c r="B6" s="68"/>
      <c r="C6" s="12">
        <v>0.0006748</v>
      </c>
      <c r="D6" s="74"/>
      <c r="E6" s="80" t="s">
        <v>142</v>
      </c>
      <c r="G6" s="68"/>
      <c r="H6" s="12">
        <v>0.00056</v>
      </c>
      <c r="I6" s="74"/>
      <c r="J6" s="80" t="s">
        <v>142</v>
      </c>
      <c r="L6" s="68"/>
      <c r="M6" s="12">
        <f>C6-H6</f>
        <v>0.00011480000000000008</v>
      </c>
      <c r="N6" s="74"/>
      <c r="O6" s="80" t="s">
        <v>142</v>
      </c>
    </row>
    <row r="7" spans="2:15" ht="12.75">
      <c r="B7" s="40" t="s">
        <v>11</v>
      </c>
      <c r="C7" s="40" t="s">
        <v>12</v>
      </c>
      <c r="D7" s="40" t="s">
        <v>4</v>
      </c>
      <c r="E7" s="40" t="s">
        <v>143</v>
      </c>
      <c r="G7" s="40" t="s">
        <v>11</v>
      </c>
      <c r="H7" s="40" t="s">
        <v>12</v>
      </c>
      <c r="I7" s="40" t="s">
        <v>4</v>
      </c>
      <c r="J7" s="40" t="s">
        <v>143</v>
      </c>
      <c r="L7" s="40" t="s">
        <v>11</v>
      </c>
      <c r="M7" s="40" t="s">
        <v>12</v>
      </c>
      <c r="N7" s="40" t="s">
        <v>4</v>
      </c>
      <c r="O7" s="40" t="s">
        <v>143</v>
      </c>
    </row>
    <row r="8" spans="1:15" ht="12.75">
      <c r="A8" s="78">
        <v>40452</v>
      </c>
      <c r="B8" s="77"/>
      <c r="C8" s="77">
        <v>1427.0757499999997</v>
      </c>
      <c r="D8" s="77">
        <v>1427.0757499999997</v>
      </c>
      <c r="E8" s="51">
        <v>64.99876040000001</v>
      </c>
      <c r="H8" s="84">
        <f>$C8*$G$4</f>
        <v>1184.4728724999998</v>
      </c>
      <c r="I8" s="84">
        <f>SUM(G8:H8)</f>
        <v>1184.4728724999998</v>
      </c>
      <c r="J8" s="84">
        <f>$G$4*$E8</f>
        <v>53.948971132000004</v>
      </c>
      <c r="L8" s="84"/>
      <c r="M8" s="84">
        <f>C8-H8</f>
        <v>242.60287749999998</v>
      </c>
      <c r="N8" s="84">
        <f>SUM(L8:M8)</f>
        <v>242.60287749999998</v>
      </c>
      <c r="O8" s="84">
        <f>E8-J8</f>
        <v>11.049789268000005</v>
      </c>
    </row>
    <row r="9" spans="1:15" ht="12.75">
      <c r="A9" s="31">
        <v>40634</v>
      </c>
      <c r="B9" s="33">
        <v>2250.458</v>
      </c>
      <c r="C9" s="33">
        <v>1347.798284</v>
      </c>
      <c r="D9" s="33">
        <v>3598.256284</v>
      </c>
      <c r="E9" s="51">
        <v>64.99876040000001</v>
      </c>
      <c r="G9" s="84">
        <f>$G$4*$B9</f>
        <v>1867.88014</v>
      </c>
      <c r="H9" s="84">
        <f aca="true" t="shared" si="0" ref="H9:H45">$C9*$G$4</f>
        <v>1118.67257572</v>
      </c>
      <c r="I9" s="84">
        <f aca="true" t="shared" si="1" ref="I9:I45">SUM(G9:H9)</f>
        <v>2986.55271572</v>
      </c>
      <c r="J9" s="84">
        <f aca="true" t="shared" si="2" ref="J9:J45">$G$4*$E9</f>
        <v>53.948971132000004</v>
      </c>
      <c r="L9" s="84">
        <f aca="true" t="shared" si="3" ref="L9:L45">B9-G9</f>
        <v>382.5778600000001</v>
      </c>
      <c r="M9" s="84">
        <f aca="true" t="shared" si="4" ref="M9:M45">C9-H9</f>
        <v>229.12570828000003</v>
      </c>
      <c r="N9" s="84">
        <f aca="true" t="shared" si="5" ref="N9:N45">SUM(L9:M9)</f>
        <v>611.7035682800001</v>
      </c>
      <c r="O9" s="84">
        <f aca="true" t="shared" si="6" ref="O9:O45">E9-J9</f>
        <v>11.049789268000005</v>
      </c>
    </row>
    <row r="10" spans="1:15" ht="12.75">
      <c r="A10" s="31">
        <v>40817</v>
      </c>
      <c r="B10" s="33"/>
      <c r="C10" s="33">
        <v>1314.041414</v>
      </c>
      <c r="D10" s="33">
        <v>1314.041414</v>
      </c>
      <c r="E10" s="51">
        <v>64.99876040000001</v>
      </c>
      <c r="G10" s="84"/>
      <c r="H10" s="84">
        <f t="shared" si="0"/>
        <v>1090.65437362</v>
      </c>
      <c r="I10" s="84">
        <f t="shared" si="1"/>
        <v>1090.65437362</v>
      </c>
      <c r="J10" s="84">
        <f t="shared" si="2"/>
        <v>53.948971132000004</v>
      </c>
      <c r="L10" s="84"/>
      <c r="M10" s="84">
        <f t="shared" si="4"/>
        <v>223.38704038000014</v>
      </c>
      <c r="N10" s="84">
        <f t="shared" si="5"/>
        <v>223.38704038000014</v>
      </c>
      <c r="O10" s="84">
        <f t="shared" si="6"/>
        <v>11.049789268000005</v>
      </c>
    </row>
    <row r="11" spans="1:15" ht="12.75">
      <c r="A11" s="31">
        <v>41000</v>
      </c>
      <c r="B11" s="33">
        <v>2317.938</v>
      </c>
      <c r="C11" s="33">
        <v>1314.041414</v>
      </c>
      <c r="D11" s="33">
        <v>3631.9794140000004</v>
      </c>
      <c r="E11" s="51">
        <v>64.99876040000001</v>
      </c>
      <c r="G11" s="84">
        <f aca="true" t="shared" si="7" ref="G11:G45">$G$4*$B11</f>
        <v>1923.88854</v>
      </c>
      <c r="H11" s="84">
        <f t="shared" si="0"/>
        <v>1090.65437362</v>
      </c>
      <c r="I11" s="84">
        <f t="shared" si="1"/>
        <v>3014.54291362</v>
      </c>
      <c r="J11" s="84">
        <f t="shared" si="2"/>
        <v>53.948971132000004</v>
      </c>
      <c r="L11" s="84">
        <f t="shared" si="3"/>
        <v>394.0494600000002</v>
      </c>
      <c r="M11" s="84">
        <f t="shared" si="4"/>
        <v>223.38704038000014</v>
      </c>
      <c r="N11" s="84">
        <f t="shared" si="5"/>
        <v>617.4365003800003</v>
      </c>
      <c r="O11" s="84">
        <f t="shared" si="6"/>
        <v>11.049789268000005</v>
      </c>
    </row>
    <row r="12" spans="1:15" ht="12.75">
      <c r="A12" s="31">
        <v>41183</v>
      </c>
      <c r="B12" s="33"/>
      <c r="C12" s="33">
        <v>1267.682654</v>
      </c>
      <c r="D12" s="33">
        <v>1267.682654</v>
      </c>
      <c r="E12" s="51">
        <v>64.99876040000001</v>
      </c>
      <c r="G12" s="84"/>
      <c r="H12" s="84">
        <f t="shared" si="0"/>
        <v>1052.17660282</v>
      </c>
      <c r="I12" s="84">
        <f t="shared" si="1"/>
        <v>1052.17660282</v>
      </c>
      <c r="J12" s="84">
        <f t="shared" si="2"/>
        <v>53.948971132000004</v>
      </c>
      <c r="L12" s="84"/>
      <c r="M12" s="84">
        <f t="shared" si="4"/>
        <v>215.50605118</v>
      </c>
      <c r="N12" s="84">
        <f t="shared" si="5"/>
        <v>215.50605118</v>
      </c>
      <c r="O12" s="84">
        <f t="shared" si="6"/>
        <v>11.049789268000005</v>
      </c>
    </row>
    <row r="13" spans="1:15" ht="12.75">
      <c r="A13" s="31">
        <v>41365</v>
      </c>
      <c r="B13" s="33">
        <v>2409.036</v>
      </c>
      <c r="C13" s="33">
        <v>1267.682654</v>
      </c>
      <c r="D13" s="33">
        <v>3676.7186540000002</v>
      </c>
      <c r="E13" s="51">
        <v>64.99876040000001</v>
      </c>
      <c r="G13" s="84">
        <f t="shared" si="7"/>
        <v>1999.4998799999998</v>
      </c>
      <c r="H13" s="84">
        <f t="shared" si="0"/>
        <v>1052.17660282</v>
      </c>
      <c r="I13" s="84">
        <f t="shared" si="1"/>
        <v>3051.67648282</v>
      </c>
      <c r="J13" s="84">
        <f t="shared" si="2"/>
        <v>53.948971132000004</v>
      </c>
      <c r="L13" s="84">
        <f t="shared" si="3"/>
        <v>409.5361200000002</v>
      </c>
      <c r="M13" s="84">
        <f t="shared" si="4"/>
        <v>215.50605118</v>
      </c>
      <c r="N13" s="84">
        <f t="shared" si="5"/>
        <v>625.0421711800002</v>
      </c>
      <c r="O13" s="84">
        <f t="shared" si="6"/>
        <v>11.049789268000005</v>
      </c>
    </row>
    <row r="14" spans="1:15" ht="12.75">
      <c r="A14" s="31">
        <v>41548</v>
      </c>
      <c r="B14" s="33"/>
      <c r="C14" s="33">
        <v>1207.456754</v>
      </c>
      <c r="D14" s="33">
        <v>1207.456754</v>
      </c>
      <c r="E14" s="51">
        <v>64.99876040000001</v>
      </c>
      <c r="G14" s="84"/>
      <c r="H14" s="84">
        <f t="shared" si="0"/>
        <v>1002.18910582</v>
      </c>
      <c r="I14" s="84">
        <f t="shared" si="1"/>
        <v>1002.18910582</v>
      </c>
      <c r="J14" s="84">
        <f t="shared" si="2"/>
        <v>53.948971132000004</v>
      </c>
      <c r="L14" s="84"/>
      <c r="M14" s="84">
        <f t="shared" si="4"/>
        <v>205.26764818000004</v>
      </c>
      <c r="N14" s="84">
        <f t="shared" si="5"/>
        <v>205.26764818000004</v>
      </c>
      <c r="O14" s="84">
        <f t="shared" si="6"/>
        <v>11.049789268000005</v>
      </c>
    </row>
    <row r="15" spans="1:15" ht="12.75">
      <c r="A15" s="31">
        <v>41730</v>
      </c>
      <c r="B15" s="33">
        <v>2530.5</v>
      </c>
      <c r="C15" s="33">
        <v>1207.456754</v>
      </c>
      <c r="D15" s="33">
        <v>3737.956754</v>
      </c>
      <c r="E15" s="51">
        <v>64.99876040000001</v>
      </c>
      <c r="G15" s="84">
        <f t="shared" si="7"/>
        <v>2100.315</v>
      </c>
      <c r="H15" s="84">
        <f t="shared" si="0"/>
        <v>1002.18910582</v>
      </c>
      <c r="I15" s="84">
        <f t="shared" si="1"/>
        <v>3102.50410582</v>
      </c>
      <c r="J15" s="84">
        <f t="shared" si="2"/>
        <v>53.948971132000004</v>
      </c>
      <c r="L15" s="84">
        <f t="shared" si="3"/>
        <v>430.18499999999995</v>
      </c>
      <c r="M15" s="84">
        <f t="shared" si="4"/>
        <v>205.26764818000004</v>
      </c>
      <c r="N15" s="84">
        <f t="shared" si="5"/>
        <v>635.45264818</v>
      </c>
      <c r="O15" s="84">
        <f t="shared" si="6"/>
        <v>11.049789268000005</v>
      </c>
    </row>
    <row r="16" spans="1:15" ht="12.75">
      <c r="A16" s="31">
        <v>41913</v>
      </c>
      <c r="B16" s="33"/>
      <c r="C16" s="33">
        <v>1144.194254</v>
      </c>
      <c r="D16" s="33">
        <v>1144.194254</v>
      </c>
      <c r="E16" s="51">
        <v>64.99876040000001</v>
      </c>
      <c r="G16" s="84"/>
      <c r="H16" s="84">
        <f t="shared" si="0"/>
        <v>949.68123082</v>
      </c>
      <c r="I16" s="84">
        <f t="shared" si="1"/>
        <v>949.68123082</v>
      </c>
      <c r="J16" s="84">
        <f t="shared" si="2"/>
        <v>53.948971132000004</v>
      </c>
      <c r="L16" s="84"/>
      <c r="M16" s="84">
        <f t="shared" si="4"/>
        <v>194.51302318</v>
      </c>
      <c r="N16" s="84">
        <f t="shared" si="5"/>
        <v>194.51302318</v>
      </c>
      <c r="O16" s="84">
        <f t="shared" si="6"/>
        <v>11.049789268000005</v>
      </c>
    </row>
    <row r="17" spans="1:15" ht="12.75">
      <c r="A17" s="31">
        <v>42095</v>
      </c>
      <c r="B17" s="33">
        <v>2655.338</v>
      </c>
      <c r="C17" s="33">
        <v>1144.194254</v>
      </c>
      <c r="D17" s="33">
        <v>3799.532254</v>
      </c>
      <c r="E17" s="51">
        <v>64.99876040000001</v>
      </c>
      <c r="G17" s="84">
        <f t="shared" si="7"/>
        <v>2203.93054</v>
      </c>
      <c r="H17" s="84">
        <f t="shared" si="0"/>
        <v>949.68123082</v>
      </c>
      <c r="I17" s="84">
        <f t="shared" si="1"/>
        <v>3153.61177082</v>
      </c>
      <c r="J17" s="84">
        <f t="shared" si="2"/>
        <v>53.948971132000004</v>
      </c>
      <c r="L17" s="84">
        <f t="shared" si="3"/>
        <v>451.40746000000036</v>
      </c>
      <c r="M17" s="84">
        <f t="shared" si="4"/>
        <v>194.51302318</v>
      </c>
      <c r="N17" s="84">
        <f t="shared" si="5"/>
        <v>645.9204831800004</v>
      </c>
      <c r="O17" s="84">
        <f t="shared" si="6"/>
        <v>11.049789268000005</v>
      </c>
    </row>
    <row r="18" spans="1:15" ht="12.75">
      <c r="A18" s="31">
        <v>42278</v>
      </c>
      <c r="B18" s="33"/>
      <c r="C18" s="33">
        <v>1077.810804</v>
      </c>
      <c r="D18" s="33">
        <v>1077.810804</v>
      </c>
      <c r="E18" s="51">
        <v>64.99876040000001</v>
      </c>
      <c r="G18" s="84"/>
      <c r="H18" s="84">
        <f t="shared" si="0"/>
        <v>894.58296732</v>
      </c>
      <c r="I18" s="84">
        <f t="shared" si="1"/>
        <v>894.58296732</v>
      </c>
      <c r="J18" s="84">
        <f t="shared" si="2"/>
        <v>53.948971132000004</v>
      </c>
      <c r="L18" s="84"/>
      <c r="M18" s="84">
        <f t="shared" si="4"/>
        <v>183.22783668</v>
      </c>
      <c r="N18" s="84">
        <f t="shared" si="5"/>
        <v>183.22783668</v>
      </c>
      <c r="O18" s="84">
        <f t="shared" si="6"/>
        <v>11.049789268000005</v>
      </c>
    </row>
    <row r="19" spans="1:15" ht="12.75">
      <c r="A19" s="31">
        <v>42461</v>
      </c>
      <c r="B19" s="33">
        <v>2790.2980000000002</v>
      </c>
      <c r="C19" s="33">
        <v>1077.810804</v>
      </c>
      <c r="D19" s="33">
        <v>3868.1088040000004</v>
      </c>
      <c r="E19" s="51">
        <v>64.99876040000001</v>
      </c>
      <c r="G19" s="84">
        <f t="shared" si="7"/>
        <v>2315.94734</v>
      </c>
      <c r="H19" s="84">
        <f t="shared" si="0"/>
        <v>894.58296732</v>
      </c>
      <c r="I19" s="84">
        <f t="shared" si="1"/>
        <v>3210.5303073200002</v>
      </c>
      <c r="J19" s="84">
        <f t="shared" si="2"/>
        <v>53.948971132000004</v>
      </c>
      <c r="L19" s="84">
        <f t="shared" si="3"/>
        <v>474.35066000000006</v>
      </c>
      <c r="M19" s="84">
        <f t="shared" si="4"/>
        <v>183.22783668</v>
      </c>
      <c r="N19" s="84">
        <f t="shared" si="5"/>
        <v>657.5784966800001</v>
      </c>
      <c r="O19" s="84">
        <f t="shared" si="6"/>
        <v>11.049789268000005</v>
      </c>
    </row>
    <row r="20" spans="1:15" ht="12.75">
      <c r="A20" s="31">
        <v>42644</v>
      </c>
      <c r="B20" s="33"/>
      <c r="C20" s="33">
        <v>1008.053354</v>
      </c>
      <c r="D20" s="33">
        <v>1008.053354</v>
      </c>
      <c r="E20" s="51">
        <v>64.99876040000001</v>
      </c>
      <c r="G20" s="84"/>
      <c r="H20" s="84">
        <f t="shared" si="0"/>
        <v>836.68428382</v>
      </c>
      <c r="I20" s="84">
        <f t="shared" si="1"/>
        <v>836.68428382</v>
      </c>
      <c r="J20" s="84">
        <f t="shared" si="2"/>
        <v>53.948971132000004</v>
      </c>
      <c r="L20" s="84"/>
      <c r="M20" s="84">
        <f t="shared" si="4"/>
        <v>171.36907018</v>
      </c>
      <c r="N20" s="84">
        <f t="shared" si="5"/>
        <v>171.36907018</v>
      </c>
      <c r="O20" s="84">
        <f t="shared" si="6"/>
        <v>11.049789268000005</v>
      </c>
    </row>
    <row r="21" spans="1:15" ht="12.75">
      <c r="A21" s="31">
        <v>42826</v>
      </c>
      <c r="B21" s="33">
        <v>2928.632</v>
      </c>
      <c r="C21" s="33">
        <v>1008.053354</v>
      </c>
      <c r="D21" s="33">
        <v>3936.685354</v>
      </c>
      <c r="E21" s="51">
        <v>64.99876040000001</v>
      </c>
      <c r="G21" s="84">
        <f t="shared" si="7"/>
        <v>2430.76456</v>
      </c>
      <c r="H21" s="84">
        <f t="shared" si="0"/>
        <v>836.68428382</v>
      </c>
      <c r="I21" s="84">
        <f t="shared" si="1"/>
        <v>3267.44884382</v>
      </c>
      <c r="J21" s="84">
        <f t="shared" si="2"/>
        <v>53.948971132000004</v>
      </c>
      <c r="L21" s="84">
        <f t="shared" si="3"/>
        <v>497.86744</v>
      </c>
      <c r="M21" s="84">
        <f t="shared" si="4"/>
        <v>171.36907018</v>
      </c>
      <c r="N21" s="84">
        <f t="shared" si="5"/>
        <v>669.23651018</v>
      </c>
      <c r="O21" s="84">
        <f t="shared" si="6"/>
        <v>11.049789268000005</v>
      </c>
    </row>
    <row r="22" spans="1:15" ht="12.75">
      <c r="A22" s="31">
        <v>43009</v>
      </c>
      <c r="B22" s="33"/>
      <c r="C22" s="33">
        <v>934.8375540000001</v>
      </c>
      <c r="D22" s="33">
        <v>934.8375540000001</v>
      </c>
      <c r="E22" s="51">
        <v>64.99876040000001</v>
      </c>
      <c r="G22" s="84"/>
      <c r="H22" s="84">
        <f t="shared" si="0"/>
        <v>775.9151698200001</v>
      </c>
      <c r="I22" s="84">
        <f t="shared" si="1"/>
        <v>775.9151698200001</v>
      </c>
      <c r="J22" s="84">
        <f t="shared" si="2"/>
        <v>53.948971132000004</v>
      </c>
      <c r="L22" s="84"/>
      <c r="M22" s="84">
        <f t="shared" si="4"/>
        <v>158.92238418</v>
      </c>
      <c r="N22" s="84">
        <f t="shared" si="5"/>
        <v>158.92238418</v>
      </c>
      <c r="O22" s="84">
        <f t="shared" si="6"/>
        <v>11.049789268000005</v>
      </c>
    </row>
    <row r="23" spans="1:15" ht="12.75">
      <c r="A23" s="31">
        <v>43191</v>
      </c>
      <c r="B23" s="33">
        <v>3077.088</v>
      </c>
      <c r="C23" s="33">
        <v>934.8375540000001</v>
      </c>
      <c r="D23" s="33">
        <v>4011.9255540000004</v>
      </c>
      <c r="E23" s="51">
        <v>64.99876040000001</v>
      </c>
      <c r="G23" s="84">
        <f t="shared" si="7"/>
        <v>2553.98304</v>
      </c>
      <c r="H23" s="84">
        <f t="shared" si="0"/>
        <v>775.9151698200001</v>
      </c>
      <c r="I23" s="84">
        <f t="shared" si="1"/>
        <v>3329.8982098200004</v>
      </c>
      <c r="J23" s="84">
        <f t="shared" si="2"/>
        <v>53.948971132000004</v>
      </c>
      <c r="L23" s="84">
        <f t="shared" si="3"/>
        <v>523.1049600000001</v>
      </c>
      <c r="M23" s="84">
        <f t="shared" si="4"/>
        <v>158.92238418</v>
      </c>
      <c r="N23" s="84">
        <f t="shared" si="5"/>
        <v>682.0273441800001</v>
      </c>
      <c r="O23" s="84">
        <f t="shared" si="6"/>
        <v>11.049789268000005</v>
      </c>
    </row>
    <row r="24" spans="1:15" ht="12.75">
      <c r="A24" s="31">
        <v>43374</v>
      </c>
      <c r="B24" s="33"/>
      <c r="C24" s="33">
        <v>857.910354</v>
      </c>
      <c r="D24" s="33">
        <v>857.910354</v>
      </c>
      <c r="E24" s="51">
        <v>64.99876040000001</v>
      </c>
      <c r="G24" s="84"/>
      <c r="H24" s="84">
        <f t="shared" si="0"/>
        <v>712.06559382</v>
      </c>
      <c r="I24" s="84">
        <f t="shared" si="1"/>
        <v>712.06559382</v>
      </c>
      <c r="J24" s="84">
        <f t="shared" si="2"/>
        <v>53.948971132000004</v>
      </c>
      <c r="L24" s="84"/>
      <c r="M24" s="84">
        <f t="shared" si="4"/>
        <v>145.84476017999998</v>
      </c>
      <c r="N24" s="84">
        <f t="shared" si="5"/>
        <v>145.84476017999998</v>
      </c>
      <c r="O24" s="84">
        <f t="shared" si="6"/>
        <v>11.049789268000005</v>
      </c>
    </row>
    <row r="25" spans="1:15" ht="12.75">
      <c r="A25" s="31">
        <v>43556</v>
      </c>
      <c r="B25" s="33">
        <v>3228.918</v>
      </c>
      <c r="C25" s="33">
        <v>857.910354</v>
      </c>
      <c r="D25" s="33">
        <v>4086.828354</v>
      </c>
      <c r="E25" s="51">
        <v>64.99876040000001</v>
      </c>
      <c r="G25" s="84">
        <f t="shared" si="7"/>
        <v>2680.00194</v>
      </c>
      <c r="H25" s="84">
        <f t="shared" si="0"/>
        <v>712.06559382</v>
      </c>
      <c r="I25" s="84">
        <f t="shared" si="1"/>
        <v>3392.06753382</v>
      </c>
      <c r="J25" s="84">
        <f t="shared" si="2"/>
        <v>53.948971132000004</v>
      </c>
      <c r="L25" s="84">
        <f t="shared" si="3"/>
        <v>548.91606</v>
      </c>
      <c r="M25" s="84">
        <f t="shared" si="4"/>
        <v>145.84476017999998</v>
      </c>
      <c r="N25" s="84">
        <f t="shared" si="5"/>
        <v>694.76082018</v>
      </c>
      <c r="O25" s="84">
        <f t="shared" si="6"/>
        <v>11.049789268000005</v>
      </c>
    </row>
    <row r="26" spans="1:15" ht="12.75">
      <c r="A26" s="31">
        <v>43739</v>
      </c>
      <c r="B26" s="33"/>
      <c r="C26" s="33">
        <v>777.187404</v>
      </c>
      <c r="D26" s="33">
        <v>777.187404</v>
      </c>
      <c r="E26" s="51">
        <v>64.99876040000001</v>
      </c>
      <c r="G26" s="84"/>
      <c r="H26" s="84">
        <f t="shared" si="0"/>
        <v>645.06554532</v>
      </c>
      <c r="I26" s="84">
        <f t="shared" si="1"/>
        <v>645.06554532</v>
      </c>
      <c r="J26" s="84">
        <f t="shared" si="2"/>
        <v>53.948971132000004</v>
      </c>
      <c r="L26" s="84"/>
      <c r="M26" s="84">
        <f t="shared" si="4"/>
        <v>132.12185868000006</v>
      </c>
      <c r="N26" s="84">
        <f t="shared" si="5"/>
        <v>132.12185868000006</v>
      </c>
      <c r="O26" s="84">
        <f t="shared" si="6"/>
        <v>11.049789268000005</v>
      </c>
    </row>
    <row r="27" spans="1:15" ht="12.75">
      <c r="A27" s="78">
        <v>43922</v>
      </c>
      <c r="B27" s="33">
        <v>3390.8700000000003</v>
      </c>
      <c r="C27" s="33">
        <v>777.187404</v>
      </c>
      <c r="D27" s="33">
        <v>4168.057404</v>
      </c>
      <c r="E27" s="51">
        <v>64.99876040000001</v>
      </c>
      <c r="G27" s="84">
        <f t="shared" si="7"/>
        <v>2814.4221000000002</v>
      </c>
      <c r="H27" s="84">
        <f t="shared" si="0"/>
        <v>645.06554532</v>
      </c>
      <c r="I27" s="84">
        <f t="shared" si="1"/>
        <v>3459.4876453200004</v>
      </c>
      <c r="J27" s="84">
        <f t="shared" si="2"/>
        <v>53.948971132000004</v>
      </c>
      <c r="L27" s="84">
        <f t="shared" si="3"/>
        <v>576.4479000000001</v>
      </c>
      <c r="M27" s="84">
        <f t="shared" si="4"/>
        <v>132.12185868000006</v>
      </c>
      <c r="N27" s="84">
        <f t="shared" si="5"/>
        <v>708.5697586800002</v>
      </c>
      <c r="O27" s="84">
        <f t="shared" si="6"/>
        <v>11.049789268000005</v>
      </c>
    </row>
    <row r="28" spans="1:15" ht="12.75">
      <c r="A28" s="78">
        <v>44105</v>
      </c>
      <c r="B28" s="33"/>
      <c r="C28" s="33">
        <v>709.370004</v>
      </c>
      <c r="D28" s="33">
        <v>709.370004</v>
      </c>
      <c r="E28" s="51">
        <v>64.99876040000001</v>
      </c>
      <c r="G28" s="84"/>
      <c r="H28" s="84">
        <f t="shared" si="0"/>
        <v>588.7771033199999</v>
      </c>
      <c r="I28" s="84">
        <f t="shared" si="1"/>
        <v>588.7771033199999</v>
      </c>
      <c r="J28" s="84">
        <f t="shared" si="2"/>
        <v>53.948971132000004</v>
      </c>
      <c r="L28" s="84"/>
      <c r="M28" s="84">
        <f t="shared" si="4"/>
        <v>120.59290068000007</v>
      </c>
      <c r="N28" s="84">
        <f t="shared" si="5"/>
        <v>120.59290068000007</v>
      </c>
      <c r="O28" s="84">
        <f t="shared" si="6"/>
        <v>11.049789268000005</v>
      </c>
    </row>
    <row r="29" spans="1:15" ht="12.75">
      <c r="A29" s="78">
        <v>44287</v>
      </c>
      <c r="B29" s="33">
        <v>3525.8300000000004</v>
      </c>
      <c r="C29" s="33">
        <v>709.370004</v>
      </c>
      <c r="D29" s="33">
        <v>4235.200004</v>
      </c>
      <c r="E29" s="51">
        <v>64.99876040000001</v>
      </c>
      <c r="G29" s="84">
        <f t="shared" si="7"/>
        <v>2926.4389</v>
      </c>
      <c r="H29" s="84">
        <f t="shared" si="0"/>
        <v>588.7771033199999</v>
      </c>
      <c r="I29" s="84">
        <f t="shared" si="1"/>
        <v>3515.21600332</v>
      </c>
      <c r="J29" s="84">
        <f t="shared" si="2"/>
        <v>53.948971132000004</v>
      </c>
      <c r="L29" s="84">
        <f t="shared" si="3"/>
        <v>599.3911000000003</v>
      </c>
      <c r="M29" s="84">
        <f t="shared" si="4"/>
        <v>120.59290068000007</v>
      </c>
      <c r="N29" s="84">
        <f t="shared" si="5"/>
        <v>719.9840006800003</v>
      </c>
      <c r="O29" s="84">
        <f t="shared" si="6"/>
        <v>11.049789268000005</v>
      </c>
    </row>
    <row r="30" spans="1:15" ht="12.75">
      <c r="A30" s="78">
        <v>44470</v>
      </c>
      <c r="B30" s="33"/>
      <c r="C30" s="33">
        <v>638.8534040000001</v>
      </c>
      <c r="D30" s="33">
        <v>638.8534040000001</v>
      </c>
      <c r="E30" s="51">
        <v>64.99876040000001</v>
      </c>
      <c r="G30" s="84"/>
      <c r="H30" s="84">
        <f t="shared" si="0"/>
        <v>530.24832532</v>
      </c>
      <c r="I30" s="84">
        <f t="shared" si="1"/>
        <v>530.24832532</v>
      </c>
      <c r="J30" s="84">
        <f t="shared" si="2"/>
        <v>53.948971132000004</v>
      </c>
      <c r="L30" s="84"/>
      <c r="M30" s="84">
        <f t="shared" si="4"/>
        <v>108.60507868000002</v>
      </c>
      <c r="N30" s="84">
        <f t="shared" si="5"/>
        <v>108.60507868000002</v>
      </c>
      <c r="O30" s="84">
        <f t="shared" si="6"/>
        <v>11.049789268000005</v>
      </c>
    </row>
    <row r="31" spans="1:15" ht="12.75">
      <c r="A31" s="78">
        <v>44652</v>
      </c>
      <c r="B31" s="33">
        <v>3667.538</v>
      </c>
      <c r="C31" s="33">
        <v>638.8534040000001</v>
      </c>
      <c r="D31" s="33">
        <v>4306.391404</v>
      </c>
      <c r="E31" s="51">
        <v>64.99876040000001</v>
      </c>
      <c r="G31" s="84">
        <f t="shared" si="7"/>
        <v>3044.05654</v>
      </c>
      <c r="H31" s="84">
        <f t="shared" si="0"/>
        <v>530.24832532</v>
      </c>
      <c r="I31" s="84">
        <f t="shared" si="1"/>
        <v>3574.3048653200003</v>
      </c>
      <c r="J31" s="84">
        <f t="shared" si="2"/>
        <v>53.948971132000004</v>
      </c>
      <c r="L31" s="84">
        <f t="shared" si="3"/>
        <v>623.48146</v>
      </c>
      <c r="M31" s="84">
        <f t="shared" si="4"/>
        <v>108.60507868000002</v>
      </c>
      <c r="N31" s="84">
        <f t="shared" si="5"/>
        <v>732.08653868</v>
      </c>
      <c r="O31" s="84">
        <f t="shared" si="6"/>
        <v>11.049789268000005</v>
      </c>
    </row>
    <row r="32" spans="1:15" ht="12.75">
      <c r="A32" s="78">
        <v>44835</v>
      </c>
      <c r="B32" s="33"/>
      <c r="C32" s="33">
        <v>565.502644</v>
      </c>
      <c r="D32" s="33">
        <v>565.502644</v>
      </c>
      <c r="E32" s="51">
        <v>64.99876040000001</v>
      </c>
      <c r="G32" s="84"/>
      <c r="H32" s="84">
        <f t="shared" si="0"/>
        <v>469.36719452</v>
      </c>
      <c r="I32" s="84">
        <f t="shared" si="1"/>
        <v>469.36719452</v>
      </c>
      <c r="J32" s="84">
        <f t="shared" si="2"/>
        <v>53.948971132000004</v>
      </c>
      <c r="L32" s="84"/>
      <c r="M32" s="84">
        <f t="shared" si="4"/>
        <v>96.13544948000003</v>
      </c>
      <c r="N32" s="84">
        <f t="shared" si="5"/>
        <v>96.13544948000003</v>
      </c>
      <c r="O32" s="84">
        <f t="shared" si="6"/>
        <v>11.049789268000005</v>
      </c>
    </row>
    <row r="33" spans="1:15" ht="12.75">
      <c r="A33" s="78">
        <v>45017</v>
      </c>
      <c r="B33" s="33">
        <v>3812.6200000000003</v>
      </c>
      <c r="C33" s="33">
        <v>565.502644</v>
      </c>
      <c r="D33" s="33">
        <v>4378.122644</v>
      </c>
      <c r="E33" s="51">
        <v>64.99876040000001</v>
      </c>
      <c r="G33" s="84">
        <f t="shared" si="7"/>
        <v>3164.4746</v>
      </c>
      <c r="H33" s="84">
        <f t="shared" si="0"/>
        <v>469.36719452</v>
      </c>
      <c r="I33" s="84">
        <f t="shared" si="1"/>
        <v>3633.84179452</v>
      </c>
      <c r="J33" s="84">
        <f t="shared" si="2"/>
        <v>53.948971132000004</v>
      </c>
      <c r="L33" s="84">
        <f t="shared" si="3"/>
        <v>648.1454000000003</v>
      </c>
      <c r="M33" s="84">
        <f t="shared" si="4"/>
        <v>96.13544948000003</v>
      </c>
      <c r="N33" s="84">
        <f t="shared" si="5"/>
        <v>744.2808494800004</v>
      </c>
      <c r="O33" s="84">
        <f t="shared" si="6"/>
        <v>11.049789268000005</v>
      </c>
    </row>
    <row r="34" spans="1:15" ht="12.75">
      <c r="A34" s="78">
        <v>45200</v>
      </c>
      <c r="B34" s="33"/>
      <c r="C34" s="33">
        <v>495.4928188</v>
      </c>
      <c r="D34" s="33">
        <v>495.4928188</v>
      </c>
      <c r="E34" s="51">
        <v>64.99876040000001</v>
      </c>
      <c r="G34" s="84"/>
      <c r="H34" s="84">
        <f t="shared" si="0"/>
        <v>411.259039604</v>
      </c>
      <c r="I34" s="84">
        <f t="shared" si="1"/>
        <v>411.259039604</v>
      </c>
      <c r="J34" s="84">
        <f t="shared" si="2"/>
        <v>53.948971132000004</v>
      </c>
      <c r="L34" s="84"/>
      <c r="M34" s="84">
        <f t="shared" si="4"/>
        <v>84.233779196</v>
      </c>
      <c r="N34" s="84">
        <f t="shared" si="5"/>
        <v>84.233779196</v>
      </c>
      <c r="O34" s="84">
        <f t="shared" si="6"/>
        <v>11.049789268000005</v>
      </c>
    </row>
    <row r="35" spans="1:15" ht="12.75">
      <c r="A35" s="78">
        <v>45383</v>
      </c>
      <c r="B35" s="33">
        <v>3954.328</v>
      </c>
      <c r="C35" s="33">
        <v>495.4928188</v>
      </c>
      <c r="D35" s="33">
        <v>4449.8208188</v>
      </c>
      <c r="E35" s="51">
        <v>64.99876040000001</v>
      </c>
      <c r="G35" s="84">
        <f t="shared" si="7"/>
        <v>3282.09224</v>
      </c>
      <c r="H35" s="84">
        <f t="shared" si="0"/>
        <v>411.259039604</v>
      </c>
      <c r="I35" s="84">
        <f t="shared" si="1"/>
        <v>3693.351279604</v>
      </c>
      <c r="J35" s="84">
        <f t="shared" si="2"/>
        <v>53.948971132000004</v>
      </c>
      <c r="L35" s="84">
        <f t="shared" si="3"/>
        <v>672.23576</v>
      </c>
      <c r="M35" s="84">
        <f t="shared" si="4"/>
        <v>84.233779196</v>
      </c>
      <c r="N35" s="84">
        <f t="shared" si="5"/>
        <v>756.469539196</v>
      </c>
      <c r="O35" s="84">
        <f t="shared" si="6"/>
        <v>11.049789268000005</v>
      </c>
    </row>
    <row r="36" spans="1:15" ht="12.75">
      <c r="A36" s="78">
        <v>45566</v>
      </c>
      <c r="B36" s="33"/>
      <c r="C36" s="33">
        <v>421.5968204</v>
      </c>
      <c r="D36" s="33">
        <v>421.5968204</v>
      </c>
      <c r="E36" s="51">
        <v>64.99876040000001</v>
      </c>
      <c r="G36" s="84"/>
      <c r="H36" s="84">
        <f t="shared" si="0"/>
        <v>349.925360932</v>
      </c>
      <c r="I36" s="84">
        <f t="shared" si="1"/>
        <v>349.925360932</v>
      </c>
      <c r="J36" s="84">
        <f t="shared" si="2"/>
        <v>53.948971132000004</v>
      </c>
      <c r="L36" s="84"/>
      <c r="M36" s="84">
        <f t="shared" si="4"/>
        <v>71.67145946800002</v>
      </c>
      <c r="N36" s="84">
        <f t="shared" si="5"/>
        <v>71.67145946800002</v>
      </c>
      <c r="O36" s="84">
        <f t="shared" si="6"/>
        <v>11.049789268000005</v>
      </c>
    </row>
    <row r="37" spans="1:15" ht="12.75">
      <c r="A37" s="78">
        <v>45748</v>
      </c>
      <c r="B37" s="33">
        <v>4102.784000000001</v>
      </c>
      <c r="C37" s="33">
        <v>421.5968204</v>
      </c>
      <c r="D37" s="33">
        <v>4524.380820400001</v>
      </c>
      <c r="E37" s="51">
        <v>64.99876040000001</v>
      </c>
      <c r="G37" s="84">
        <f t="shared" si="7"/>
        <v>3405.3107200000004</v>
      </c>
      <c r="H37" s="84">
        <f t="shared" si="0"/>
        <v>349.925360932</v>
      </c>
      <c r="I37" s="84">
        <f t="shared" si="1"/>
        <v>3755.2360809320003</v>
      </c>
      <c r="J37" s="84">
        <f t="shared" si="2"/>
        <v>53.948971132000004</v>
      </c>
      <c r="L37" s="84">
        <f t="shared" si="3"/>
        <v>697.4732800000002</v>
      </c>
      <c r="M37" s="84">
        <f t="shared" si="4"/>
        <v>71.67145946800002</v>
      </c>
      <c r="N37" s="84">
        <f t="shared" si="5"/>
        <v>769.1447394680001</v>
      </c>
      <c r="O37" s="84">
        <f t="shared" si="6"/>
        <v>11.049789268000005</v>
      </c>
    </row>
    <row r="38" spans="1:15" ht="12.75">
      <c r="A38" s="78">
        <v>45931</v>
      </c>
      <c r="B38" s="33"/>
      <c r="C38" s="33">
        <v>344.9260444</v>
      </c>
      <c r="D38" s="33">
        <v>344.9260444</v>
      </c>
      <c r="E38" s="51">
        <v>64.99876040000001</v>
      </c>
      <c r="G38" s="84"/>
      <c r="H38" s="84">
        <f t="shared" si="0"/>
        <v>286.288616852</v>
      </c>
      <c r="I38" s="84">
        <f t="shared" si="1"/>
        <v>286.288616852</v>
      </c>
      <c r="J38" s="84">
        <f t="shared" si="2"/>
        <v>53.948971132000004</v>
      </c>
      <c r="L38" s="84"/>
      <c r="M38" s="84">
        <f t="shared" si="4"/>
        <v>58.637427548000005</v>
      </c>
      <c r="N38" s="84">
        <f t="shared" si="5"/>
        <v>58.637427548000005</v>
      </c>
      <c r="O38" s="84">
        <f t="shared" si="6"/>
        <v>11.049789268000005</v>
      </c>
    </row>
    <row r="39" spans="1:15" ht="12.75">
      <c r="A39" s="78">
        <v>46113</v>
      </c>
      <c r="B39" s="33">
        <v>4254.6140000000005</v>
      </c>
      <c r="C39" s="33">
        <v>344.9260444</v>
      </c>
      <c r="D39" s="33">
        <v>4599.540044400001</v>
      </c>
      <c r="E39" s="51">
        <v>64.99876040000001</v>
      </c>
      <c r="G39" s="84">
        <f t="shared" si="7"/>
        <v>3531.3296200000004</v>
      </c>
      <c r="H39" s="84">
        <f t="shared" si="0"/>
        <v>286.288616852</v>
      </c>
      <c r="I39" s="84">
        <f t="shared" si="1"/>
        <v>3817.6182368520003</v>
      </c>
      <c r="J39" s="84">
        <f t="shared" si="2"/>
        <v>53.948971132000004</v>
      </c>
      <c r="L39" s="84">
        <f t="shared" si="3"/>
        <v>723.28438</v>
      </c>
      <c r="M39" s="84">
        <f t="shared" si="4"/>
        <v>58.637427548000005</v>
      </c>
      <c r="N39" s="84">
        <f t="shared" si="5"/>
        <v>781.9218075480001</v>
      </c>
      <c r="O39" s="84">
        <f t="shared" si="6"/>
        <v>11.049789268000005</v>
      </c>
    </row>
    <row r="40" spans="1:15" ht="12.75">
      <c r="A40" s="78">
        <v>46296</v>
      </c>
      <c r="B40" s="33"/>
      <c r="C40" s="33">
        <v>264.7260644</v>
      </c>
      <c r="D40" s="33">
        <v>264.7260644</v>
      </c>
      <c r="E40" s="51">
        <v>64.99876040000001</v>
      </c>
      <c r="G40" s="84"/>
      <c r="H40" s="84">
        <f t="shared" si="0"/>
        <v>219.72263345199997</v>
      </c>
      <c r="I40" s="84">
        <f t="shared" si="1"/>
        <v>219.72263345199997</v>
      </c>
      <c r="J40" s="84">
        <f t="shared" si="2"/>
        <v>53.948971132000004</v>
      </c>
      <c r="L40" s="84"/>
      <c r="M40" s="84">
        <f t="shared" si="4"/>
        <v>45.003430948000016</v>
      </c>
      <c r="N40" s="84">
        <f t="shared" si="5"/>
        <v>45.003430948000016</v>
      </c>
      <c r="O40" s="84">
        <f t="shared" si="6"/>
        <v>11.049789268000005</v>
      </c>
    </row>
    <row r="41" spans="1:15" ht="12.75">
      <c r="A41" s="78">
        <v>46478</v>
      </c>
      <c r="B41" s="33">
        <v>4416.566</v>
      </c>
      <c r="C41" s="33">
        <v>264.7260644</v>
      </c>
      <c r="D41" s="33">
        <v>4681.2920644</v>
      </c>
      <c r="E41" s="51">
        <v>64.99876040000001</v>
      </c>
      <c r="G41" s="84">
        <f t="shared" si="7"/>
        <v>3665.7497799999996</v>
      </c>
      <c r="H41" s="84">
        <f t="shared" si="0"/>
        <v>219.72263345199997</v>
      </c>
      <c r="I41" s="84">
        <f t="shared" si="1"/>
        <v>3885.4724134519997</v>
      </c>
      <c r="J41" s="84">
        <f t="shared" si="2"/>
        <v>53.948971132000004</v>
      </c>
      <c r="L41" s="84">
        <f t="shared" si="3"/>
        <v>750.8162200000002</v>
      </c>
      <c r="M41" s="84">
        <f t="shared" si="4"/>
        <v>45.003430948000016</v>
      </c>
      <c r="N41" s="84">
        <f t="shared" si="5"/>
        <v>795.8196509480001</v>
      </c>
      <c r="O41" s="84">
        <f t="shared" si="6"/>
        <v>11.049789268000005</v>
      </c>
    </row>
    <row r="42" spans="1:15" ht="12.75">
      <c r="A42" s="78">
        <v>46661</v>
      </c>
      <c r="B42" s="33"/>
      <c r="C42" s="33">
        <v>180.7566516</v>
      </c>
      <c r="D42" s="33">
        <v>180.7566516</v>
      </c>
      <c r="E42" s="51">
        <v>64.99876040000001</v>
      </c>
      <c r="G42" s="84"/>
      <c r="H42" s="84">
        <f t="shared" si="0"/>
        <v>150.028020828</v>
      </c>
      <c r="I42" s="84">
        <f t="shared" si="1"/>
        <v>150.028020828</v>
      </c>
      <c r="J42" s="84">
        <f t="shared" si="2"/>
        <v>53.948971132000004</v>
      </c>
      <c r="L42" s="84"/>
      <c r="M42" s="84">
        <f t="shared" si="4"/>
        <v>30.728630772000002</v>
      </c>
      <c r="N42" s="84">
        <f t="shared" si="5"/>
        <v>30.728630772000002</v>
      </c>
      <c r="O42" s="84">
        <f t="shared" si="6"/>
        <v>11.049789268000005</v>
      </c>
    </row>
    <row r="43" spans="1:15" ht="12.75">
      <c r="A43" s="78">
        <v>46844</v>
      </c>
      <c r="B43" s="33">
        <v>4585.2660000000005</v>
      </c>
      <c r="C43" s="33">
        <v>180.7566516</v>
      </c>
      <c r="D43" s="33">
        <v>4766.0226516</v>
      </c>
      <c r="E43" s="51">
        <v>64.99876040000001</v>
      </c>
      <c r="G43" s="84">
        <f t="shared" si="7"/>
        <v>3805.7707800000003</v>
      </c>
      <c r="H43" s="84">
        <f t="shared" si="0"/>
        <v>150.028020828</v>
      </c>
      <c r="I43" s="84">
        <f t="shared" si="1"/>
        <v>3955.7988008280004</v>
      </c>
      <c r="J43" s="84">
        <f t="shared" si="2"/>
        <v>53.948971132000004</v>
      </c>
      <c r="L43" s="84">
        <f t="shared" si="3"/>
        <v>779.4952200000002</v>
      </c>
      <c r="M43" s="84">
        <f t="shared" si="4"/>
        <v>30.728630772000002</v>
      </c>
      <c r="N43" s="84">
        <f t="shared" si="5"/>
        <v>810.2238507720002</v>
      </c>
      <c r="O43" s="84">
        <f t="shared" si="6"/>
        <v>11.049789268000005</v>
      </c>
    </row>
    <row r="44" spans="1:15" ht="12.75">
      <c r="A44" s="78">
        <v>47027</v>
      </c>
      <c r="B44" s="33"/>
      <c r="C44" s="33">
        <v>92.8342604</v>
      </c>
      <c r="D44" s="33">
        <v>92.8342604</v>
      </c>
      <c r="E44" s="51">
        <v>64.99876040000001</v>
      </c>
      <c r="G44" s="84"/>
      <c r="H44" s="84">
        <f t="shared" si="0"/>
        <v>77.052436132</v>
      </c>
      <c r="I44" s="84">
        <f t="shared" si="1"/>
        <v>77.052436132</v>
      </c>
      <c r="J44" s="84">
        <f t="shared" si="2"/>
        <v>53.948971132000004</v>
      </c>
      <c r="L44" s="84"/>
      <c r="M44" s="84">
        <f t="shared" si="4"/>
        <v>15.781824268000008</v>
      </c>
      <c r="N44" s="84">
        <f t="shared" si="5"/>
        <v>15.781824268000008</v>
      </c>
      <c r="O44" s="84">
        <f t="shared" si="6"/>
        <v>11.049789268000005</v>
      </c>
    </row>
    <row r="45" spans="1:15" ht="12.75">
      <c r="A45" s="78">
        <v>47209</v>
      </c>
      <c r="B45" s="33">
        <v>4760.714</v>
      </c>
      <c r="C45" s="33">
        <v>92.8342604</v>
      </c>
      <c r="D45" s="33">
        <v>4853.5482604</v>
      </c>
      <c r="E45" s="51">
        <v>64.993362</v>
      </c>
      <c r="G45" s="84">
        <f t="shared" si="7"/>
        <v>3951.3926199999996</v>
      </c>
      <c r="H45" s="84">
        <f t="shared" si="0"/>
        <v>77.052436132</v>
      </c>
      <c r="I45" s="84">
        <f t="shared" si="1"/>
        <v>4028.4450561319995</v>
      </c>
      <c r="J45" s="84">
        <f t="shared" si="2"/>
        <v>53.944490460000004</v>
      </c>
      <c r="L45" s="84">
        <f t="shared" si="3"/>
        <v>809.3213800000003</v>
      </c>
      <c r="M45" s="84">
        <f t="shared" si="4"/>
        <v>15.781824268000008</v>
      </c>
      <c r="N45" s="84">
        <f t="shared" si="5"/>
        <v>825.1032042680004</v>
      </c>
      <c r="O45" s="84">
        <f t="shared" si="6"/>
        <v>11.04887154</v>
      </c>
    </row>
    <row r="46" spans="1:15" ht="12.75">
      <c r="A46" s="31"/>
      <c r="L46" s="84"/>
      <c r="M46" s="84"/>
      <c r="N46" s="84"/>
      <c r="O46" s="84"/>
    </row>
    <row r="47" spans="1:15" ht="13.5" thickBot="1">
      <c r="A47" s="31" t="s">
        <v>4</v>
      </c>
      <c r="B47" s="50">
        <f>SUM(B8:B46)</f>
        <v>64659.33600000001</v>
      </c>
      <c r="C47" s="50">
        <f>SUM(C8:C46)</f>
        <v>29381.340550000008</v>
      </c>
      <c r="D47" s="50">
        <f>SUM(D8:D46)</f>
        <v>94040.67654999997</v>
      </c>
      <c r="E47" s="50">
        <f>SUM(E8:E46)</f>
        <v>2469.9474968</v>
      </c>
      <c r="G47" s="50">
        <f>SUM(G8:G46)</f>
        <v>53667.24888000001</v>
      </c>
      <c r="H47" s="50">
        <f>SUM(H8:H46)</f>
        <v>24386.512656500003</v>
      </c>
      <c r="I47" s="50">
        <f>SUM(I8:I46)</f>
        <v>78053.76153649997</v>
      </c>
      <c r="J47" s="50">
        <f>SUM(J8:J46)</f>
        <v>2050.056422344</v>
      </c>
      <c r="L47" s="85">
        <f>SUM(L8:L46)</f>
        <v>10992.087120000004</v>
      </c>
      <c r="M47" s="85">
        <f>SUM(M8:M46)</f>
        <v>4994.827893499998</v>
      </c>
      <c r="N47" s="85">
        <f>SUM(N8:N46)</f>
        <v>15986.915013500002</v>
      </c>
      <c r="O47" s="85">
        <f>SUM(O8:O46)</f>
        <v>419.891074456</v>
      </c>
    </row>
    <row r="48" spans="12:15" ht="13.5" thickTop="1">
      <c r="L48" s="84"/>
      <c r="M48" s="84"/>
      <c r="N48" s="84"/>
      <c r="O48" s="84"/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2016-06-01T17:56:39Z</cp:lastPrinted>
  <dcterms:created xsi:type="dcterms:W3CDTF">1998-02-23T20:58:01Z</dcterms:created>
  <dcterms:modified xsi:type="dcterms:W3CDTF">2016-06-01T17:56:49Z</dcterms:modified>
  <cp:category/>
  <cp:version/>
  <cp:contentType/>
  <cp:contentStatus/>
</cp:coreProperties>
</file>