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786" activeTab="0"/>
  </bookViews>
  <sheets>
    <sheet name="2006A " sheetId="1" r:id="rId1"/>
    <sheet name="2006A Academic " sheetId="2" r:id="rId2"/>
    <sheet name="2012D" sheetId="3" r:id="rId3"/>
    <sheet name="2012D Academic" sheetId="4" r:id="rId4"/>
    <sheet name="Percentage-Final" sheetId="5" r:id="rId5"/>
    <sheet name="Percentage-Final after UB" sheetId="6" r:id="rId6"/>
    <sheet name="UB Adjustment" sheetId="7" r:id="rId7"/>
    <sheet name="umbi adjustment" sheetId="8" r:id="rId8"/>
  </sheets>
  <definedNames>
    <definedName name="_xlnm.Print_Area" localSheetId="4">'Percentage-Final'!$A$1:$R$55</definedName>
    <definedName name="_xlnm.Print_Titles" localSheetId="0">'2006A '!$A:$B</definedName>
    <definedName name="_xlnm.Print_Titles" localSheetId="1">'2006A Academic '!$A:$A</definedName>
    <definedName name="_xlnm.Print_Titles" localSheetId="2">'2012D'!$A:$A</definedName>
    <definedName name="_xlnm.Print_Titles" localSheetId="3">'2012D Academic'!$A:$A</definedName>
  </definedNames>
  <calcPr fullCalcOnLoad="1"/>
</workbook>
</file>

<file path=xl/sharedStrings.xml><?xml version="1.0" encoding="utf-8"?>
<sst xmlns="http://schemas.openxmlformats.org/spreadsheetml/2006/main" count="1159" uniqueCount="153">
  <si>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</si>
  <si>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</si>
  <si>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</si>
  <si>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</si>
  <si>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</si>
  <si>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</si>
  <si>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</si>
  <si>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</si>
  <si>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</si>
  <si>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</si>
  <si>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</si>
  <si>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</si>
  <si>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</si>
  <si>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</si>
  <si>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</si>
  <si>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UMB</t>
  </si>
  <si>
    <t>22th Acad</t>
  </si>
  <si>
    <t>UMES</t>
  </si>
  <si>
    <t>Utilities Upgrade/Site Improve</t>
  </si>
  <si>
    <t>CSC</t>
  </si>
  <si>
    <t>Facilities Renewal</t>
  </si>
  <si>
    <t>UMBC</t>
  </si>
  <si>
    <t>UMCES</t>
  </si>
  <si>
    <t>BSU</t>
  </si>
  <si>
    <t>FSU</t>
  </si>
  <si>
    <t>TU</t>
  </si>
  <si>
    <t>UB</t>
  </si>
  <si>
    <t>Health/Human Service Bldg</t>
  </si>
  <si>
    <t>Emergency Fund Projects</t>
  </si>
  <si>
    <t>Resident Hall Renovations</t>
  </si>
  <si>
    <t>USMO</t>
  </si>
  <si>
    <t>New Recreation &amp; Athletic Fac</t>
  </si>
  <si>
    <t xml:space="preserve">       UMCP Facilities Renewal (Academic)</t>
  </si>
  <si>
    <t xml:space="preserve">        UMES Utilities Upgrade (Academic)</t>
  </si>
  <si>
    <t>Shady Grove Parking Lot 2</t>
  </si>
  <si>
    <t>24th Aux</t>
  </si>
  <si>
    <t>New Child Care Center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</si>
  <si>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</si>
  <si>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</si>
  <si>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</si>
  <si>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</si>
  <si>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</si>
  <si>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>25th Aux</t>
  </si>
  <si>
    <t>New Campus Center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</si>
  <si>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</si>
  <si>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</si>
  <si>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</si>
  <si>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</si>
  <si>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</si>
  <si>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</si>
  <si>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</si>
  <si>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</si>
  <si>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</si>
  <si>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</si>
  <si>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</si>
  <si>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</si>
  <si>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</si>
  <si>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</si>
  <si>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</si>
  <si>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</si>
  <si>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2006 Series A Bond Funded Projects</t>
  </si>
  <si>
    <t xml:space="preserve">           Total Academic Projects - 2006A</t>
  </si>
  <si>
    <t xml:space="preserve">           Total Auxiliary Projects - 2006A</t>
  </si>
  <si>
    <t>26th Acad</t>
  </si>
  <si>
    <t xml:space="preserve">Facilities Renewal </t>
  </si>
  <si>
    <t>25,26th Acad</t>
  </si>
  <si>
    <t>22nd Acad</t>
  </si>
  <si>
    <t>21st Acad</t>
  </si>
  <si>
    <t>Construct Aquaculture Building</t>
  </si>
  <si>
    <t>UMBI</t>
  </si>
  <si>
    <t>26th Aux</t>
  </si>
  <si>
    <t>Dining Hall: HVAC Upgrade</t>
  </si>
  <si>
    <t>West Village Infrastructure &amp; Site Improvement</t>
  </si>
  <si>
    <t>25,26th Aux</t>
  </si>
  <si>
    <t>New Student Center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</si>
  <si>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</si>
  <si>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</si>
  <si>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</si>
  <si>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>2006 Series A Bonds</t>
  </si>
  <si>
    <t>24,26,27th Acad</t>
  </si>
  <si>
    <t>26,27th Acad</t>
  </si>
  <si>
    <t>19,24,25,26,27th Acad</t>
  </si>
  <si>
    <t>24,25,26th Acad</t>
  </si>
  <si>
    <t>21st,24th Acad</t>
  </si>
  <si>
    <t>20th Acad</t>
  </si>
  <si>
    <t>27th Aux</t>
  </si>
  <si>
    <t>Fraternity/Sorority Houses Renovation</t>
  </si>
  <si>
    <t>Golf Course Improvements</t>
  </si>
  <si>
    <t>SCUB Utilities Facility</t>
  </si>
  <si>
    <t>21,25,26th Aux</t>
  </si>
  <si>
    <t>Hillcrest Demolition/Parking Lot</t>
  </si>
  <si>
    <t>CSU</t>
  </si>
  <si>
    <t>Parking Garage</t>
  </si>
  <si>
    <t>SU</t>
  </si>
  <si>
    <t>Lane Center Renovation/Addition</t>
  </si>
  <si>
    <t>New Parking Garage</t>
  </si>
  <si>
    <t>Holmes Hall &amp; Tubman Hall Renovation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</si>
  <si>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</si>
  <si>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</si>
  <si>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</si>
  <si>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</si>
  <si>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</si>
  <si>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</si>
  <si>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</si>
  <si>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</si>
  <si>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</si>
  <si>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24,25,26,27th Acad</t>
  </si>
  <si>
    <t>25,26,27th Acad</t>
  </si>
  <si>
    <t>28th Acad</t>
  </si>
  <si>
    <t>25th Acad</t>
  </si>
  <si>
    <t>Shady Grove Education Center III</t>
  </si>
  <si>
    <t>22,24,25,27,28th Acad</t>
  </si>
  <si>
    <t>24th Acad</t>
  </si>
  <si>
    <t>21, 22nd Acad</t>
  </si>
  <si>
    <t>Social Science, Education &amp; Health Science</t>
  </si>
  <si>
    <t>West Village Dining Commons</t>
  </si>
  <si>
    <t>26,27th Aux</t>
  </si>
  <si>
    <t>Wicomico Hall Renovation</t>
  </si>
  <si>
    <t>24,26th Aux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</si>
  <si>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</si>
  <si>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</si>
  <si>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</si>
  <si>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</si>
  <si>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</si>
  <si>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</si>
  <si>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</si>
  <si>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>21st, 22nd Acad</t>
  </si>
  <si>
    <t>Byrd Stadium Expansion</t>
  </si>
  <si>
    <t>**** Reduce $488,852.12</t>
  </si>
  <si>
    <t xml:space="preserve">   FSU Emergency Fund Projects (Academic)</t>
  </si>
  <si>
    <t xml:space="preserve">   UMCP Byrd Stadium Expansion (Auxiliary)</t>
  </si>
  <si>
    <t>New Dental School*****</t>
  </si>
  <si>
    <t xml:space="preserve">        CSU Facilities Renewal (Academic)</t>
  </si>
  <si>
    <t>22nd Aux</t>
  </si>
  <si>
    <t>Shady Grove Parking Garage</t>
  </si>
  <si>
    <t xml:space="preserve"> USMO Shady Grove Parking Garage (Auxiliary)</t>
  </si>
  <si>
    <t xml:space="preserve">          Distribution of Debt Services after 2012D Bond Issue</t>
  </si>
  <si>
    <t xml:space="preserve">  Debt Svc from Earnings and Plant Fund A/C</t>
  </si>
  <si>
    <t>Amort of</t>
  </si>
  <si>
    <t>Premium</t>
  </si>
  <si>
    <t>Note:  In FY13 We decided to remove this column from the 2006 Series A.  I used Mei-Chin's revised percentage allocation to spread the effect of this removal</t>
  </si>
  <si>
    <t>to the remaining projects.  This change resulted in a small reduction of debt svc for the remaining projects.  We decided to give UB a one time adjustment</t>
  </si>
  <si>
    <t>equal to this column on their FY13 debt svc payments.  The removal of this column was in conjunction with the refinaning of the 2006A on the 2012D.</t>
  </si>
  <si>
    <t>Revised 2006A debt after 2012D</t>
  </si>
  <si>
    <t>2006 Series A - Original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</si>
  <si>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</si>
  <si>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</si>
  <si>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</si>
  <si>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</si>
  <si>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</si>
  <si>
    <t>After UB adjustment</t>
  </si>
  <si>
    <t>2006 A Refinanced on 2012D</t>
  </si>
  <si>
    <t>Loss on refunding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</si>
</sst>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  <numFmt numFmtId="178" formatCode="0.0000%"/>
    <numFmt numFmtId="179" formatCode="_(* #,##0_);_(* \(#,##0\);_(* &quot;-&quot;??_);_(@_)"/>
    <numFmt numFmtId="180" formatCode="_(* #,##0.0_);_(* \(#,##0.0\);_(* &quot;-&quot;??_);_(@_)"/>
    <numFmt numFmtId="181" formatCode="0.0000000000000000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0.0%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72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72" fontId="0" fillId="0" borderId="22" xfId="0" applyNumberFormat="1" applyBorder="1" applyAlignment="1">
      <alignment horizontal="right"/>
    </xf>
    <xf numFmtId="172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72" fontId="0" fillId="0" borderId="10" xfId="0" applyNumberFormat="1" applyBorder="1" applyAlignment="1" quotePrefix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5" xfId="0" applyNumberFormat="1" applyBorder="1" applyAlignment="1">
      <alignment horizontal="left"/>
    </xf>
    <xf numFmtId="40" fontId="0" fillId="0" borderId="0" xfId="0" applyNumberFormat="1" applyAlignment="1">
      <alignment horizontal="right"/>
    </xf>
    <xf numFmtId="38" fontId="0" fillId="33" borderId="10" xfId="0" applyNumberFormat="1" applyFill="1" applyBorder="1" applyAlignment="1">
      <alignment horizontal="left"/>
    </xf>
    <xf numFmtId="9" fontId="0" fillId="0" borderId="0" xfId="59" applyFont="1" applyAlignment="1">
      <alignment/>
    </xf>
    <xf numFmtId="179" fontId="0" fillId="0" borderId="0" xfId="42" applyNumberFormat="1" applyFont="1" applyAlignment="1">
      <alignment/>
    </xf>
    <xf numFmtId="38" fontId="0" fillId="0" borderId="10" xfId="0" applyNumberFormat="1" applyFont="1" applyBorder="1" applyAlignment="1" quotePrefix="1">
      <alignment horizontal="left"/>
    </xf>
    <xf numFmtId="38" fontId="1" fillId="0" borderId="10" xfId="0" applyNumberFormat="1" applyFont="1" applyBorder="1" applyAlignment="1" quotePrefix="1">
      <alignment horizontal="left"/>
    </xf>
    <xf numFmtId="179" fontId="0" fillId="0" borderId="20" xfId="42" applyNumberFormat="1" applyFont="1" applyBorder="1" applyAlignment="1">
      <alignment horizontal="right"/>
    </xf>
    <xf numFmtId="179" fontId="0" fillId="0" borderId="0" xfId="0" applyNumberFormat="1" applyAlignment="1">
      <alignment/>
    </xf>
    <xf numFmtId="172" fontId="0" fillId="0" borderId="0" xfId="59" applyNumberFormat="1" applyFont="1" applyAlignment="1">
      <alignment/>
    </xf>
    <xf numFmtId="38" fontId="0" fillId="33" borderId="0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172" fontId="0" fillId="0" borderId="23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A69"/>
  <sheetViews>
    <sheetView tabSelected="1"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0" sqref="C10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140625" style="34" customWidth="1"/>
    <col min="7" max="7" width="3.7109375" style="32" customWidth="1"/>
    <col min="8" max="8" width="13.7109375" style="32" customWidth="1"/>
    <col min="9" max="9" width="9.7109375" style="32" bestFit="1" customWidth="1"/>
    <col min="10" max="11" width="13.7109375" style="32" customWidth="1"/>
    <col min="12" max="12" width="3.7109375" style="32" customWidth="1"/>
    <col min="13" max="16" width="13.7109375" style="0" customWidth="1"/>
    <col min="17" max="17" width="3.7109375" style="32" customWidth="1"/>
    <col min="18" max="21" width="13.7109375" style="0" customWidth="1"/>
    <col min="22" max="22" width="3.7109375" style="32" customWidth="1"/>
    <col min="23" max="26" width="13.7109375" style="0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0" customWidth="1"/>
    <col min="37" max="37" width="3.7109375" style="32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3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3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6" width="13.7109375" style="20" customWidth="1"/>
    <col min="127" max="127" width="3.7109375" style="20" customWidth="1"/>
    <col min="128" max="131" width="13.7109375" style="20" customWidth="1"/>
    <col min="132" max="132" width="3.7109375" style="0" customWidth="1"/>
  </cols>
  <sheetData>
    <row r="1" spans="1:128" ht="12.75">
      <c r="A1" s="40"/>
      <c r="B1" s="29"/>
      <c r="C1" s="41"/>
      <c r="H1" s="41"/>
      <c r="M1" s="41"/>
      <c r="R1" s="34"/>
      <c r="S1" s="41" t="s">
        <v>14</v>
      </c>
      <c r="W1" s="41"/>
      <c r="AG1" s="34"/>
      <c r="AH1" s="41" t="s">
        <v>14</v>
      </c>
      <c r="AL1" s="41"/>
      <c r="AV1" s="34"/>
      <c r="AW1" s="41" t="s">
        <v>14</v>
      </c>
      <c r="BA1" s="41"/>
      <c r="BK1" s="34"/>
      <c r="BL1" s="41" t="s">
        <v>14</v>
      </c>
      <c r="BP1" s="41"/>
      <c r="BZ1" s="34"/>
      <c r="CA1" s="41" t="s">
        <v>14</v>
      </c>
      <c r="CE1" s="41"/>
      <c r="CO1" s="34"/>
      <c r="CP1" s="41" t="s">
        <v>14</v>
      </c>
      <c r="CT1" s="41"/>
      <c r="DD1" s="34"/>
      <c r="DE1" s="41" t="s">
        <v>14</v>
      </c>
      <c r="DI1" s="41"/>
      <c r="DS1" s="34"/>
      <c r="DT1" s="41" t="s">
        <v>14</v>
      </c>
      <c r="DX1" s="41" t="s">
        <v>14</v>
      </c>
    </row>
    <row r="2" spans="1:128" ht="12.75">
      <c r="A2" s="40"/>
      <c r="B2" s="29"/>
      <c r="C2" s="32"/>
      <c r="D2" s="32"/>
      <c r="H2" s="41"/>
      <c r="M2" s="41"/>
      <c r="R2" s="41" t="s">
        <v>136</v>
      </c>
      <c r="S2" s="32"/>
      <c r="W2" s="41"/>
      <c r="AG2" s="41" t="s">
        <v>136</v>
      </c>
      <c r="AH2" s="32"/>
      <c r="AL2" s="41"/>
      <c r="AV2" s="41" t="s">
        <v>136</v>
      </c>
      <c r="AW2" s="32"/>
      <c r="BA2" s="41"/>
      <c r="BK2" s="41" t="s">
        <v>136</v>
      </c>
      <c r="BL2" s="32"/>
      <c r="BP2" s="41"/>
      <c r="BZ2" s="41" t="s">
        <v>136</v>
      </c>
      <c r="CA2" s="32"/>
      <c r="CE2" s="41"/>
      <c r="CO2" s="41" t="s">
        <v>136</v>
      </c>
      <c r="CP2" s="32"/>
      <c r="CT2" s="41"/>
      <c r="DD2" s="41" t="s">
        <v>136</v>
      </c>
      <c r="DE2" s="32"/>
      <c r="DI2" s="41"/>
      <c r="DS2" s="41" t="s">
        <v>136</v>
      </c>
      <c r="DT2" s="32"/>
      <c r="DX2" s="41" t="s">
        <v>13</v>
      </c>
    </row>
    <row r="3" spans="1:128" ht="12.75">
      <c r="A3" s="40"/>
      <c r="B3" s="29"/>
      <c r="C3" s="41"/>
      <c r="H3" s="41"/>
      <c r="M3" s="41"/>
      <c r="N3" s="12"/>
      <c r="R3" s="34"/>
      <c r="S3" s="41" t="s">
        <v>60</v>
      </c>
      <c r="W3" s="41"/>
      <c r="AG3" s="34"/>
      <c r="AH3" s="41" t="s">
        <v>60</v>
      </c>
      <c r="AL3" s="41"/>
      <c r="AV3" s="34"/>
      <c r="AW3" s="41" t="s">
        <v>60</v>
      </c>
      <c r="BA3" s="41"/>
      <c r="BK3" s="34"/>
      <c r="BL3" s="41" t="s">
        <v>60</v>
      </c>
      <c r="BP3" s="41"/>
      <c r="BZ3" s="34"/>
      <c r="CA3" s="41" t="s">
        <v>60</v>
      </c>
      <c r="CE3" s="41"/>
      <c r="CO3" s="34"/>
      <c r="CP3" s="41" t="s">
        <v>60</v>
      </c>
      <c r="CT3" s="41"/>
      <c r="DD3" s="34"/>
      <c r="DE3" s="41" t="s">
        <v>60</v>
      </c>
      <c r="DI3" s="41"/>
      <c r="DS3" s="34"/>
      <c r="DT3" s="41" t="s">
        <v>60</v>
      </c>
      <c r="DX3" s="41" t="s">
        <v>60</v>
      </c>
    </row>
    <row r="4" spans="1:4" ht="12.75">
      <c r="A4" s="40"/>
      <c r="B4" s="29"/>
      <c r="C4" s="41"/>
      <c r="D4" s="41"/>
    </row>
    <row r="5" spans="1:131" ht="12.75">
      <c r="A5" s="21" t="s">
        <v>9</v>
      </c>
      <c r="C5" s="74" t="s">
        <v>143</v>
      </c>
      <c r="D5" s="44"/>
      <c r="E5" s="45"/>
      <c r="F5" s="82"/>
      <c r="H5" s="35" t="s">
        <v>61</v>
      </c>
      <c r="I5" s="66"/>
      <c r="J5" s="37"/>
      <c r="K5" s="39"/>
      <c r="M5" s="35" t="s">
        <v>62</v>
      </c>
      <c r="N5" s="36"/>
      <c r="O5" s="37"/>
      <c r="P5" s="39"/>
      <c r="R5" s="22" t="s">
        <v>99</v>
      </c>
      <c r="S5" s="23"/>
      <c r="T5" s="24"/>
      <c r="U5" s="61"/>
      <c r="W5" s="22" t="s">
        <v>100</v>
      </c>
      <c r="X5" s="23"/>
      <c r="Y5" s="24"/>
      <c r="Z5" s="61"/>
      <c r="AB5" s="22" t="s">
        <v>130</v>
      </c>
      <c r="AC5" s="23"/>
      <c r="AD5" s="24"/>
      <c r="AE5" s="61"/>
      <c r="AG5" s="22" t="s">
        <v>105</v>
      </c>
      <c r="AH5" s="23"/>
      <c r="AI5" s="24"/>
      <c r="AJ5" s="61"/>
      <c r="AL5" s="22" t="s">
        <v>50</v>
      </c>
      <c r="AM5" s="23"/>
      <c r="AN5" s="24"/>
      <c r="AO5" s="61"/>
      <c r="AQ5" s="22" t="s">
        <v>124</v>
      </c>
      <c r="AR5" s="23"/>
      <c r="AS5" s="24"/>
      <c r="AT5" s="61"/>
      <c r="AV5" s="22" t="s">
        <v>51</v>
      </c>
      <c r="AW5" s="23"/>
      <c r="AX5" s="24"/>
      <c r="AY5" s="61"/>
      <c r="BA5" s="22" t="s">
        <v>52</v>
      </c>
      <c r="BB5" s="23"/>
      <c r="BC5" s="24"/>
      <c r="BD5" s="61"/>
      <c r="BF5" s="53" t="s">
        <v>53</v>
      </c>
      <c r="BG5" s="23"/>
      <c r="BH5" s="24"/>
      <c r="BI5" s="61"/>
      <c r="BK5" s="22" t="s">
        <v>54</v>
      </c>
      <c r="BL5" s="23"/>
      <c r="BM5" s="24"/>
      <c r="BN5" s="61"/>
      <c r="BP5" s="22" t="s">
        <v>55</v>
      </c>
      <c r="BQ5" s="23"/>
      <c r="BR5" s="24"/>
      <c r="BS5" s="61"/>
      <c r="BU5" s="53" t="s">
        <v>135</v>
      </c>
      <c r="BV5" s="23"/>
      <c r="BW5" s="24"/>
      <c r="BX5" s="61"/>
      <c r="BZ5" s="22" t="s">
        <v>101</v>
      </c>
      <c r="CA5" s="23"/>
      <c r="CB5" s="24"/>
      <c r="CC5" s="61"/>
      <c r="CE5" s="22" t="s">
        <v>102</v>
      </c>
      <c r="CF5" s="23"/>
      <c r="CG5" s="24"/>
      <c r="CH5" s="61"/>
      <c r="CJ5" s="22" t="s">
        <v>103</v>
      </c>
      <c r="CK5" s="23"/>
      <c r="CL5" s="24"/>
      <c r="CM5" s="61"/>
      <c r="CO5" s="22" t="s">
        <v>104</v>
      </c>
      <c r="CP5" s="23"/>
      <c r="CQ5" s="24"/>
      <c r="CR5" s="61"/>
      <c r="CT5" s="22" t="s">
        <v>40</v>
      </c>
      <c r="CU5" s="23"/>
      <c r="CV5" s="24"/>
      <c r="CW5" s="61"/>
      <c r="CY5" s="22" t="s">
        <v>58</v>
      </c>
      <c r="CZ5" s="23"/>
      <c r="DA5" s="24"/>
      <c r="DB5" s="61"/>
      <c r="DC5" s="61"/>
      <c r="DD5" s="22" t="s">
        <v>59</v>
      </c>
      <c r="DE5" s="23"/>
      <c r="DF5" s="24"/>
      <c r="DG5" s="61"/>
      <c r="DI5" s="22" t="s">
        <v>125</v>
      </c>
      <c r="DJ5" s="23"/>
      <c r="DK5" s="24"/>
      <c r="DL5" s="61"/>
      <c r="DN5" s="22" t="s">
        <v>77</v>
      </c>
      <c r="DO5" s="23"/>
      <c r="DP5" s="24"/>
      <c r="DQ5" s="61"/>
      <c r="DS5" s="22" t="s">
        <v>41</v>
      </c>
      <c r="DT5" s="23"/>
      <c r="DU5" s="24"/>
      <c r="DV5" s="61"/>
      <c r="DX5" s="53" t="s">
        <v>137</v>
      </c>
      <c r="DY5" s="23"/>
      <c r="DZ5" s="24"/>
      <c r="EA5" s="61"/>
    </row>
    <row r="6" spans="1:131" s="12" customFormat="1" ht="12.75">
      <c r="A6" s="42" t="s">
        <v>10</v>
      </c>
      <c r="C6" s="57" t="s">
        <v>144</v>
      </c>
      <c r="D6" s="36"/>
      <c r="E6" s="37"/>
      <c r="F6" s="39"/>
      <c r="G6" s="32"/>
      <c r="H6" s="65">
        <v>0.0276731</v>
      </c>
      <c r="I6" s="12">
        <v>0.1104899</v>
      </c>
      <c r="J6" s="70">
        <v>0.1471066</v>
      </c>
      <c r="K6" s="83"/>
      <c r="L6" s="32"/>
      <c r="M6" s="65">
        <f>R6+W6+AG6+AL6+AV6+BA6+BF6+BK6+BP6+BZ6+CE6+CJ6+CO6+CT6+CY6+DD6+DN6+DS6+DX6</f>
        <v>0.9723269</v>
      </c>
      <c r="N6" s="69">
        <f>S6+X6+AC6+AH6+AM6+AR6+AW6+BB6+BG6+BL6+BQ6+BV6+CA6+CF6+CK6+CP6+CU6+CZ6+DE6+DJ6+DO6+DT6+DY6</f>
        <v>0.8895101000000001</v>
      </c>
      <c r="O6" s="70">
        <f>T6+Y6+AI6+AN6+AS6+AX6+BC6+BH6+BM6+BR6+CB6+BW6+CG6+CL6+CQ6+CV6+DA6+DF6+DK6+DP6+DU6+DZ6</f>
        <v>0.8528934</v>
      </c>
      <c r="P6" s="83"/>
      <c r="Q6" s="32"/>
      <c r="R6" s="68">
        <v>0</v>
      </c>
      <c r="S6" s="31">
        <v>5.3E-06</v>
      </c>
      <c r="T6" s="70">
        <v>0.0002009</v>
      </c>
      <c r="U6" s="83"/>
      <c r="V6" s="32"/>
      <c r="W6" s="68">
        <v>0</v>
      </c>
      <c r="X6" s="31">
        <v>1.6E-06</v>
      </c>
      <c r="Y6" s="70">
        <v>0.0046596</v>
      </c>
      <c r="Z6" s="83"/>
      <c r="AA6" s="32"/>
      <c r="AB6" s="68">
        <v>0</v>
      </c>
      <c r="AC6" s="31">
        <v>0</v>
      </c>
      <c r="AD6" s="70">
        <v>0</v>
      </c>
      <c r="AE6" s="83"/>
      <c r="AF6" s="32"/>
      <c r="AG6" s="68">
        <v>0</v>
      </c>
      <c r="AH6" s="31">
        <v>0.0023902</v>
      </c>
      <c r="AI6" s="70">
        <v>0.0049018</v>
      </c>
      <c r="AJ6" s="83"/>
      <c r="AK6" s="32"/>
      <c r="AL6" s="68">
        <v>0.0533571</v>
      </c>
      <c r="AM6" s="31">
        <v>0.148282</v>
      </c>
      <c r="AN6" s="70">
        <v>0.2683666</v>
      </c>
      <c r="AO6" s="83"/>
      <c r="AQ6" s="68">
        <v>0</v>
      </c>
      <c r="AR6" s="31">
        <v>0</v>
      </c>
      <c r="AS6" s="70">
        <v>0.0016514</v>
      </c>
      <c r="AT6" s="83"/>
      <c r="AV6" s="68">
        <v>0.0024056</v>
      </c>
      <c r="AW6" s="31">
        <v>0.0057505</v>
      </c>
      <c r="AX6" s="70">
        <v>0.0057505</v>
      </c>
      <c r="AY6" s="83"/>
      <c r="BA6" s="68">
        <v>0.01875</v>
      </c>
      <c r="BB6" s="31">
        <v>0.01875</v>
      </c>
      <c r="BC6" s="70">
        <v>0.043991</v>
      </c>
      <c r="BD6" s="83"/>
      <c r="BF6" s="68">
        <v>0.0029004</v>
      </c>
      <c r="BG6" s="31">
        <v>0.0135113</v>
      </c>
      <c r="BH6" s="70">
        <v>0.0138588</v>
      </c>
      <c r="BI6" s="83"/>
      <c r="BK6" s="68">
        <v>0.005477</v>
      </c>
      <c r="BL6" s="31">
        <v>0.030839</v>
      </c>
      <c r="BM6" s="70">
        <v>0.0601359</v>
      </c>
      <c r="BN6" s="83"/>
      <c r="BP6" s="68">
        <v>1.78E-05</v>
      </c>
      <c r="BQ6" s="31">
        <v>1.78E-05</v>
      </c>
      <c r="BR6" s="70">
        <v>1.78E-05</v>
      </c>
      <c r="BS6" s="83"/>
      <c r="BU6" s="68">
        <v>0</v>
      </c>
      <c r="BV6" s="31">
        <v>0.0012958</v>
      </c>
      <c r="BW6" s="70">
        <v>0.0051577</v>
      </c>
      <c r="BX6" s="83"/>
      <c r="BZ6" s="68">
        <v>0</v>
      </c>
      <c r="CA6" s="31">
        <v>0.0006573</v>
      </c>
      <c r="CB6" s="70">
        <v>0.003486</v>
      </c>
      <c r="CC6" s="83"/>
      <c r="CE6" s="68">
        <v>0</v>
      </c>
      <c r="CF6" s="31">
        <v>0.0011857</v>
      </c>
      <c r="CG6" s="70">
        <v>0.0030131</v>
      </c>
      <c r="CH6" s="83"/>
      <c r="CJ6" s="68">
        <v>0</v>
      </c>
      <c r="CK6" s="31">
        <v>0.0013503</v>
      </c>
      <c r="CL6" s="70">
        <v>0.0018753</v>
      </c>
      <c r="CM6" s="83"/>
      <c r="CO6" s="68">
        <v>0</v>
      </c>
      <c r="CP6" s="31">
        <v>0.0019885</v>
      </c>
      <c r="CQ6" s="70">
        <v>0.0402176</v>
      </c>
      <c r="CR6" s="83"/>
      <c r="CT6" s="68">
        <v>0.0060544</v>
      </c>
      <c r="CU6" s="31">
        <v>0.0060544</v>
      </c>
      <c r="CV6" s="70">
        <v>0.0060544</v>
      </c>
      <c r="CW6" s="83"/>
      <c r="CY6" s="68">
        <v>0.0521695</v>
      </c>
      <c r="CZ6" s="31">
        <v>0.113408</v>
      </c>
      <c r="DA6" s="70">
        <v>0.1183722</v>
      </c>
      <c r="DB6" s="83"/>
      <c r="DC6" s="27"/>
      <c r="DD6" s="68">
        <v>9.4E-05</v>
      </c>
      <c r="DE6" s="31">
        <v>0.0043303</v>
      </c>
      <c r="DF6" s="70">
        <v>0.0060889</v>
      </c>
      <c r="DG6" s="83"/>
      <c r="DI6" s="68">
        <v>0</v>
      </c>
      <c r="DJ6" s="31">
        <v>0</v>
      </c>
      <c r="DK6" s="70">
        <v>0.0104215</v>
      </c>
      <c r="DL6" s="83"/>
      <c r="DN6" s="68">
        <v>0.0155988</v>
      </c>
      <c r="DO6" s="31">
        <v>0.0606817</v>
      </c>
      <c r="DP6" s="70">
        <v>0.1463692</v>
      </c>
      <c r="DQ6" s="83"/>
      <c r="DS6" s="68">
        <v>-0.000172</v>
      </c>
      <c r="DT6" s="31">
        <v>-0.0001487</v>
      </c>
      <c r="DU6" s="70">
        <v>-0.0001487</v>
      </c>
      <c r="DV6" s="83"/>
      <c r="DX6" s="68">
        <v>0.8156743</v>
      </c>
      <c r="DY6" s="31">
        <v>0.4791591</v>
      </c>
      <c r="DZ6" s="43">
        <v>0.1084519</v>
      </c>
      <c r="EA6" s="27"/>
    </row>
    <row r="7" spans="1:131" s="12" customFormat="1" ht="12.75">
      <c r="A7" s="42"/>
      <c r="C7" s="72"/>
      <c r="D7" s="36"/>
      <c r="E7" s="37"/>
      <c r="F7" s="38" t="s">
        <v>138</v>
      </c>
      <c r="G7" s="32"/>
      <c r="H7" s="65"/>
      <c r="I7" s="60">
        <v>0.168457</v>
      </c>
      <c r="J7" s="70">
        <v>0.1684319</v>
      </c>
      <c r="K7" s="38" t="s">
        <v>138</v>
      </c>
      <c r="L7" s="32"/>
      <c r="M7" s="65"/>
      <c r="N7" s="69">
        <f>S7+X7+AC7+AH7+AM7+AR7+AW7+BB7+BG7+BL7+BQ7+BV7+CA7+CF7+CK7+CP7+CU7+CZ7+DE7+DJ7+DO7+DT7+DY7</f>
        <v>0.831543</v>
      </c>
      <c r="O7" s="70">
        <f>T7+Y7+AD7+AI7+AN7+AS7+AX7+BC7+BH7+BM7+BR7+BW7+CB7+CG7+CL7+CQ7+CV7+DA7+DF7+DK7+DP7+DU7</f>
        <v>0.8315682</v>
      </c>
      <c r="P7" s="38" t="s">
        <v>138</v>
      </c>
      <c r="Q7" s="32"/>
      <c r="R7" s="68"/>
      <c r="S7" s="31">
        <v>0.0027985</v>
      </c>
      <c r="T7" s="70">
        <v>0.0027981</v>
      </c>
      <c r="U7" s="38" t="s">
        <v>138</v>
      </c>
      <c r="V7" s="32"/>
      <c r="W7" s="68"/>
      <c r="X7" s="31">
        <v>0.0150621</v>
      </c>
      <c r="Y7" s="70">
        <v>0.0150599</v>
      </c>
      <c r="Z7" s="38" t="s">
        <v>138</v>
      </c>
      <c r="AA7" s="32"/>
      <c r="AB7" s="68"/>
      <c r="AC7" s="31">
        <v>0.0236104</v>
      </c>
      <c r="AD7" s="70">
        <v>0.0236069</v>
      </c>
      <c r="AE7" s="38" t="s">
        <v>138</v>
      </c>
      <c r="AF7" s="32"/>
      <c r="AG7" s="68"/>
      <c r="AH7" s="31">
        <v>0.0049018</v>
      </c>
      <c r="AI7" s="70">
        <v>0.0049011</v>
      </c>
      <c r="AJ7" s="38" t="s">
        <v>138</v>
      </c>
      <c r="AK7" s="32"/>
      <c r="AL7" s="68"/>
      <c r="AM7" s="31">
        <v>0.2973469</v>
      </c>
      <c r="AN7" s="70">
        <v>0.2973027</v>
      </c>
      <c r="AO7" s="38" t="s">
        <v>138</v>
      </c>
      <c r="AQ7" s="68"/>
      <c r="AR7" s="31">
        <v>0.0016514</v>
      </c>
      <c r="AS7" s="70">
        <v>0.0016511</v>
      </c>
      <c r="AT7" s="38" t="s">
        <v>138</v>
      </c>
      <c r="AV7" s="68"/>
      <c r="AW7" s="31">
        <v>0.0057505</v>
      </c>
      <c r="AX7" s="70">
        <v>0.0057497</v>
      </c>
      <c r="AY7" s="38" t="s">
        <v>138</v>
      </c>
      <c r="BA7" s="68"/>
      <c r="BB7" s="31">
        <v>0.043991</v>
      </c>
      <c r="BC7" s="70">
        <v>0.0439844</v>
      </c>
      <c r="BD7" s="38" t="s">
        <v>138</v>
      </c>
      <c r="BF7" s="68"/>
      <c r="BG7" s="31">
        <v>0.0138588</v>
      </c>
      <c r="BH7" s="70">
        <v>0.0138567</v>
      </c>
      <c r="BI7" s="38" t="s">
        <v>138</v>
      </c>
      <c r="BK7" s="68"/>
      <c r="BL7" s="31">
        <v>0.0627067</v>
      </c>
      <c r="BM7" s="70">
        <v>0.0626974</v>
      </c>
      <c r="BN7" s="38" t="s">
        <v>138</v>
      </c>
      <c r="BP7" s="68"/>
      <c r="BQ7" s="31">
        <v>1.78E-05</v>
      </c>
      <c r="BR7" s="70">
        <v>1.78E-05</v>
      </c>
      <c r="BS7" s="38" t="s">
        <v>138</v>
      </c>
      <c r="BU7" s="68"/>
      <c r="BV7" s="31">
        <v>0.0080662</v>
      </c>
      <c r="BW7" s="70">
        <v>0.008065</v>
      </c>
      <c r="BX7" s="38" t="s">
        <v>138</v>
      </c>
      <c r="BZ7" s="68"/>
      <c r="CA7" s="31">
        <v>0.0045051</v>
      </c>
      <c r="CB7" s="70">
        <v>0.0045044</v>
      </c>
      <c r="CC7" s="38" t="s">
        <v>138</v>
      </c>
      <c r="CE7" s="68"/>
      <c r="CF7" s="31">
        <v>0.0030131</v>
      </c>
      <c r="CG7" s="70">
        <v>0.0030127</v>
      </c>
      <c r="CH7" s="38" t="s">
        <v>138</v>
      </c>
      <c r="CJ7" s="68"/>
      <c r="CK7" s="31">
        <v>0.0033283</v>
      </c>
      <c r="CL7" s="70">
        <v>0.0033279</v>
      </c>
      <c r="CM7" s="38" t="s">
        <v>138</v>
      </c>
      <c r="CO7" s="68"/>
      <c r="CP7" s="31">
        <v>0.0405633</v>
      </c>
      <c r="CQ7" s="70">
        <v>0.0405573</v>
      </c>
      <c r="CR7" s="38" t="s">
        <v>138</v>
      </c>
      <c r="CT7" s="68"/>
      <c r="CU7" s="31">
        <v>0.0060544</v>
      </c>
      <c r="CV7" s="70">
        <v>0.0060535</v>
      </c>
      <c r="CW7" s="38" t="s">
        <v>138</v>
      </c>
      <c r="CY7" s="68"/>
      <c r="CZ7" s="31">
        <v>0.1187318</v>
      </c>
      <c r="DA7" s="70">
        <v>0.1187142</v>
      </c>
      <c r="DB7" s="38" t="s">
        <v>138</v>
      </c>
      <c r="DC7" s="27"/>
      <c r="DD7" s="68"/>
      <c r="DE7" s="31">
        <v>0.0060889</v>
      </c>
      <c r="DF7" s="70">
        <v>0.0060879</v>
      </c>
      <c r="DG7" s="38" t="s">
        <v>138</v>
      </c>
      <c r="DI7" s="68"/>
      <c r="DJ7" s="31">
        <v>0.0152665</v>
      </c>
      <c r="DK7" s="70">
        <v>0.0152642</v>
      </c>
      <c r="DL7" s="38" t="s">
        <v>138</v>
      </c>
      <c r="DN7" s="68"/>
      <c r="DO7" s="31">
        <v>0.1543782</v>
      </c>
      <c r="DP7" s="70">
        <v>0.1543553</v>
      </c>
      <c r="DQ7" s="38" t="s">
        <v>138</v>
      </c>
      <c r="DS7" s="68"/>
      <c r="DT7" s="31">
        <v>-0.0001487</v>
      </c>
      <c r="DU7" s="70">
        <v>0</v>
      </c>
      <c r="DV7" s="38" t="s">
        <v>138</v>
      </c>
      <c r="DX7" s="68"/>
      <c r="DY7" s="31">
        <v>0</v>
      </c>
      <c r="DZ7" s="43"/>
      <c r="EA7" s="27"/>
    </row>
    <row r="8" spans="1:131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H8" s="38" t="s">
        <v>11</v>
      </c>
      <c r="I8" s="38" t="s">
        <v>12</v>
      </c>
      <c r="J8" s="38" t="s">
        <v>4</v>
      </c>
      <c r="K8" s="38" t="s">
        <v>139</v>
      </c>
      <c r="M8" s="38" t="s">
        <v>11</v>
      </c>
      <c r="N8" s="38" t="s">
        <v>12</v>
      </c>
      <c r="O8" s="38" t="s">
        <v>4</v>
      </c>
      <c r="P8" s="38" t="s">
        <v>139</v>
      </c>
      <c r="R8" s="26" t="s">
        <v>11</v>
      </c>
      <c r="S8" s="26" t="s">
        <v>12</v>
      </c>
      <c r="T8" s="26" t="s">
        <v>4</v>
      </c>
      <c r="U8" s="38" t="s">
        <v>139</v>
      </c>
      <c r="W8" s="26" t="s">
        <v>11</v>
      </c>
      <c r="X8" s="26" t="s">
        <v>12</v>
      </c>
      <c r="Y8" s="26" t="s">
        <v>4</v>
      </c>
      <c r="Z8" s="38" t="s">
        <v>139</v>
      </c>
      <c r="AB8" s="26" t="s">
        <v>11</v>
      </c>
      <c r="AC8" s="26" t="s">
        <v>12</v>
      </c>
      <c r="AD8" s="26" t="s">
        <v>4</v>
      </c>
      <c r="AE8" s="38" t="s">
        <v>139</v>
      </c>
      <c r="AG8" s="26" t="s">
        <v>11</v>
      </c>
      <c r="AH8" s="26" t="s">
        <v>12</v>
      </c>
      <c r="AI8" s="26" t="s">
        <v>4</v>
      </c>
      <c r="AJ8" s="38" t="s">
        <v>139</v>
      </c>
      <c r="AL8" s="26" t="s">
        <v>11</v>
      </c>
      <c r="AM8" s="26" t="s">
        <v>12</v>
      </c>
      <c r="AN8" s="26" t="s">
        <v>4</v>
      </c>
      <c r="AO8" s="38" t="s">
        <v>139</v>
      </c>
      <c r="AQ8" s="26" t="s">
        <v>11</v>
      </c>
      <c r="AR8" s="26" t="s">
        <v>12</v>
      </c>
      <c r="AS8" s="26" t="s">
        <v>4</v>
      </c>
      <c r="AT8" s="38" t="s">
        <v>139</v>
      </c>
      <c r="AV8" s="26" t="s">
        <v>11</v>
      </c>
      <c r="AW8" s="26" t="s">
        <v>12</v>
      </c>
      <c r="AX8" s="26" t="s">
        <v>4</v>
      </c>
      <c r="AY8" s="38" t="s">
        <v>139</v>
      </c>
      <c r="BA8" s="26" t="s">
        <v>11</v>
      </c>
      <c r="BB8" s="26" t="s">
        <v>12</v>
      </c>
      <c r="BC8" s="26" t="s">
        <v>4</v>
      </c>
      <c r="BD8" s="38" t="s">
        <v>139</v>
      </c>
      <c r="BF8" s="26" t="s">
        <v>11</v>
      </c>
      <c r="BG8" s="26" t="s">
        <v>12</v>
      </c>
      <c r="BH8" s="26" t="s">
        <v>4</v>
      </c>
      <c r="BI8" s="38" t="s">
        <v>139</v>
      </c>
      <c r="BK8" s="26" t="s">
        <v>11</v>
      </c>
      <c r="BL8" s="26" t="s">
        <v>12</v>
      </c>
      <c r="BM8" s="26" t="s">
        <v>4</v>
      </c>
      <c r="BN8" s="38" t="s">
        <v>139</v>
      </c>
      <c r="BP8" s="26" t="s">
        <v>11</v>
      </c>
      <c r="BQ8" s="26" t="s">
        <v>12</v>
      </c>
      <c r="BR8" s="26" t="s">
        <v>4</v>
      </c>
      <c r="BS8" s="38" t="s">
        <v>139</v>
      </c>
      <c r="BU8" s="26" t="s">
        <v>11</v>
      </c>
      <c r="BV8" s="26" t="s">
        <v>12</v>
      </c>
      <c r="BW8" s="26" t="s">
        <v>4</v>
      </c>
      <c r="BX8" s="38" t="s">
        <v>139</v>
      </c>
      <c r="BZ8" s="26" t="s">
        <v>11</v>
      </c>
      <c r="CA8" s="26" t="s">
        <v>12</v>
      </c>
      <c r="CB8" s="26" t="s">
        <v>4</v>
      </c>
      <c r="CC8" s="38" t="s">
        <v>139</v>
      </c>
      <c r="CE8" s="26" t="s">
        <v>11</v>
      </c>
      <c r="CF8" s="26" t="s">
        <v>12</v>
      </c>
      <c r="CG8" s="26" t="s">
        <v>4</v>
      </c>
      <c r="CH8" s="38" t="s">
        <v>139</v>
      </c>
      <c r="CJ8" s="26" t="s">
        <v>11</v>
      </c>
      <c r="CK8" s="26" t="s">
        <v>12</v>
      </c>
      <c r="CL8" s="26" t="s">
        <v>4</v>
      </c>
      <c r="CM8" s="38" t="s">
        <v>139</v>
      </c>
      <c r="CO8" s="26" t="s">
        <v>11</v>
      </c>
      <c r="CP8" s="26" t="s">
        <v>12</v>
      </c>
      <c r="CQ8" s="26" t="s">
        <v>4</v>
      </c>
      <c r="CR8" s="38" t="s">
        <v>139</v>
      </c>
      <c r="CT8" s="26" t="s">
        <v>11</v>
      </c>
      <c r="CU8" s="26" t="s">
        <v>12</v>
      </c>
      <c r="CV8" s="26" t="s">
        <v>4</v>
      </c>
      <c r="CW8" s="38" t="s">
        <v>139</v>
      </c>
      <c r="CY8" s="26" t="s">
        <v>11</v>
      </c>
      <c r="CZ8" s="26" t="s">
        <v>12</v>
      </c>
      <c r="DA8" s="26" t="s">
        <v>4</v>
      </c>
      <c r="DB8" s="38" t="s">
        <v>139</v>
      </c>
      <c r="DC8" s="62"/>
      <c r="DD8" s="26" t="s">
        <v>11</v>
      </c>
      <c r="DE8" s="26" t="s">
        <v>12</v>
      </c>
      <c r="DF8" s="26" t="s">
        <v>4</v>
      </c>
      <c r="DG8" s="38" t="s">
        <v>139</v>
      </c>
      <c r="DI8" s="26" t="s">
        <v>11</v>
      </c>
      <c r="DJ8" s="26" t="s">
        <v>12</v>
      </c>
      <c r="DK8" s="26" t="s">
        <v>4</v>
      </c>
      <c r="DL8" s="38" t="s">
        <v>139</v>
      </c>
      <c r="DN8" s="26" t="s">
        <v>11</v>
      </c>
      <c r="DO8" s="26" t="s">
        <v>12</v>
      </c>
      <c r="DP8" s="26" t="s">
        <v>4</v>
      </c>
      <c r="DQ8" s="38" t="s">
        <v>139</v>
      </c>
      <c r="DS8" s="26" t="s">
        <v>11</v>
      </c>
      <c r="DT8" s="26" t="s">
        <v>12</v>
      </c>
      <c r="DU8" s="26" t="s">
        <v>4</v>
      </c>
      <c r="DV8" s="38" t="s">
        <v>139</v>
      </c>
      <c r="DX8" s="26" t="s">
        <v>11</v>
      </c>
      <c r="DY8" s="26" t="s">
        <v>12</v>
      </c>
      <c r="DZ8" s="26" t="s">
        <v>4</v>
      </c>
      <c r="EA8" s="62"/>
    </row>
    <row r="9" spans="1:131" ht="12.75">
      <c r="A9" s="19">
        <v>42644</v>
      </c>
      <c r="C9" s="34">
        <v>3730000</v>
      </c>
      <c r="D9" s="34">
        <v>191250</v>
      </c>
      <c r="E9" s="34">
        <f aca="true" t="shared" si="0" ref="E9:E29">C9+D9</f>
        <v>3921250</v>
      </c>
      <c r="F9" s="34">
        <v>55859</v>
      </c>
      <c r="H9" s="47">
        <f>'2006A Academic '!H9</f>
        <v>628250.987</v>
      </c>
      <c r="I9" s="47">
        <f>'2006A Academic '!I9</f>
        <v>32212.600874999993</v>
      </c>
      <c r="J9" s="47">
        <f aca="true" t="shared" si="1" ref="J9:J29">H9+I9</f>
        <v>660463.587875</v>
      </c>
      <c r="K9" s="47">
        <f>'2006A Academic '!K9</f>
        <v>9408.437502100001</v>
      </c>
      <c r="M9" s="47">
        <f aca="true" t="shared" si="2" ref="M9:M29">R9+W9+AB9+AG9+AL9+AQ9+AV9+BA9+BF9+BK9+BP9+BU9+BZ9+CE9+CJ9+CO9+CT9+CY9+DD9+DI9+DN9+DS9+DX9</f>
        <v>3101749.386</v>
      </c>
      <c r="N9" s="39">
        <f aca="true" t="shared" si="3" ref="N9:P29">S9+X9+AC9+AH9+AM9+AR9+AW9+BB9+BG9+BL9+BQ9+BV9+CA9+CF9+CK9+CP9+CU9+CZ9+DE9+DJ9+DO9+DT9+DY9</f>
        <v>159037.41825</v>
      </c>
      <c r="O9" s="47">
        <f aca="true" t="shared" si="4" ref="O9:O29">M9+N9</f>
        <v>3260786.80425</v>
      </c>
      <c r="P9" s="39">
        <f t="shared" si="3"/>
        <v>46450.568083800004</v>
      </c>
      <c r="R9" s="61">
        <f>C9*$T$7</f>
        <v>10436.913</v>
      </c>
      <c r="S9" s="61">
        <f>D9*$T$7</f>
        <v>535.136625</v>
      </c>
      <c r="T9" s="20">
        <f aca="true" t="shared" si="5" ref="T9:T29">R9+S9</f>
        <v>10972.049625</v>
      </c>
      <c r="U9" s="34">
        <f aca="true" t="shared" si="6" ref="U9:U29">$F9*T$7</f>
        <v>156.2990679</v>
      </c>
      <c r="W9" s="61">
        <f>C9*$Y$7</f>
        <v>56173.426999999996</v>
      </c>
      <c r="X9" s="61">
        <f>D9*$Y$7</f>
        <v>2880.2058749999997</v>
      </c>
      <c r="Y9" s="20">
        <f aca="true" t="shared" si="7" ref="Y9:Y29">W9+X9</f>
        <v>59053.632874999996</v>
      </c>
      <c r="Z9" s="34">
        <f aca="true" t="shared" si="8" ref="Z9:Z29">$F9*Y$7</f>
        <v>841.2309541</v>
      </c>
      <c r="AB9" s="32">
        <f>C9*$AD$7</f>
        <v>88053.737</v>
      </c>
      <c r="AC9" s="32">
        <f>D9*$AD$7</f>
        <v>4514.819625</v>
      </c>
      <c r="AD9" s="32">
        <f aca="true" t="shared" si="9" ref="AD9:AD29">AB9+AC9</f>
        <v>92568.556625</v>
      </c>
      <c r="AE9" s="34">
        <f aca="true" t="shared" si="10" ref="AE9:AE29">$F9*AD$7</f>
        <v>1318.6578271</v>
      </c>
      <c r="AG9" s="61">
        <f>C9*$AI$7</f>
        <v>18281.103</v>
      </c>
      <c r="AH9" s="61">
        <f>D9*$AI$7</f>
        <v>937.335375</v>
      </c>
      <c r="AI9" s="20">
        <f aca="true" t="shared" si="11" ref="AI9:AI29">AG9+AH9</f>
        <v>19218.438374999998</v>
      </c>
      <c r="AJ9" s="34">
        <f aca="true" t="shared" si="12" ref="AJ9:AJ29">$F9*AI$7</f>
        <v>273.7705449</v>
      </c>
      <c r="AL9" s="61">
        <f>C9*$AN$7</f>
        <v>1108939.071</v>
      </c>
      <c r="AM9" s="61">
        <f>D9*$AN$7</f>
        <v>56859.14137499999</v>
      </c>
      <c r="AN9" s="20">
        <f aca="true" t="shared" si="13" ref="AN9:AN29">AL9+AM9</f>
        <v>1165798.212375</v>
      </c>
      <c r="AO9" s="34">
        <f aca="true" t="shared" si="14" ref="AO9:AO29">$F9*AN$7</f>
        <v>16607.0315193</v>
      </c>
      <c r="AP9" s="32"/>
      <c r="AQ9" s="61">
        <f>C9*$AS$7</f>
        <v>6158.603</v>
      </c>
      <c r="AR9" s="61">
        <f>D9*$AS$7</f>
        <v>315.772875</v>
      </c>
      <c r="AS9" s="20">
        <f aca="true" t="shared" si="15" ref="AS9:AS29">AQ9+AR9</f>
        <v>6474.375875</v>
      </c>
      <c r="AT9" s="34">
        <f aca="true" t="shared" si="16" ref="AT9:AT29">$F9*AS$7</f>
        <v>92.2287949</v>
      </c>
      <c r="AU9" s="32"/>
      <c r="AV9" s="47">
        <f>C9*$AX$7</f>
        <v>21446.381</v>
      </c>
      <c r="AW9" s="47">
        <f>D9*$AX$7</f>
        <v>1099.630125</v>
      </c>
      <c r="AX9" s="32">
        <f aca="true" t="shared" si="17" ref="AX9:AX29">AV9+AW9</f>
        <v>22546.011125</v>
      </c>
      <c r="AY9" s="34">
        <f aca="true" t="shared" si="18" ref="AY9:AY29">$F9*AX$7</f>
        <v>321.1724923</v>
      </c>
      <c r="AZ9" s="32"/>
      <c r="BA9" s="47">
        <f>C9*$BC$7</f>
        <v>164061.812</v>
      </c>
      <c r="BB9" s="47">
        <f>D9*$BC$7</f>
        <v>8412.0165</v>
      </c>
      <c r="BC9" s="32">
        <f aca="true" t="shared" si="19" ref="BC9:BC29">BA9+BB9</f>
        <v>172473.8285</v>
      </c>
      <c r="BD9" s="34">
        <f aca="true" t="shared" si="20" ref="BD9:BD29">$F9*BC$7</f>
        <v>2456.9245996</v>
      </c>
      <c r="BE9" s="32"/>
      <c r="BF9" s="47">
        <f>C9*$BH$7</f>
        <v>51685.491</v>
      </c>
      <c r="BG9" s="47">
        <f>D9*$BH$7</f>
        <v>2650.093875</v>
      </c>
      <c r="BH9" s="32">
        <f aca="true" t="shared" si="21" ref="BH9:BH29">BF9+BG9</f>
        <v>54335.584875</v>
      </c>
      <c r="BI9" s="34">
        <f aca="true" t="shared" si="22" ref="BI9:BI29">$F9*BH$7</f>
        <v>774.0214053</v>
      </c>
      <c r="BJ9" s="32"/>
      <c r="BK9" s="47">
        <f>C9*$BM$7</f>
        <v>233861.302</v>
      </c>
      <c r="BL9" s="47">
        <f>D9*$BM$7</f>
        <v>11990.87775</v>
      </c>
      <c r="BM9" s="32">
        <f aca="true" t="shared" si="23" ref="BM9:BM29">BK9+BL9</f>
        <v>245852.17975</v>
      </c>
      <c r="BN9" s="34">
        <f aca="true" t="shared" si="24" ref="BN9:BN29">$F9*BM$7</f>
        <v>3502.2140666</v>
      </c>
      <c r="BO9" s="32"/>
      <c r="BP9" s="47">
        <f>C9*$BR$7</f>
        <v>66.39399999999999</v>
      </c>
      <c r="BQ9" s="47">
        <f>D9*$BR$7</f>
        <v>3.4042499999999998</v>
      </c>
      <c r="BR9" s="32">
        <f aca="true" t="shared" si="25" ref="BR9:BR29">BP9+BQ9</f>
        <v>69.79825</v>
      </c>
      <c r="BS9" s="34">
        <f aca="true" t="shared" si="26" ref="BS9:BS29">$F9*BR$7</f>
        <v>0.9942901999999999</v>
      </c>
      <c r="BT9" s="32"/>
      <c r="BU9" s="32">
        <f>C9*$BW$7</f>
        <v>30082.449999999997</v>
      </c>
      <c r="BV9" s="32">
        <f>D9*$BW$7</f>
        <v>1542.4312499999999</v>
      </c>
      <c r="BW9" s="32">
        <f aca="true" t="shared" si="27" ref="BW9:BW29">BU9+BV9</f>
        <v>31624.88125</v>
      </c>
      <c r="BX9" s="34">
        <f aca="true" t="shared" si="28" ref="BX9:BX29">$F9*BW$7</f>
        <v>450.50283499999995</v>
      </c>
      <c r="BY9" s="32"/>
      <c r="BZ9" s="47">
        <f>C9*$CB$7</f>
        <v>16801.412</v>
      </c>
      <c r="CA9" s="47">
        <f>D9*$CB$7</f>
        <v>861.4665000000001</v>
      </c>
      <c r="CB9" s="32">
        <f aca="true" t="shared" si="29" ref="CB9:CB29">BZ9+CA9</f>
        <v>17662.8785</v>
      </c>
      <c r="CC9" s="34">
        <f aca="true" t="shared" si="30" ref="CC9:CC29">$F9*CB$7</f>
        <v>251.61127960000002</v>
      </c>
      <c r="CD9" s="32"/>
      <c r="CE9" s="47">
        <f>C9*$CG$7</f>
        <v>11237.371000000001</v>
      </c>
      <c r="CF9" s="47">
        <f>D9*$CG$7</f>
        <v>576.1788750000001</v>
      </c>
      <c r="CG9" s="32">
        <f aca="true" t="shared" si="31" ref="CG9:CG29">CE9+CF9</f>
        <v>11813.549875</v>
      </c>
      <c r="CH9" s="34">
        <f aca="true" t="shared" si="32" ref="CH9:CH29">$F9*CG$7</f>
        <v>168.2864093</v>
      </c>
      <c r="CI9" s="32"/>
      <c r="CJ9" s="47">
        <f>C9*$CL$7</f>
        <v>12413.067</v>
      </c>
      <c r="CK9" s="47">
        <f>D9*$CL$7</f>
        <v>636.460875</v>
      </c>
      <c r="CL9" s="32">
        <f aca="true" t="shared" si="33" ref="CL9:CL29">CJ9+CK9</f>
        <v>13049.527875</v>
      </c>
      <c r="CM9" s="34">
        <f aca="true" t="shared" si="34" ref="CM9:CM29">$F9*CL$7</f>
        <v>185.8931661</v>
      </c>
      <c r="CN9" s="32"/>
      <c r="CO9" s="47">
        <f>C9*$CQ$7</f>
        <v>151278.729</v>
      </c>
      <c r="CP9" s="47">
        <f>D9*$CQ$7</f>
        <v>7756.583624999999</v>
      </c>
      <c r="CQ9" s="32">
        <f aca="true" t="shared" si="35" ref="CQ9:CQ29">CO9+CP9</f>
        <v>159035.312625</v>
      </c>
      <c r="CR9" s="34">
        <f aca="true" t="shared" si="36" ref="CR9:CR29">$F9*CQ$7</f>
        <v>2265.4902207</v>
      </c>
      <c r="CS9" s="32"/>
      <c r="CT9" s="47">
        <f>C9*$CV$7</f>
        <v>22579.555</v>
      </c>
      <c r="CU9" s="47">
        <f>D9*$CV$7</f>
        <v>1157.731875</v>
      </c>
      <c r="CV9" s="32">
        <f aca="true" t="shared" si="37" ref="CV9:CV29">CT9+CU9</f>
        <v>23737.286875</v>
      </c>
      <c r="CW9" s="34">
        <f aca="true" t="shared" si="38" ref="CW9:CW29">$F9*CV$7</f>
        <v>338.1424565</v>
      </c>
      <c r="CX9" s="32"/>
      <c r="CY9" s="47">
        <f>C9*$DA$7</f>
        <v>442803.966</v>
      </c>
      <c r="CZ9" s="47">
        <f>D9*$DA$7</f>
        <v>22704.09075</v>
      </c>
      <c r="DA9" s="32">
        <f aca="true" t="shared" si="39" ref="DA9:DA29">CY9+CZ9</f>
        <v>465508.05675</v>
      </c>
      <c r="DB9" s="34">
        <f aca="true" t="shared" si="40" ref="DB9:DB29">$F9*DA$7</f>
        <v>6631.2564978</v>
      </c>
      <c r="DC9" s="32"/>
      <c r="DD9" s="32">
        <f>C9*$DF$7</f>
        <v>22707.867000000002</v>
      </c>
      <c r="DE9" s="32">
        <f>D9*$DF$7</f>
        <v>1164.3108750000001</v>
      </c>
      <c r="DF9" s="32">
        <f aca="true" t="shared" si="41" ref="DF9:DF29">DD9+DE9</f>
        <v>23872.177875</v>
      </c>
      <c r="DG9" s="34">
        <f aca="true" t="shared" si="42" ref="DG9:DG29">$F9*DF$7</f>
        <v>340.06400610000003</v>
      </c>
      <c r="DH9" s="32"/>
      <c r="DI9" s="47">
        <f>C9*$DK$7</f>
        <v>56935.466</v>
      </c>
      <c r="DJ9" s="47">
        <f>D9*$DK$7</f>
        <v>2919.27825</v>
      </c>
      <c r="DK9" s="32">
        <f aca="true" t="shared" si="43" ref="DK9:DK29">DI9+DJ9</f>
        <v>59854.74425</v>
      </c>
      <c r="DL9" s="34">
        <f aca="true" t="shared" si="44" ref="DL9:DL29">$F9*DK$7</f>
        <v>852.6429478</v>
      </c>
      <c r="DM9" s="32"/>
      <c r="DN9" s="47">
        <f>C9*$DP$7</f>
        <v>575745.269</v>
      </c>
      <c r="DO9" s="47">
        <f>D9*$DP$7</f>
        <v>29520.451125</v>
      </c>
      <c r="DP9" s="32">
        <f aca="true" t="shared" si="45" ref="DP9:DP29">DN9+DO9</f>
        <v>605265.720125</v>
      </c>
      <c r="DQ9" s="34">
        <f aca="true" t="shared" si="46" ref="DQ9:DQ29">$F9*DP$7</f>
        <v>8622.1327027</v>
      </c>
      <c r="DR9" s="32"/>
      <c r="DS9" s="47"/>
      <c r="DT9" s="47"/>
      <c r="DU9" s="32"/>
      <c r="DV9" s="34"/>
      <c r="DW9" s="32"/>
      <c r="DX9" s="32"/>
      <c r="DY9" s="32"/>
      <c r="DZ9" s="32">
        <f aca="true" t="shared" si="47" ref="DZ9:DZ28">DX9+DY9</f>
        <v>0</v>
      </c>
      <c r="EA9" s="32"/>
    </row>
    <row r="10" spans="1:131" ht="12.75">
      <c r="A10" s="19">
        <v>42826</v>
      </c>
      <c r="D10" s="34">
        <v>98000</v>
      </c>
      <c r="E10" s="34">
        <f t="shared" si="0"/>
        <v>98000</v>
      </c>
      <c r="F10" s="34">
        <v>55859</v>
      </c>
      <c r="H10" s="47"/>
      <c r="I10" s="47">
        <f>'2006A Academic '!I10</f>
        <v>16506.3262</v>
      </c>
      <c r="J10" s="47">
        <f t="shared" si="1"/>
        <v>16506.3262</v>
      </c>
      <c r="K10" s="47">
        <f>'2006A Academic '!K10</f>
        <v>9408.437502100001</v>
      </c>
      <c r="M10" s="47"/>
      <c r="N10" s="39">
        <f t="shared" si="3"/>
        <v>81493.68360000002</v>
      </c>
      <c r="O10" s="47">
        <f t="shared" si="4"/>
        <v>81493.68360000002</v>
      </c>
      <c r="P10" s="39">
        <f t="shared" si="3"/>
        <v>46450.568083800004</v>
      </c>
      <c r="R10" s="61"/>
      <c r="S10" s="61">
        <f>D10*$T$7</f>
        <v>274.2138</v>
      </c>
      <c r="T10" s="20">
        <f t="shared" si="5"/>
        <v>274.2138</v>
      </c>
      <c r="U10" s="34">
        <f t="shared" si="6"/>
        <v>156.2990679</v>
      </c>
      <c r="W10" s="61"/>
      <c r="X10" s="61">
        <f>D10*$Y$7</f>
        <v>1475.8701999999998</v>
      </c>
      <c r="Y10" s="20">
        <f t="shared" si="7"/>
        <v>1475.8701999999998</v>
      </c>
      <c r="Z10" s="34">
        <f t="shared" si="8"/>
        <v>841.2309541</v>
      </c>
      <c r="AC10" s="32">
        <f>D10*$AD$7</f>
        <v>2313.4762</v>
      </c>
      <c r="AD10" s="32">
        <f t="shared" si="9"/>
        <v>2313.4762</v>
      </c>
      <c r="AE10" s="34">
        <f t="shared" si="10"/>
        <v>1318.6578271</v>
      </c>
      <c r="AG10" s="61"/>
      <c r="AH10" s="61">
        <f>D10*$AI$7</f>
        <v>480.30780000000004</v>
      </c>
      <c r="AI10" s="20">
        <f t="shared" si="11"/>
        <v>480.30780000000004</v>
      </c>
      <c r="AJ10" s="34">
        <f t="shared" si="12"/>
        <v>273.7705449</v>
      </c>
      <c r="AL10" s="61"/>
      <c r="AM10" s="61">
        <f>D10*$AN$7</f>
        <v>29135.664599999996</v>
      </c>
      <c r="AN10" s="20">
        <f t="shared" si="13"/>
        <v>29135.664599999996</v>
      </c>
      <c r="AO10" s="34">
        <f t="shared" si="14"/>
        <v>16607.0315193</v>
      </c>
      <c r="AP10" s="32"/>
      <c r="AQ10" s="61"/>
      <c r="AR10" s="61">
        <f>D10*$AS$7</f>
        <v>161.8078</v>
      </c>
      <c r="AS10" s="20">
        <f t="shared" si="15"/>
        <v>161.8078</v>
      </c>
      <c r="AT10" s="34">
        <f t="shared" si="16"/>
        <v>92.2287949</v>
      </c>
      <c r="AU10" s="32"/>
      <c r="AV10" s="47"/>
      <c r="AW10" s="47">
        <f>D10*$AX$7</f>
        <v>563.4706</v>
      </c>
      <c r="AX10" s="32">
        <f t="shared" si="17"/>
        <v>563.4706</v>
      </c>
      <c r="AY10" s="34">
        <f t="shared" si="18"/>
        <v>321.1724923</v>
      </c>
      <c r="AZ10" s="32"/>
      <c r="BA10" s="47"/>
      <c r="BB10" s="47">
        <f>D10*$BC$7</f>
        <v>4310.4712</v>
      </c>
      <c r="BC10" s="32">
        <f t="shared" si="19"/>
        <v>4310.4712</v>
      </c>
      <c r="BD10" s="34">
        <f t="shared" si="20"/>
        <v>2456.9245996</v>
      </c>
      <c r="BE10" s="32"/>
      <c r="BF10" s="47"/>
      <c r="BG10" s="47">
        <f>D10*$BH$7</f>
        <v>1357.9566</v>
      </c>
      <c r="BH10" s="32">
        <f t="shared" si="21"/>
        <v>1357.9566</v>
      </c>
      <c r="BI10" s="34">
        <f t="shared" si="22"/>
        <v>774.0214053</v>
      </c>
      <c r="BJ10" s="32"/>
      <c r="BK10" s="47"/>
      <c r="BL10" s="47">
        <f>D10*$BM$7</f>
        <v>6144.3452</v>
      </c>
      <c r="BM10" s="32">
        <f t="shared" si="23"/>
        <v>6144.3452</v>
      </c>
      <c r="BN10" s="34">
        <f t="shared" si="24"/>
        <v>3502.2140666</v>
      </c>
      <c r="BO10" s="32"/>
      <c r="BP10" s="47"/>
      <c r="BQ10" s="47">
        <f>D10*$BR$7</f>
        <v>1.7444</v>
      </c>
      <c r="BR10" s="32">
        <f t="shared" si="25"/>
        <v>1.7444</v>
      </c>
      <c r="BS10" s="34">
        <f t="shared" si="26"/>
        <v>0.9942901999999999</v>
      </c>
      <c r="BT10" s="32"/>
      <c r="BU10" s="32"/>
      <c r="BV10" s="32">
        <f>D10*$BW$7</f>
        <v>790.3699999999999</v>
      </c>
      <c r="BW10" s="32">
        <f t="shared" si="27"/>
        <v>790.3699999999999</v>
      </c>
      <c r="BX10" s="34">
        <f t="shared" si="28"/>
        <v>450.50283499999995</v>
      </c>
      <c r="BY10" s="32"/>
      <c r="BZ10" s="47"/>
      <c r="CA10" s="47">
        <f>D10*$CB$7</f>
        <v>441.43120000000005</v>
      </c>
      <c r="CB10" s="32">
        <f t="shared" si="29"/>
        <v>441.43120000000005</v>
      </c>
      <c r="CC10" s="34">
        <f t="shared" si="30"/>
        <v>251.61127960000002</v>
      </c>
      <c r="CD10" s="32"/>
      <c r="CE10" s="47"/>
      <c r="CF10" s="47">
        <f>D10*$CG$7</f>
        <v>295.2446</v>
      </c>
      <c r="CG10" s="32">
        <f t="shared" si="31"/>
        <v>295.2446</v>
      </c>
      <c r="CH10" s="34">
        <f t="shared" si="32"/>
        <v>168.2864093</v>
      </c>
      <c r="CI10" s="32"/>
      <c r="CJ10" s="47"/>
      <c r="CK10" s="47">
        <f>D10*$CL$7</f>
        <v>326.1342</v>
      </c>
      <c r="CL10" s="32">
        <f t="shared" si="33"/>
        <v>326.1342</v>
      </c>
      <c r="CM10" s="34">
        <f t="shared" si="34"/>
        <v>185.8931661</v>
      </c>
      <c r="CN10" s="32"/>
      <c r="CO10" s="47"/>
      <c r="CP10" s="47">
        <f>D10*$CQ$7</f>
        <v>3974.6153999999997</v>
      </c>
      <c r="CQ10" s="32">
        <f t="shared" si="35"/>
        <v>3974.6153999999997</v>
      </c>
      <c r="CR10" s="34">
        <f t="shared" si="36"/>
        <v>2265.4902207</v>
      </c>
      <c r="CS10" s="32"/>
      <c r="CT10" s="47"/>
      <c r="CU10" s="47">
        <f>D10*$CV$7</f>
        <v>593.2429999999999</v>
      </c>
      <c r="CV10" s="32">
        <f t="shared" si="37"/>
        <v>593.2429999999999</v>
      </c>
      <c r="CW10" s="34">
        <f t="shared" si="38"/>
        <v>338.1424565</v>
      </c>
      <c r="CX10" s="32"/>
      <c r="CY10" s="47"/>
      <c r="CZ10" s="47">
        <f>D10*$DA$7</f>
        <v>11633.991600000001</v>
      </c>
      <c r="DA10" s="32">
        <f t="shared" si="39"/>
        <v>11633.991600000001</v>
      </c>
      <c r="DB10" s="34">
        <f t="shared" si="40"/>
        <v>6631.2564978</v>
      </c>
      <c r="DC10" s="32"/>
      <c r="DD10" s="32"/>
      <c r="DE10" s="32">
        <f>D10*$DF$7</f>
        <v>596.6142</v>
      </c>
      <c r="DF10" s="32">
        <f t="shared" si="41"/>
        <v>596.6142</v>
      </c>
      <c r="DG10" s="34">
        <f t="shared" si="42"/>
        <v>340.06400610000003</v>
      </c>
      <c r="DH10" s="32"/>
      <c r="DI10" s="47"/>
      <c r="DJ10" s="47">
        <f>D10*$DK$7</f>
        <v>1495.8916</v>
      </c>
      <c r="DK10" s="32">
        <f t="shared" si="43"/>
        <v>1495.8916</v>
      </c>
      <c r="DL10" s="34">
        <f t="shared" si="44"/>
        <v>852.6429478</v>
      </c>
      <c r="DM10" s="32"/>
      <c r="DN10" s="47"/>
      <c r="DO10" s="47">
        <f>D10*$DP$7</f>
        <v>15126.8194</v>
      </c>
      <c r="DP10" s="32">
        <f t="shared" si="45"/>
        <v>15126.8194</v>
      </c>
      <c r="DQ10" s="34">
        <f t="shared" si="46"/>
        <v>8622.1327027</v>
      </c>
      <c r="DR10" s="32"/>
      <c r="DS10" s="47"/>
      <c r="DT10" s="47"/>
      <c r="DU10" s="32"/>
      <c r="DV10" s="34"/>
      <c r="DW10" s="32"/>
      <c r="DX10" s="32"/>
      <c r="DY10" s="32"/>
      <c r="DZ10" s="32">
        <f t="shared" si="47"/>
        <v>0</v>
      </c>
      <c r="EA10" s="32"/>
    </row>
    <row r="11" spans="1:131" ht="12.75">
      <c r="A11" s="19">
        <v>43009</v>
      </c>
      <c r="C11" s="34">
        <v>3920000</v>
      </c>
      <c r="D11" s="34">
        <v>98000</v>
      </c>
      <c r="E11" s="34">
        <f t="shared" si="0"/>
        <v>4018000</v>
      </c>
      <c r="F11" s="34">
        <v>55859</v>
      </c>
      <c r="H11" s="47">
        <f>'2006A Academic '!H11</f>
        <v>660253.0480000001</v>
      </c>
      <c r="I11" s="47">
        <f>'2006A Academic '!I11</f>
        <v>16506.3262</v>
      </c>
      <c r="J11" s="47">
        <f t="shared" si="1"/>
        <v>676759.3742000001</v>
      </c>
      <c r="K11" s="47">
        <f>'2006A Academic '!K11</f>
        <v>9408.437502100001</v>
      </c>
      <c r="M11" s="47">
        <f t="shared" si="2"/>
        <v>3259747.3439999996</v>
      </c>
      <c r="N11" s="39">
        <f t="shared" si="3"/>
        <v>81493.68360000002</v>
      </c>
      <c r="O11" s="47">
        <f t="shared" si="4"/>
        <v>3341241.0275999997</v>
      </c>
      <c r="P11" s="39">
        <f t="shared" si="3"/>
        <v>46450.568083800004</v>
      </c>
      <c r="R11" s="61">
        <f>C11*$T$7</f>
        <v>10968.552</v>
      </c>
      <c r="S11" s="61">
        <f>D11*$T$7</f>
        <v>274.2138</v>
      </c>
      <c r="T11" s="20">
        <f t="shared" si="5"/>
        <v>11242.7658</v>
      </c>
      <c r="U11" s="34">
        <f t="shared" si="6"/>
        <v>156.2990679</v>
      </c>
      <c r="W11" s="61">
        <f>C11*$Y$7</f>
        <v>59034.808</v>
      </c>
      <c r="X11" s="61">
        <f>D11*$Y$7</f>
        <v>1475.8701999999998</v>
      </c>
      <c r="Y11" s="20">
        <f t="shared" si="7"/>
        <v>60510.678199999995</v>
      </c>
      <c r="Z11" s="34">
        <f t="shared" si="8"/>
        <v>841.2309541</v>
      </c>
      <c r="AB11" s="32">
        <f>C11*$AD$7</f>
        <v>92539.048</v>
      </c>
      <c r="AC11" s="32">
        <f>D11*$AD$7</f>
        <v>2313.4762</v>
      </c>
      <c r="AD11" s="32">
        <f t="shared" si="9"/>
        <v>94852.5242</v>
      </c>
      <c r="AE11" s="34">
        <f t="shared" si="10"/>
        <v>1318.6578271</v>
      </c>
      <c r="AG11" s="61">
        <f>C11*$AI$7</f>
        <v>19212.312</v>
      </c>
      <c r="AH11" s="61">
        <f>D11*$AI$7</f>
        <v>480.30780000000004</v>
      </c>
      <c r="AI11" s="20">
        <f t="shared" si="11"/>
        <v>19692.6198</v>
      </c>
      <c r="AJ11" s="34">
        <f t="shared" si="12"/>
        <v>273.7705449</v>
      </c>
      <c r="AL11" s="61">
        <f>C11*$AN$7</f>
        <v>1165426.5839999998</v>
      </c>
      <c r="AM11" s="61">
        <f>D11*$AN$7</f>
        <v>29135.664599999996</v>
      </c>
      <c r="AN11" s="20">
        <f t="shared" si="13"/>
        <v>1194562.2485999998</v>
      </c>
      <c r="AO11" s="34">
        <f t="shared" si="14"/>
        <v>16607.0315193</v>
      </c>
      <c r="AP11" s="32"/>
      <c r="AQ11" s="61">
        <f>C11*$AS$7</f>
        <v>6472.312</v>
      </c>
      <c r="AR11" s="61">
        <f>D11*$AS$7</f>
        <v>161.8078</v>
      </c>
      <c r="AS11" s="20">
        <f t="shared" si="15"/>
        <v>6634.1197999999995</v>
      </c>
      <c r="AT11" s="34">
        <f t="shared" si="16"/>
        <v>92.2287949</v>
      </c>
      <c r="AU11" s="32"/>
      <c r="AV11" s="47">
        <f>C11*$AX$7</f>
        <v>22538.824</v>
      </c>
      <c r="AW11" s="47">
        <f>D11*$AX$7</f>
        <v>563.4706</v>
      </c>
      <c r="AX11" s="32">
        <f t="shared" si="17"/>
        <v>23102.2946</v>
      </c>
      <c r="AY11" s="34">
        <f t="shared" si="18"/>
        <v>321.1724923</v>
      </c>
      <c r="AZ11" s="32"/>
      <c r="BA11" s="47">
        <f>C11*$BC$7</f>
        <v>172418.848</v>
      </c>
      <c r="BB11" s="47">
        <f>D11*$BC$7</f>
        <v>4310.4712</v>
      </c>
      <c r="BC11" s="32">
        <f t="shared" si="19"/>
        <v>176729.3192</v>
      </c>
      <c r="BD11" s="34">
        <f t="shared" si="20"/>
        <v>2456.9245996</v>
      </c>
      <c r="BE11" s="32"/>
      <c r="BF11" s="47">
        <f>C11*$BH$7</f>
        <v>54318.263999999996</v>
      </c>
      <c r="BG11" s="47">
        <f>D11*$BH$7</f>
        <v>1357.9566</v>
      </c>
      <c r="BH11" s="32">
        <f t="shared" si="21"/>
        <v>55676.22059999999</v>
      </c>
      <c r="BI11" s="34">
        <f t="shared" si="22"/>
        <v>774.0214053</v>
      </c>
      <c r="BJ11" s="32"/>
      <c r="BK11" s="47">
        <f>C11*$BM$7</f>
        <v>245773.808</v>
      </c>
      <c r="BL11" s="47">
        <f>D11*$BM$7</f>
        <v>6144.3452</v>
      </c>
      <c r="BM11" s="32">
        <f t="shared" si="23"/>
        <v>251918.1532</v>
      </c>
      <c r="BN11" s="34">
        <f t="shared" si="24"/>
        <v>3502.2140666</v>
      </c>
      <c r="BO11" s="32"/>
      <c r="BP11" s="47">
        <f>C11*$BR$7</f>
        <v>69.776</v>
      </c>
      <c r="BQ11" s="47">
        <f>D11*$BR$7</f>
        <v>1.7444</v>
      </c>
      <c r="BR11" s="32">
        <f t="shared" si="25"/>
        <v>71.5204</v>
      </c>
      <c r="BS11" s="34">
        <f t="shared" si="26"/>
        <v>0.9942901999999999</v>
      </c>
      <c r="BT11" s="32"/>
      <c r="BU11" s="32">
        <f>C11*$BW$7</f>
        <v>31614.799999999996</v>
      </c>
      <c r="BV11" s="32">
        <f>D11*$BW$7</f>
        <v>790.3699999999999</v>
      </c>
      <c r="BW11" s="32">
        <f t="shared" si="27"/>
        <v>32405.169999999995</v>
      </c>
      <c r="BX11" s="34">
        <f t="shared" si="28"/>
        <v>450.50283499999995</v>
      </c>
      <c r="BY11" s="32"/>
      <c r="BZ11" s="47">
        <f>C11*$CB$7</f>
        <v>17657.248000000003</v>
      </c>
      <c r="CA11" s="47">
        <f>D11*$CB$7</f>
        <v>441.43120000000005</v>
      </c>
      <c r="CB11" s="32">
        <f t="shared" si="29"/>
        <v>18098.679200000002</v>
      </c>
      <c r="CC11" s="34">
        <f t="shared" si="30"/>
        <v>251.61127960000002</v>
      </c>
      <c r="CD11" s="32"/>
      <c r="CE11" s="47">
        <f>C11*$CG$7</f>
        <v>11809.784</v>
      </c>
      <c r="CF11" s="47">
        <f>D11*$CG$7</f>
        <v>295.2446</v>
      </c>
      <c r="CG11" s="32">
        <f t="shared" si="31"/>
        <v>12105.0286</v>
      </c>
      <c r="CH11" s="34">
        <f t="shared" si="32"/>
        <v>168.2864093</v>
      </c>
      <c r="CI11" s="32"/>
      <c r="CJ11" s="47">
        <f>C11*$CL$7</f>
        <v>13045.368</v>
      </c>
      <c r="CK11" s="47">
        <f>D11*$CL$7</f>
        <v>326.1342</v>
      </c>
      <c r="CL11" s="32">
        <f t="shared" si="33"/>
        <v>13371.5022</v>
      </c>
      <c r="CM11" s="34">
        <f t="shared" si="34"/>
        <v>185.8931661</v>
      </c>
      <c r="CN11" s="32"/>
      <c r="CO11" s="47">
        <f>C11*$CQ$7</f>
        <v>158984.61599999998</v>
      </c>
      <c r="CP11" s="47">
        <f>D11*$CQ$7</f>
        <v>3974.6153999999997</v>
      </c>
      <c r="CQ11" s="32">
        <f t="shared" si="35"/>
        <v>162959.2314</v>
      </c>
      <c r="CR11" s="34">
        <f t="shared" si="36"/>
        <v>2265.4902207</v>
      </c>
      <c r="CS11" s="32"/>
      <c r="CT11" s="47">
        <f>C11*$CV$7</f>
        <v>23729.72</v>
      </c>
      <c r="CU11" s="47">
        <f>D11*$CV$7</f>
        <v>593.2429999999999</v>
      </c>
      <c r="CV11" s="32">
        <f t="shared" si="37"/>
        <v>24322.963</v>
      </c>
      <c r="CW11" s="34">
        <f t="shared" si="38"/>
        <v>338.1424565</v>
      </c>
      <c r="CX11" s="32"/>
      <c r="CY11" s="47">
        <f>C11*$DA$7</f>
        <v>465359.66400000005</v>
      </c>
      <c r="CZ11" s="47">
        <f>D11*$DA$7</f>
        <v>11633.991600000001</v>
      </c>
      <c r="DA11" s="32">
        <f t="shared" si="39"/>
        <v>476993.65560000006</v>
      </c>
      <c r="DB11" s="34">
        <f t="shared" si="40"/>
        <v>6631.2564978</v>
      </c>
      <c r="DC11" s="32"/>
      <c r="DD11" s="32">
        <f>C11*$DF$7</f>
        <v>23864.568</v>
      </c>
      <c r="DE11" s="32">
        <f>D11*$DF$7</f>
        <v>596.6142</v>
      </c>
      <c r="DF11" s="32">
        <f t="shared" si="41"/>
        <v>24461.1822</v>
      </c>
      <c r="DG11" s="34">
        <f t="shared" si="42"/>
        <v>340.06400610000003</v>
      </c>
      <c r="DH11" s="32"/>
      <c r="DI11" s="47">
        <f>C11*$DK$7</f>
        <v>59835.664000000004</v>
      </c>
      <c r="DJ11" s="47">
        <f>D11*$DK$7</f>
        <v>1495.8916</v>
      </c>
      <c r="DK11" s="32">
        <f t="shared" si="43"/>
        <v>61331.55560000001</v>
      </c>
      <c r="DL11" s="34">
        <f t="shared" si="44"/>
        <v>852.6429478</v>
      </c>
      <c r="DM11" s="32"/>
      <c r="DN11" s="47">
        <f>C11*$DP$7</f>
        <v>605072.776</v>
      </c>
      <c r="DO11" s="47">
        <f>D11*$DP$7</f>
        <v>15126.8194</v>
      </c>
      <c r="DP11" s="32">
        <f t="shared" si="45"/>
        <v>620199.5954</v>
      </c>
      <c r="DQ11" s="34">
        <f t="shared" si="46"/>
        <v>8622.1327027</v>
      </c>
      <c r="DR11" s="32"/>
      <c r="DS11" s="47"/>
      <c r="DT11" s="47"/>
      <c r="DU11" s="32"/>
      <c r="DV11" s="34"/>
      <c r="DW11" s="32"/>
      <c r="DX11" s="32"/>
      <c r="DY11" s="32"/>
      <c r="DZ11" s="32">
        <f t="shared" si="47"/>
        <v>0</v>
      </c>
      <c r="EA11" s="32"/>
    </row>
    <row r="12" spans="1:131" ht="12.75">
      <c r="A12" s="48">
        <v>43191</v>
      </c>
      <c r="E12" s="34">
        <f t="shared" si="0"/>
        <v>0</v>
      </c>
      <c r="H12" s="47"/>
      <c r="I12" s="47">
        <f>'2006A Academic '!I12</f>
        <v>0</v>
      </c>
      <c r="J12" s="47">
        <f t="shared" si="1"/>
        <v>0</v>
      </c>
      <c r="K12" s="47">
        <f>'2006A Academic '!K12</f>
        <v>0</v>
      </c>
      <c r="M12" s="47"/>
      <c r="N12" s="39">
        <f t="shared" si="3"/>
        <v>0</v>
      </c>
      <c r="O12" s="47">
        <f t="shared" si="4"/>
        <v>0</v>
      </c>
      <c r="P12" s="39">
        <f t="shared" si="3"/>
        <v>0</v>
      </c>
      <c r="R12" s="61"/>
      <c r="S12" s="61">
        <f>$D12*T$7</f>
        <v>0</v>
      </c>
      <c r="T12" s="20">
        <f t="shared" si="5"/>
        <v>0</v>
      </c>
      <c r="U12" s="34">
        <f t="shared" si="6"/>
        <v>0</v>
      </c>
      <c r="W12" s="61"/>
      <c r="X12" s="61">
        <f>$D12*Y$7</f>
        <v>0</v>
      </c>
      <c r="Y12" s="20">
        <f t="shared" si="7"/>
        <v>0</v>
      </c>
      <c r="Z12" s="34">
        <f t="shared" si="8"/>
        <v>0</v>
      </c>
      <c r="AB12" s="61"/>
      <c r="AC12" s="61">
        <f>$D12*AD$7</f>
        <v>0</v>
      </c>
      <c r="AD12" s="32">
        <f t="shared" si="9"/>
        <v>0</v>
      </c>
      <c r="AE12" s="34">
        <f t="shared" si="10"/>
        <v>0</v>
      </c>
      <c r="AG12" s="61"/>
      <c r="AH12" s="61">
        <f>$D12*AI$7</f>
        <v>0</v>
      </c>
      <c r="AI12" s="20">
        <f t="shared" si="11"/>
        <v>0</v>
      </c>
      <c r="AJ12" s="34">
        <f t="shared" si="12"/>
        <v>0</v>
      </c>
      <c r="AL12" s="61"/>
      <c r="AM12" s="61">
        <f>$D12*AN$7</f>
        <v>0</v>
      </c>
      <c r="AN12" s="20">
        <f t="shared" si="13"/>
        <v>0</v>
      </c>
      <c r="AO12" s="34">
        <f t="shared" si="14"/>
        <v>0</v>
      </c>
      <c r="AP12" s="32"/>
      <c r="AQ12" s="61"/>
      <c r="AR12" s="61">
        <f>$D12*AS$7</f>
        <v>0</v>
      </c>
      <c r="AS12" s="20">
        <f t="shared" si="15"/>
        <v>0</v>
      </c>
      <c r="AT12" s="34">
        <f t="shared" si="16"/>
        <v>0</v>
      </c>
      <c r="AU12" s="32"/>
      <c r="AV12" s="61"/>
      <c r="AW12" s="61">
        <f>$D12*AX$7</f>
        <v>0</v>
      </c>
      <c r="AX12" s="32">
        <f t="shared" si="17"/>
        <v>0</v>
      </c>
      <c r="AY12" s="34">
        <f t="shared" si="18"/>
        <v>0</v>
      </c>
      <c r="AZ12" s="32"/>
      <c r="BA12" s="61"/>
      <c r="BB12" s="61">
        <f>$D12*BC$7</f>
        <v>0</v>
      </c>
      <c r="BC12" s="32">
        <f t="shared" si="19"/>
        <v>0</v>
      </c>
      <c r="BD12" s="34">
        <f t="shared" si="20"/>
        <v>0</v>
      </c>
      <c r="BE12" s="32"/>
      <c r="BF12" s="61"/>
      <c r="BG12" s="61">
        <f>$D12*BH$7</f>
        <v>0</v>
      </c>
      <c r="BH12" s="32">
        <f t="shared" si="21"/>
        <v>0</v>
      </c>
      <c r="BI12" s="34">
        <f t="shared" si="22"/>
        <v>0</v>
      </c>
      <c r="BJ12" s="32"/>
      <c r="BK12" s="61"/>
      <c r="BL12" s="61">
        <f>$D12*BM$7</f>
        <v>0</v>
      </c>
      <c r="BM12" s="32">
        <f t="shared" si="23"/>
        <v>0</v>
      </c>
      <c r="BN12" s="34">
        <f t="shared" si="24"/>
        <v>0</v>
      </c>
      <c r="BO12" s="32"/>
      <c r="BP12" s="61"/>
      <c r="BQ12" s="61">
        <f>$D12*BR$7</f>
        <v>0</v>
      </c>
      <c r="BR12" s="32">
        <f t="shared" si="25"/>
        <v>0</v>
      </c>
      <c r="BS12" s="34">
        <f t="shared" si="26"/>
        <v>0</v>
      </c>
      <c r="BT12" s="32"/>
      <c r="BU12" s="61"/>
      <c r="BV12" s="61">
        <f>$D12*BW$7</f>
        <v>0</v>
      </c>
      <c r="BW12" s="32">
        <f t="shared" si="27"/>
        <v>0</v>
      </c>
      <c r="BX12" s="34">
        <f t="shared" si="28"/>
        <v>0</v>
      </c>
      <c r="BY12" s="32"/>
      <c r="BZ12" s="61"/>
      <c r="CA12" s="61">
        <f>$D12*CB$7</f>
        <v>0</v>
      </c>
      <c r="CB12" s="32">
        <f t="shared" si="29"/>
        <v>0</v>
      </c>
      <c r="CC12" s="34">
        <f t="shared" si="30"/>
        <v>0</v>
      </c>
      <c r="CD12" s="32"/>
      <c r="CE12" s="61"/>
      <c r="CF12" s="61">
        <f>$D12*CG$7</f>
        <v>0</v>
      </c>
      <c r="CG12" s="32">
        <f t="shared" si="31"/>
        <v>0</v>
      </c>
      <c r="CH12" s="34">
        <f t="shared" si="32"/>
        <v>0</v>
      </c>
      <c r="CI12" s="32"/>
      <c r="CJ12" s="61"/>
      <c r="CK12" s="61">
        <f>$D12*CL$7</f>
        <v>0</v>
      </c>
      <c r="CL12" s="32">
        <f t="shared" si="33"/>
        <v>0</v>
      </c>
      <c r="CM12" s="34">
        <f t="shared" si="34"/>
        <v>0</v>
      </c>
      <c r="CN12" s="32"/>
      <c r="CO12" s="61"/>
      <c r="CP12" s="61">
        <f>$D12*CQ$7</f>
        <v>0</v>
      </c>
      <c r="CQ12" s="32">
        <f t="shared" si="35"/>
        <v>0</v>
      </c>
      <c r="CR12" s="34">
        <f t="shared" si="36"/>
        <v>0</v>
      </c>
      <c r="CS12" s="32"/>
      <c r="CT12" s="61"/>
      <c r="CU12" s="61">
        <f>$D12*CV$7</f>
        <v>0</v>
      </c>
      <c r="CV12" s="32">
        <f t="shared" si="37"/>
        <v>0</v>
      </c>
      <c r="CW12" s="34">
        <f t="shared" si="38"/>
        <v>0</v>
      </c>
      <c r="CX12" s="32"/>
      <c r="CY12" s="61"/>
      <c r="CZ12" s="61">
        <f>$D12*DA$7</f>
        <v>0</v>
      </c>
      <c r="DA12" s="32">
        <f t="shared" si="39"/>
        <v>0</v>
      </c>
      <c r="DB12" s="34">
        <f t="shared" si="40"/>
        <v>0</v>
      </c>
      <c r="DC12" s="32"/>
      <c r="DD12" s="61"/>
      <c r="DE12" s="61">
        <f>$D12*DF$7</f>
        <v>0</v>
      </c>
      <c r="DF12" s="32">
        <f t="shared" si="41"/>
        <v>0</v>
      </c>
      <c r="DG12" s="34">
        <f t="shared" si="42"/>
        <v>0</v>
      </c>
      <c r="DH12" s="32"/>
      <c r="DI12" s="61"/>
      <c r="DJ12" s="61">
        <f>$D12*DK$7</f>
        <v>0</v>
      </c>
      <c r="DK12" s="32">
        <f t="shared" si="43"/>
        <v>0</v>
      </c>
      <c r="DL12" s="34">
        <f t="shared" si="44"/>
        <v>0</v>
      </c>
      <c r="DM12" s="32"/>
      <c r="DN12" s="61"/>
      <c r="DO12" s="61">
        <f>$D12*DP$7</f>
        <v>0</v>
      </c>
      <c r="DP12" s="32">
        <f t="shared" si="45"/>
        <v>0</v>
      </c>
      <c r="DQ12" s="34">
        <f t="shared" si="46"/>
        <v>0</v>
      </c>
      <c r="DR12" s="32"/>
      <c r="DS12" s="47"/>
      <c r="DT12" s="47"/>
      <c r="DU12" s="32"/>
      <c r="DV12" s="34"/>
      <c r="DW12" s="32"/>
      <c r="DX12" s="32"/>
      <c r="DY12" s="32"/>
      <c r="DZ12" s="32">
        <f t="shared" si="47"/>
        <v>0</v>
      </c>
      <c r="EA12" s="32"/>
    </row>
    <row r="13" spans="1:131" ht="12.75">
      <c r="A13" s="48">
        <v>43374</v>
      </c>
      <c r="E13" s="34">
        <f t="shared" si="0"/>
        <v>0</v>
      </c>
      <c r="H13" s="47">
        <f>'2006A Academic '!H13</f>
        <v>0</v>
      </c>
      <c r="I13" s="47">
        <f>'2006A Academic '!I13</f>
        <v>0</v>
      </c>
      <c r="J13" s="47">
        <f t="shared" si="1"/>
        <v>0</v>
      </c>
      <c r="K13" s="47">
        <f>'2006A Academic '!K13</f>
        <v>0</v>
      </c>
      <c r="M13" s="47">
        <f t="shared" si="2"/>
        <v>0</v>
      </c>
      <c r="N13" s="39">
        <f t="shared" si="3"/>
        <v>0</v>
      </c>
      <c r="O13" s="47">
        <f t="shared" si="4"/>
        <v>0</v>
      </c>
      <c r="P13" s="39">
        <f t="shared" si="3"/>
        <v>0</v>
      </c>
      <c r="R13" s="61">
        <f>$C13*T$7</f>
        <v>0</v>
      </c>
      <c r="S13" s="61">
        <f>$D13*T$7</f>
        <v>0</v>
      </c>
      <c r="T13" s="20">
        <f t="shared" si="5"/>
        <v>0</v>
      </c>
      <c r="U13" s="34">
        <f t="shared" si="6"/>
        <v>0</v>
      </c>
      <c r="W13" s="61">
        <f>$C13*Y$7</f>
        <v>0</v>
      </c>
      <c r="X13" s="61">
        <f>$D13*Y$7</f>
        <v>0</v>
      </c>
      <c r="Y13" s="20">
        <f t="shared" si="7"/>
        <v>0</v>
      </c>
      <c r="Z13" s="34">
        <f t="shared" si="8"/>
        <v>0</v>
      </c>
      <c r="AB13" s="61">
        <f>$C13*AD$7</f>
        <v>0</v>
      </c>
      <c r="AC13" s="61">
        <f>$D13*AD$7</f>
        <v>0</v>
      </c>
      <c r="AD13" s="32">
        <f t="shared" si="9"/>
        <v>0</v>
      </c>
      <c r="AE13" s="34">
        <f t="shared" si="10"/>
        <v>0</v>
      </c>
      <c r="AG13" s="61">
        <f>$C13*AI$7</f>
        <v>0</v>
      </c>
      <c r="AH13" s="61">
        <f>$D13*AI$7</f>
        <v>0</v>
      </c>
      <c r="AI13" s="20">
        <f t="shared" si="11"/>
        <v>0</v>
      </c>
      <c r="AJ13" s="34">
        <f t="shared" si="12"/>
        <v>0</v>
      </c>
      <c r="AL13" s="61">
        <f>$C13*AN$7</f>
        <v>0</v>
      </c>
      <c r="AM13" s="61">
        <f>$D13*AN$7</f>
        <v>0</v>
      </c>
      <c r="AN13" s="20">
        <f t="shared" si="13"/>
        <v>0</v>
      </c>
      <c r="AO13" s="34">
        <f t="shared" si="14"/>
        <v>0</v>
      </c>
      <c r="AP13" s="32"/>
      <c r="AQ13" s="61">
        <f>$C13*AS$7</f>
        <v>0</v>
      </c>
      <c r="AR13" s="61">
        <f>$D13*AS$7</f>
        <v>0</v>
      </c>
      <c r="AS13" s="20">
        <f t="shared" si="15"/>
        <v>0</v>
      </c>
      <c r="AT13" s="34">
        <f t="shared" si="16"/>
        <v>0</v>
      </c>
      <c r="AU13" s="32"/>
      <c r="AV13" s="61">
        <f>$C13*AX$7</f>
        <v>0</v>
      </c>
      <c r="AW13" s="61">
        <f>$D13*AX$7</f>
        <v>0</v>
      </c>
      <c r="AX13" s="32">
        <f t="shared" si="17"/>
        <v>0</v>
      </c>
      <c r="AY13" s="34">
        <f t="shared" si="18"/>
        <v>0</v>
      </c>
      <c r="AZ13" s="32"/>
      <c r="BA13" s="61">
        <f>$C13*BC$7</f>
        <v>0</v>
      </c>
      <c r="BB13" s="61">
        <f>$D13*BC$7</f>
        <v>0</v>
      </c>
      <c r="BC13" s="32">
        <f t="shared" si="19"/>
        <v>0</v>
      </c>
      <c r="BD13" s="34">
        <f t="shared" si="20"/>
        <v>0</v>
      </c>
      <c r="BE13" s="32"/>
      <c r="BF13" s="61">
        <f>$C13*BH$7</f>
        <v>0</v>
      </c>
      <c r="BG13" s="61">
        <f>$D13*BH$7</f>
        <v>0</v>
      </c>
      <c r="BH13" s="32">
        <f t="shared" si="21"/>
        <v>0</v>
      </c>
      <c r="BI13" s="34">
        <f t="shared" si="22"/>
        <v>0</v>
      </c>
      <c r="BJ13" s="32"/>
      <c r="BK13" s="61">
        <f>$C13*BM$7</f>
        <v>0</v>
      </c>
      <c r="BL13" s="61">
        <f>$D13*BM$7</f>
        <v>0</v>
      </c>
      <c r="BM13" s="32">
        <f t="shared" si="23"/>
        <v>0</v>
      </c>
      <c r="BN13" s="34">
        <f t="shared" si="24"/>
        <v>0</v>
      </c>
      <c r="BO13" s="32"/>
      <c r="BP13" s="61">
        <f>$C13*BR$7</f>
        <v>0</v>
      </c>
      <c r="BQ13" s="61">
        <f>$D13*BR$7</f>
        <v>0</v>
      </c>
      <c r="BR13" s="32">
        <f t="shared" si="25"/>
        <v>0</v>
      </c>
      <c r="BS13" s="34">
        <f t="shared" si="26"/>
        <v>0</v>
      </c>
      <c r="BT13" s="32"/>
      <c r="BU13" s="61">
        <f>$C13*BW$7</f>
        <v>0</v>
      </c>
      <c r="BV13" s="61">
        <f>$D13*BW$7</f>
        <v>0</v>
      </c>
      <c r="BW13" s="32">
        <f t="shared" si="27"/>
        <v>0</v>
      </c>
      <c r="BX13" s="34">
        <f t="shared" si="28"/>
        <v>0</v>
      </c>
      <c r="BY13" s="32"/>
      <c r="BZ13" s="61">
        <f>$C13*CB$7</f>
        <v>0</v>
      </c>
      <c r="CA13" s="61">
        <f>$D13*CB$7</f>
        <v>0</v>
      </c>
      <c r="CB13" s="32">
        <f t="shared" si="29"/>
        <v>0</v>
      </c>
      <c r="CC13" s="34">
        <f t="shared" si="30"/>
        <v>0</v>
      </c>
      <c r="CD13" s="32"/>
      <c r="CE13" s="61">
        <f>$C13*CG$7</f>
        <v>0</v>
      </c>
      <c r="CF13" s="61">
        <f>$D13*CG$7</f>
        <v>0</v>
      </c>
      <c r="CG13" s="32">
        <f t="shared" si="31"/>
        <v>0</v>
      </c>
      <c r="CH13" s="34">
        <f t="shared" si="32"/>
        <v>0</v>
      </c>
      <c r="CI13" s="32"/>
      <c r="CJ13" s="61">
        <f>$C13*CL$7</f>
        <v>0</v>
      </c>
      <c r="CK13" s="61">
        <f>$D13*CL$7</f>
        <v>0</v>
      </c>
      <c r="CL13" s="32">
        <f t="shared" si="33"/>
        <v>0</v>
      </c>
      <c r="CM13" s="34">
        <f t="shared" si="34"/>
        <v>0</v>
      </c>
      <c r="CN13" s="32"/>
      <c r="CO13" s="61">
        <f>$C13*CQ$7</f>
        <v>0</v>
      </c>
      <c r="CP13" s="61">
        <f>$D13*CQ$7</f>
        <v>0</v>
      </c>
      <c r="CQ13" s="32">
        <f t="shared" si="35"/>
        <v>0</v>
      </c>
      <c r="CR13" s="34">
        <f t="shared" si="36"/>
        <v>0</v>
      </c>
      <c r="CS13" s="32"/>
      <c r="CT13" s="61">
        <f>$C13*CV$7</f>
        <v>0</v>
      </c>
      <c r="CU13" s="61">
        <f>$D13*CV$7</f>
        <v>0</v>
      </c>
      <c r="CV13" s="32">
        <f t="shared" si="37"/>
        <v>0</v>
      </c>
      <c r="CW13" s="34">
        <f t="shared" si="38"/>
        <v>0</v>
      </c>
      <c r="CX13" s="32"/>
      <c r="CY13" s="61">
        <f>$C13*DA$7</f>
        <v>0</v>
      </c>
      <c r="CZ13" s="61">
        <f>$D13*DA$7</f>
        <v>0</v>
      </c>
      <c r="DA13" s="32">
        <f t="shared" si="39"/>
        <v>0</v>
      </c>
      <c r="DB13" s="34">
        <f t="shared" si="40"/>
        <v>0</v>
      </c>
      <c r="DC13" s="32"/>
      <c r="DD13" s="61">
        <f>$C13*DF$7</f>
        <v>0</v>
      </c>
      <c r="DE13" s="61">
        <f>$D13*DF$7</f>
        <v>0</v>
      </c>
      <c r="DF13" s="32">
        <f t="shared" si="41"/>
        <v>0</v>
      </c>
      <c r="DG13" s="34">
        <f t="shared" si="42"/>
        <v>0</v>
      </c>
      <c r="DH13" s="32"/>
      <c r="DI13" s="61">
        <f>$C13*DK$7</f>
        <v>0</v>
      </c>
      <c r="DJ13" s="61">
        <f>$D13*DK$7</f>
        <v>0</v>
      </c>
      <c r="DK13" s="32">
        <f t="shared" si="43"/>
        <v>0</v>
      </c>
      <c r="DL13" s="34">
        <f t="shared" si="44"/>
        <v>0</v>
      </c>
      <c r="DM13" s="32"/>
      <c r="DN13" s="61">
        <f>$C13*DP$7</f>
        <v>0</v>
      </c>
      <c r="DO13" s="61">
        <f>$D13*DP$7</f>
        <v>0</v>
      </c>
      <c r="DP13" s="32">
        <f t="shared" si="45"/>
        <v>0</v>
      </c>
      <c r="DQ13" s="34">
        <f t="shared" si="46"/>
        <v>0</v>
      </c>
      <c r="DR13" s="32"/>
      <c r="DS13" s="47"/>
      <c r="DT13" s="47"/>
      <c r="DU13" s="32"/>
      <c r="DV13" s="34"/>
      <c r="DW13" s="32"/>
      <c r="DX13" s="32"/>
      <c r="DY13" s="32"/>
      <c r="DZ13" s="32">
        <f t="shared" si="47"/>
        <v>0</v>
      </c>
      <c r="EA13" s="32"/>
    </row>
    <row r="14" spans="1:131" ht="12.75">
      <c r="A14" s="48">
        <v>43556</v>
      </c>
      <c r="E14" s="34">
        <f t="shared" si="0"/>
        <v>0</v>
      </c>
      <c r="H14" s="47"/>
      <c r="I14" s="47">
        <f>'2006A Academic '!I14</f>
        <v>0</v>
      </c>
      <c r="J14" s="47">
        <f t="shared" si="1"/>
        <v>0</v>
      </c>
      <c r="K14" s="47">
        <f>'2006A Academic '!K14</f>
        <v>0</v>
      </c>
      <c r="M14" s="47"/>
      <c r="N14" s="39">
        <f t="shared" si="3"/>
        <v>0</v>
      </c>
      <c r="O14" s="47">
        <f t="shared" si="4"/>
        <v>0</v>
      </c>
      <c r="P14" s="39">
        <f t="shared" si="3"/>
        <v>0</v>
      </c>
      <c r="R14" s="61"/>
      <c r="S14" s="61">
        <f aca="true" t="shared" si="48" ref="S14:S29">$D14*T$7</f>
        <v>0</v>
      </c>
      <c r="T14" s="20">
        <f t="shared" si="5"/>
        <v>0</v>
      </c>
      <c r="U14" s="34">
        <f t="shared" si="6"/>
        <v>0</v>
      </c>
      <c r="W14" s="61"/>
      <c r="X14" s="61">
        <f aca="true" t="shared" si="49" ref="X14:X29">$D14*Y$7</f>
        <v>0</v>
      </c>
      <c r="Y14" s="20">
        <f t="shared" si="7"/>
        <v>0</v>
      </c>
      <c r="Z14" s="34">
        <f t="shared" si="8"/>
        <v>0</v>
      </c>
      <c r="AB14" s="61"/>
      <c r="AC14" s="61">
        <f aca="true" t="shared" si="50" ref="AC14:AC29">$D14*AD$7</f>
        <v>0</v>
      </c>
      <c r="AD14" s="32">
        <f t="shared" si="9"/>
        <v>0</v>
      </c>
      <c r="AE14" s="34">
        <f t="shared" si="10"/>
        <v>0</v>
      </c>
      <c r="AG14" s="61"/>
      <c r="AH14" s="61">
        <f aca="true" t="shared" si="51" ref="AH14:AH29">$D14*AI$7</f>
        <v>0</v>
      </c>
      <c r="AI14" s="20">
        <f t="shared" si="11"/>
        <v>0</v>
      </c>
      <c r="AJ14" s="34">
        <f t="shared" si="12"/>
        <v>0</v>
      </c>
      <c r="AL14" s="61"/>
      <c r="AM14" s="61">
        <f aca="true" t="shared" si="52" ref="AM14:AM29">$D14*AN$7</f>
        <v>0</v>
      </c>
      <c r="AN14" s="20">
        <f t="shared" si="13"/>
        <v>0</v>
      </c>
      <c r="AO14" s="34">
        <f t="shared" si="14"/>
        <v>0</v>
      </c>
      <c r="AP14" s="32"/>
      <c r="AQ14" s="61"/>
      <c r="AR14" s="61">
        <f aca="true" t="shared" si="53" ref="AR14:AR29">$D14*AS$7</f>
        <v>0</v>
      </c>
      <c r="AS14" s="20">
        <f t="shared" si="15"/>
        <v>0</v>
      </c>
      <c r="AT14" s="34">
        <f t="shared" si="16"/>
        <v>0</v>
      </c>
      <c r="AU14" s="32"/>
      <c r="AV14" s="61"/>
      <c r="AW14" s="61">
        <f aca="true" t="shared" si="54" ref="AW14:AW29">$D14*AX$7</f>
        <v>0</v>
      </c>
      <c r="AX14" s="32">
        <f t="shared" si="17"/>
        <v>0</v>
      </c>
      <c r="AY14" s="34">
        <f t="shared" si="18"/>
        <v>0</v>
      </c>
      <c r="AZ14" s="32"/>
      <c r="BA14" s="61"/>
      <c r="BB14" s="61">
        <f aca="true" t="shared" si="55" ref="BB14:BB29">$D14*BC$7</f>
        <v>0</v>
      </c>
      <c r="BC14" s="32">
        <f t="shared" si="19"/>
        <v>0</v>
      </c>
      <c r="BD14" s="34">
        <f t="shared" si="20"/>
        <v>0</v>
      </c>
      <c r="BE14" s="32"/>
      <c r="BF14" s="61"/>
      <c r="BG14" s="61">
        <f aca="true" t="shared" si="56" ref="BG14:BG29">$D14*BH$7</f>
        <v>0</v>
      </c>
      <c r="BH14" s="32">
        <f t="shared" si="21"/>
        <v>0</v>
      </c>
      <c r="BI14" s="34">
        <f t="shared" si="22"/>
        <v>0</v>
      </c>
      <c r="BJ14" s="32"/>
      <c r="BK14" s="61"/>
      <c r="BL14" s="61">
        <f aca="true" t="shared" si="57" ref="BL14:BL29">$D14*BM$7</f>
        <v>0</v>
      </c>
      <c r="BM14" s="32">
        <f t="shared" si="23"/>
        <v>0</v>
      </c>
      <c r="BN14" s="34">
        <f t="shared" si="24"/>
        <v>0</v>
      </c>
      <c r="BO14" s="32"/>
      <c r="BP14" s="61"/>
      <c r="BQ14" s="61">
        <f aca="true" t="shared" si="58" ref="BQ14:BQ29">$D14*BR$7</f>
        <v>0</v>
      </c>
      <c r="BR14" s="32">
        <f t="shared" si="25"/>
        <v>0</v>
      </c>
      <c r="BS14" s="34">
        <f t="shared" si="26"/>
        <v>0</v>
      </c>
      <c r="BT14" s="32"/>
      <c r="BU14" s="61"/>
      <c r="BV14" s="61">
        <f aca="true" t="shared" si="59" ref="BV14:BV29">$D14*BW$7</f>
        <v>0</v>
      </c>
      <c r="BW14" s="32">
        <f t="shared" si="27"/>
        <v>0</v>
      </c>
      <c r="BX14" s="34">
        <f t="shared" si="28"/>
        <v>0</v>
      </c>
      <c r="BY14" s="32"/>
      <c r="BZ14" s="61"/>
      <c r="CA14" s="61">
        <f aca="true" t="shared" si="60" ref="CA14:CA29">$D14*CB$7</f>
        <v>0</v>
      </c>
      <c r="CB14" s="32">
        <f t="shared" si="29"/>
        <v>0</v>
      </c>
      <c r="CC14" s="34">
        <f t="shared" si="30"/>
        <v>0</v>
      </c>
      <c r="CD14" s="32"/>
      <c r="CE14" s="61"/>
      <c r="CF14" s="61">
        <f aca="true" t="shared" si="61" ref="CF14:CF29">$D14*CG$7</f>
        <v>0</v>
      </c>
      <c r="CG14" s="32">
        <f t="shared" si="31"/>
        <v>0</v>
      </c>
      <c r="CH14" s="34">
        <f t="shared" si="32"/>
        <v>0</v>
      </c>
      <c r="CI14" s="32"/>
      <c r="CJ14" s="61"/>
      <c r="CK14" s="61">
        <f aca="true" t="shared" si="62" ref="CK14:CK29">$D14*CL$7</f>
        <v>0</v>
      </c>
      <c r="CL14" s="32">
        <f t="shared" si="33"/>
        <v>0</v>
      </c>
      <c r="CM14" s="34">
        <f t="shared" si="34"/>
        <v>0</v>
      </c>
      <c r="CN14" s="32"/>
      <c r="CO14" s="61"/>
      <c r="CP14" s="61">
        <f aca="true" t="shared" si="63" ref="CP14:CP29">$D14*CQ$7</f>
        <v>0</v>
      </c>
      <c r="CQ14" s="32">
        <f t="shared" si="35"/>
        <v>0</v>
      </c>
      <c r="CR14" s="34">
        <f t="shared" si="36"/>
        <v>0</v>
      </c>
      <c r="CS14" s="32"/>
      <c r="CT14" s="61"/>
      <c r="CU14" s="61">
        <f aca="true" t="shared" si="64" ref="CU14:CU29">$D14*CV$7</f>
        <v>0</v>
      </c>
      <c r="CV14" s="32">
        <f t="shared" si="37"/>
        <v>0</v>
      </c>
      <c r="CW14" s="34">
        <f t="shared" si="38"/>
        <v>0</v>
      </c>
      <c r="CX14" s="32"/>
      <c r="CY14" s="61"/>
      <c r="CZ14" s="61">
        <f aca="true" t="shared" si="65" ref="CZ14:CZ29">$D14*DA$7</f>
        <v>0</v>
      </c>
      <c r="DA14" s="32">
        <f t="shared" si="39"/>
        <v>0</v>
      </c>
      <c r="DB14" s="34">
        <f t="shared" si="40"/>
        <v>0</v>
      </c>
      <c r="DC14" s="32"/>
      <c r="DD14" s="61"/>
      <c r="DE14" s="61">
        <f aca="true" t="shared" si="66" ref="DE14:DE29">$D14*DF$7</f>
        <v>0</v>
      </c>
      <c r="DF14" s="32">
        <f t="shared" si="41"/>
        <v>0</v>
      </c>
      <c r="DG14" s="34">
        <f t="shared" si="42"/>
        <v>0</v>
      </c>
      <c r="DH14" s="32"/>
      <c r="DI14" s="61"/>
      <c r="DJ14" s="61">
        <f aca="true" t="shared" si="67" ref="DJ14:DJ29">$D14*DK$7</f>
        <v>0</v>
      </c>
      <c r="DK14" s="32">
        <f t="shared" si="43"/>
        <v>0</v>
      </c>
      <c r="DL14" s="34">
        <f t="shared" si="44"/>
        <v>0</v>
      </c>
      <c r="DM14" s="32"/>
      <c r="DN14" s="61"/>
      <c r="DO14" s="61">
        <f aca="true" t="shared" si="68" ref="DO14:DO29">$D14*DP$7</f>
        <v>0</v>
      </c>
      <c r="DP14" s="32">
        <f t="shared" si="45"/>
        <v>0</v>
      </c>
      <c r="DQ14" s="34">
        <f t="shared" si="46"/>
        <v>0</v>
      </c>
      <c r="DR14" s="32"/>
      <c r="DS14" s="47"/>
      <c r="DT14" s="47"/>
      <c r="DU14" s="32"/>
      <c r="DV14" s="34"/>
      <c r="DW14" s="32"/>
      <c r="DX14" s="32"/>
      <c r="DY14" s="32"/>
      <c r="DZ14" s="32">
        <f t="shared" si="47"/>
        <v>0</v>
      </c>
      <c r="EA14" s="32"/>
    </row>
    <row r="15" spans="1:131" ht="12.75">
      <c r="A15" s="48">
        <v>43739</v>
      </c>
      <c r="E15" s="34">
        <f t="shared" si="0"/>
        <v>0</v>
      </c>
      <c r="H15" s="47">
        <f>'2006A Academic '!H15</f>
        <v>0</v>
      </c>
      <c r="I15" s="47">
        <f>'2006A Academic '!I15</f>
        <v>0</v>
      </c>
      <c r="J15" s="47">
        <f t="shared" si="1"/>
        <v>0</v>
      </c>
      <c r="K15" s="47">
        <f>'2006A Academic '!K15</f>
        <v>0</v>
      </c>
      <c r="M15" s="47">
        <f t="shared" si="2"/>
        <v>0</v>
      </c>
      <c r="N15" s="39">
        <f t="shared" si="3"/>
        <v>0</v>
      </c>
      <c r="O15" s="47">
        <f t="shared" si="4"/>
        <v>0</v>
      </c>
      <c r="P15" s="39">
        <f t="shared" si="3"/>
        <v>0</v>
      </c>
      <c r="R15" s="61">
        <f aca="true" t="shared" si="69" ref="R15:R29">$C15*T$7</f>
        <v>0</v>
      </c>
      <c r="S15" s="61">
        <f t="shared" si="48"/>
        <v>0</v>
      </c>
      <c r="T15" s="20">
        <f t="shared" si="5"/>
        <v>0</v>
      </c>
      <c r="U15" s="34">
        <f t="shared" si="6"/>
        <v>0</v>
      </c>
      <c r="W15" s="61">
        <f>$C15*Y$7</f>
        <v>0</v>
      </c>
      <c r="X15" s="61">
        <f t="shared" si="49"/>
        <v>0</v>
      </c>
      <c r="Y15" s="20">
        <f t="shared" si="7"/>
        <v>0</v>
      </c>
      <c r="Z15" s="34">
        <f t="shared" si="8"/>
        <v>0</v>
      </c>
      <c r="AB15" s="61">
        <f>$C15*AD$7</f>
        <v>0</v>
      </c>
      <c r="AC15" s="61">
        <f t="shared" si="50"/>
        <v>0</v>
      </c>
      <c r="AD15" s="32">
        <f t="shared" si="9"/>
        <v>0</v>
      </c>
      <c r="AE15" s="34">
        <f t="shared" si="10"/>
        <v>0</v>
      </c>
      <c r="AG15" s="61">
        <f>$C15*AI$7</f>
        <v>0</v>
      </c>
      <c r="AH15" s="61">
        <f t="shared" si="51"/>
        <v>0</v>
      </c>
      <c r="AI15" s="20">
        <f t="shared" si="11"/>
        <v>0</v>
      </c>
      <c r="AJ15" s="34">
        <f t="shared" si="12"/>
        <v>0</v>
      </c>
      <c r="AL15" s="61">
        <f>$C15*AN$7</f>
        <v>0</v>
      </c>
      <c r="AM15" s="61">
        <f t="shared" si="52"/>
        <v>0</v>
      </c>
      <c r="AN15" s="20">
        <f t="shared" si="13"/>
        <v>0</v>
      </c>
      <c r="AO15" s="34">
        <f t="shared" si="14"/>
        <v>0</v>
      </c>
      <c r="AP15" s="32"/>
      <c r="AQ15" s="61">
        <f>$C15*AS$7</f>
        <v>0</v>
      </c>
      <c r="AR15" s="61">
        <f t="shared" si="53"/>
        <v>0</v>
      </c>
      <c r="AS15" s="20">
        <f t="shared" si="15"/>
        <v>0</v>
      </c>
      <c r="AT15" s="34">
        <f t="shared" si="16"/>
        <v>0</v>
      </c>
      <c r="AU15" s="32"/>
      <c r="AV15" s="61">
        <f>$C15*AX$7</f>
        <v>0</v>
      </c>
      <c r="AW15" s="61">
        <f t="shared" si="54"/>
        <v>0</v>
      </c>
      <c r="AX15" s="32">
        <f t="shared" si="17"/>
        <v>0</v>
      </c>
      <c r="AY15" s="34">
        <f t="shared" si="18"/>
        <v>0</v>
      </c>
      <c r="AZ15" s="32"/>
      <c r="BA15" s="61">
        <f>$C15*BC$7</f>
        <v>0</v>
      </c>
      <c r="BB15" s="61">
        <f t="shared" si="55"/>
        <v>0</v>
      </c>
      <c r="BC15" s="32">
        <f t="shared" si="19"/>
        <v>0</v>
      </c>
      <c r="BD15" s="34">
        <f t="shared" si="20"/>
        <v>0</v>
      </c>
      <c r="BE15" s="32"/>
      <c r="BF15" s="61">
        <f>$C15*BH$7</f>
        <v>0</v>
      </c>
      <c r="BG15" s="61">
        <f t="shared" si="56"/>
        <v>0</v>
      </c>
      <c r="BH15" s="32">
        <f t="shared" si="21"/>
        <v>0</v>
      </c>
      <c r="BI15" s="34">
        <f t="shared" si="22"/>
        <v>0</v>
      </c>
      <c r="BJ15" s="32"/>
      <c r="BK15" s="61">
        <f>$C15*BM$7</f>
        <v>0</v>
      </c>
      <c r="BL15" s="61">
        <f t="shared" si="57"/>
        <v>0</v>
      </c>
      <c r="BM15" s="32">
        <f t="shared" si="23"/>
        <v>0</v>
      </c>
      <c r="BN15" s="34">
        <f t="shared" si="24"/>
        <v>0</v>
      </c>
      <c r="BO15" s="32"/>
      <c r="BP15" s="61">
        <f>$C15*BR$7</f>
        <v>0</v>
      </c>
      <c r="BQ15" s="61">
        <f t="shared" si="58"/>
        <v>0</v>
      </c>
      <c r="BR15" s="32">
        <f t="shared" si="25"/>
        <v>0</v>
      </c>
      <c r="BS15" s="34">
        <f t="shared" si="26"/>
        <v>0</v>
      </c>
      <c r="BT15" s="32"/>
      <c r="BU15" s="61">
        <f>$C15*BW$7</f>
        <v>0</v>
      </c>
      <c r="BV15" s="61">
        <f t="shared" si="59"/>
        <v>0</v>
      </c>
      <c r="BW15" s="32">
        <f t="shared" si="27"/>
        <v>0</v>
      </c>
      <c r="BX15" s="34">
        <f t="shared" si="28"/>
        <v>0</v>
      </c>
      <c r="BY15" s="32"/>
      <c r="BZ15" s="61">
        <f>$C15*CB$7</f>
        <v>0</v>
      </c>
      <c r="CA15" s="61">
        <f t="shared" si="60"/>
        <v>0</v>
      </c>
      <c r="CB15" s="32">
        <f t="shared" si="29"/>
        <v>0</v>
      </c>
      <c r="CC15" s="34">
        <f t="shared" si="30"/>
        <v>0</v>
      </c>
      <c r="CD15" s="32"/>
      <c r="CE15" s="61">
        <f>$C15*CG$7</f>
        <v>0</v>
      </c>
      <c r="CF15" s="61">
        <f t="shared" si="61"/>
        <v>0</v>
      </c>
      <c r="CG15" s="32">
        <f t="shared" si="31"/>
        <v>0</v>
      </c>
      <c r="CH15" s="34">
        <f t="shared" si="32"/>
        <v>0</v>
      </c>
      <c r="CI15" s="32"/>
      <c r="CJ15" s="61">
        <f>$C15*CL$7</f>
        <v>0</v>
      </c>
      <c r="CK15" s="61">
        <f t="shared" si="62"/>
        <v>0</v>
      </c>
      <c r="CL15" s="32">
        <f t="shared" si="33"/>
        <v>0</v>
      </c>
      <c r="CM15" s="34">
        <f t="shared" si="34"/>
        <v>0</v>
      </c>
      <c r="CN15" s="32"/>
      <c r="CO15" s="61">
        <f>$C15*CQ$7</f>
        <v>0</v>
      </c>
      <c r="CP15" s="61">
        <f t="shared" si="63"/>
        <v>0</v>
      </c>
      <c r="CQ15" s="32">
        <f t="shared" si="35"/>
        <v>0</v>
      </c>
      <c r="CR15" s="34">
        <f t="shared" si="36"/>
        <v>0</v>
      </c>
      <c r="CS15" s="32"/>
      <c r="CT15" s="61">
        <f>$C15*CV$7</f>
        <v>0</v>
      </c>
      <c r="CU15" s="61">
        <f t="shared" si="64"/>
        <v>0</v>
      </c>
      <c r="CV15" s="32">
        <f t="shared" si="37"/>
        <v>0</v>
      </c>
      <c r="CW15" s="34">
        <f t="shared" si="38"/>
        <v>0</v>
      </c>
      <c r="CX15" s="32"/>
      <c r="CY15" s="61">
        <f>$C15*DA$7</f>
        <v>0</v>
      </c>
      <c r="CZ15" s="61">
        <f t="shared" si="65"/>
        <v>0</v>
      </c>
      <c r="DA15" s="32">
        <f t="shared" si="39"/>
        <v>0</v>
      </c>
      <c r="DB15" s="34">
        <f t="shared" si="40"/>
        <v>0</v>
      </c>
      <c r="DC15" s="32"/>
      <c r="DD15" s="61">
        <f>$C15*DF$7</f>
        <v>0</v>
      </c>
      <c r="DE15" s="61">
        <f t="shared" si="66"/>
        <v>0</v>
      </c>
      <c r="DF15" s="32">
        <f t="shared" si="41"/>
        <v>0</v>
      </c>
      <c r="DG15" s="34">
        <f t="shared" si="42"/>
        <v>0</v>
      </c>
      <c r="DH15" s="32"/>
      <c r="DI15" s="61">
        <f>$C15*DK$7</f>
        <v>0</v>
      </c>
      <c r="DJ15" s="61">
        <f t="shared" si="67"/>
        <v>0</v>
      </c>
      <c r="DK15" s="32">
        <f t="shared" si="43"/>
        <v>0</v>
      </c>
      <c r="DL15" s="34">
        <f t="shared" si="44"/>
        <v>0</v>
      </c>
      <c r="DM15" s="32"/>
      <c r="DN15" s="61">
        <f>$C15*DP$7</f>
        <v>0</v>
      </c>
      <c r="DO15" s="61">
        <f t="shared" si="68"/>
        <v>0</v>
      </c>
      <c r="DP15" s="32">
        <f t="shared" si="45"/>
        <v>0</v>
      </c>
      <c r="DQ15" s="34">
        <f t="shared" si="46"/>
        <v>0</v>
      </c>
      <c r="DR15" s="32"/>
      <c r="DS15" s="47"/>
      <c r="DT15" s="47"/>
      <c r="DU15" s="32"/>
      <c r="DV15" s="34"/>
      <c r="DW15" s="32"/>
      <c r="DX15" s="32"/>
      <c r="DY15" s="32"/>
      <c r="DZ15" s="32">
        <f t="shared" si="47"/>
        <v>0</v>
      </c>
      <c r="EA15" s="32"/>
    </row>
    <row r="16" spans="1:131" s="49" customFormat="1" ht="12.75">
      <c r="A16" s="48">
        <v>43922</v>
      </c>
      <c r="C16" s="34"/>
      <c r="D16" s="34"/>
      <c r="E16" s="34">
        <f t="shared" si="0"/>
        <v>0</v>
      </c>
      <c r="F16" s="34"/>
      <c r="G16" s="47"/>
      <c r="H16" s="47"/>
      <c r="I16" s="47">
        <f>'2006A Academic '!I16</f>
        <v>0</v>
      </c>
      <c r="J16" s="47">
        <f t="shared" si="1"/>
        <v>0</v>
      </c>
      <c r="K16" s="47">
        <f>'2006A Academic '!K16</f>
        <v>0</v>
      </c>
      <c r="L16" s="47"/>
      <c r="M16" s="47"/>
      <c r="N16" s="39">
        <f t="shared" si="3"/>
        <v>0</v>
      </c>
      <c r="O16" s="47">
        <f t="shared" si="4"/>
        <v>0</v>
      </c>
      <c r="P16" s="39">
        <f t="shared" si="3"/>
        <v>0</v>
      </c>
      <c r="Q16" s="47"/>
      <c r="R16" s="61"/>
      <c r="S16" s="61">
        <f t="shared" si="48"/>
        <v>0</v>
      </c>
      <c r="T16" s="20">
        <f t="shared" si="5"/>
        <v>0</v>
      </c>
      <c r="U16" s="34">
        <f t="shared" si="6"/>
        <v>0</v>
      </c>
      <c r="V16" s="47"/>
      <c r="W16" s="61"/>
      <c r="X16" s="61">
        <f t="shared" si="49"/>
        <v>0</v>
      </c>
      <c r="Y16" s="20">
        <f t="shared" si="7"/>
        <v>0</v>
      </c>
      <c r="Z16" s="34">
        <f t="shared" si="8"/>
        <v>0</v>
      </c>
      <c r="AA16" s="47"/>
      <c r="AB16" s="61"/>
      <c r="AC16" s="61">
        <f t="shared" si="50"/>
        <v>0</v>
      </c>
      <c r="AD16" s="32">
        <f t="shared" si="9"/>
        <v>0</v>
      </c>
      <c r="AE16" s="34">
        <f t="shared" si="10"/>
        <v>0</v>
      </c>
      <c r="AF16" s="47"/>
      <c r="AG16" s="61"/>
      <c r="AH16" s="61">
        <f t="shared" si="51"/>
        <v>0</v>
      </c>
      <c r="AI16" s="20">
        <f t="shared" si="11"/>
        <v>0</v>
      </c>
      <c r="AJ16" s="34">
        <f t="shared" si="12"/>
        <v>0</v>
      </c>
      <c r="AK16" s="47"/>
      <c r="AL16" s="61"/>
      <c r="AM16" s="61">
        <f t="shared" si="52"/>
        <v>0</v>
      </c>
      <c r="AN16" s="20">
        <f t="shared" si="13"/>
        <v>0</v>
      </c>
      <c r="AO16" s="34">
        <f t="shared" si="14"/>
        <v>0</v>
      </c>
      <c r="AP16" s="47"/>
      <c r="AQ16" s="61"/>
      <c r="AR16" s="61">
        <f t="shared" si="53"/>
        <v>0</v>
      </c>
      <c r="AS16" s="20">
        <f t="shared" si="15"/>
        <v>0</v>
      </c>
      <c r="AT16" s="34">
        <f t="shared" si="16"/>
        <v>0</v>
      </c>
      <c r="AU16" s="47"/>
      <c r="AV16" s="61"/>
      <c r="AW16" s="61">
        <f t="shared" si="54"/>
        <v>0</v>
      </c>
      <c r="AX16" s="32">
        <f t="shared" si="17"/>
        <v>0</v>
      </c>
      <c r="AY16" s="34">
        <f t="shared" si="18"/>
        <v>0</v>
      </c>
      <c r="AZ16" s="47"/>
      <c r="BA16" s="61"/>
      <c r="BB16" s="61">
        <f t="shared" si="55"/>
        <v>0</v>
      </c>
      <c r="BC16" s="32">
        <f t="shared" si="19"/>
        <v>0</v>
      </c>
      <c r="BD16" s="34">
        <f t="shared" si="20"/>
        <v>0</v>
      </c>
      <c r="BE16" s="47"/>
      <c r="BF16" s="61"/>
      <c r="BG16" s="61">
        <f t="shared" si="56"/>
        <v>0</v>
      </c>
      <c r="BH16" s="32">
        <f t="shared" si="21"/>
        <v>0</v>
      </c>
      <c r="BI16" s="34">
        <f t="shared" si="22"/>
        <v>0</v>
      </c>
      <c r="BJ16" s="47"/>
      <c r="BK16" s="61"/>
      <c r="BL16" s="61">
        <f t="shared" si="57"/>
        <v>0</v>
      </c>
      <c r="BM16" s="32">
        <f t="shared" si="23"/>
        <v>0</v>
      </c>
      <c r="BN16" s="34">
        <f t="shared" si="24"/>
        <v>0</v>
      </c>
      <c r="BO16" s="47"/>
      <c r="BP16" s="61"/>
      <c r="BQ16" s="61">
        <f t="shared" si="58"/>
        <v>0</v>
      </c>
      <c r="BR16" s="32">
        <f t="shared" si="25"/>
        <v>0</v>
      </c>
      <c r="BS16" s="34">
        <f t="shared" si="26"/>
        <v>0</v>
      </c>
      <c r="BT16" s="47"/>
      <c r="BU16" s="61"/>
      <c r="BV16" s="61">
        <f t="shared" si="59"/>
        <v>0</v>
      </c>
      <c r="BW16" s="32">
        <f t="shared" si="27"/>
        <v>0</v>
      </c>
      <c r="BX16" s="34">
        <f t="shared" si="28"/>
        <v>0</v>
      </c>
      <c r="BY16" s="47"/>
      <c r="BZ16" s="61"/>
      <c r="CA16" s="61">
        <f t="shared" si="60"/>
        <v>0</v>
      </c>
      <c r="CB16" s="32">
        <f t="shared" si="29"/>
        <v>0</v>
      </c>
      <c r="CC16" s="34">
        <f t="shared" si="30"/>
        <v>0</v>
      </c>
      <c r="CD16" s="47"/>
      <c r="CE16" s="61"/>
      <c r="CF16" s="61">
        <f t="shared" si="61"/>
        <v>0</v>
      </c>
      <c r="CG16" s="32">
        <f t="shared" si="31"/>
        <v>0</v>
      </c>
      <c r="CH16" s="34">
        <f t="shared" si="32"/>
        <v>0</v>
      </c>
      <c r="CI16" s="47"/>
      <c r="CJ16" s="61"/>
      <c r="CK16" s="61">
        <f t="shared" si="62"/>
        <v>0</v>
      </c>
      <c r="CL16" s="32">
        <f t="shared" si="33"/>
        <v>0</v>
      </c>
      <c r="CM16" s="34">
        <f t="shared" si="34"/>
        <v>0</v>
      </c>
      <c r="CN16" s="47"/>
      <c r="CO16" s="61"/>
      <c r="CP16" s="61">
        <f t="shared" si="63"/>
        <v>0</v>
      </c>
      <c r="CQ16" s="32">
        <f t="shared" si="35"/>
        <v>0</v>
      </c>
      <c r="CR16" s="34">
        <f t="shared" si="36"/>
        <v>0</v>
      </c>
      <c r="CS16" s="47"/>
      <c r="CT16" s="61"/>
      <c r="CU16" s="61">
        <f t="shared" si="64"/>
        <v>0</v>
      </c>
      <c r="CV16" s="32">
        <f t="shared" si="37"/>
        <v>0</v>
      </c>
      <c r="CW16" s="34">
        <f t="shared" si="38"/>
        <v>0</v>
      </c>
      <c r="CX16" s="47"/>
      <c r="CY16" s="61"/>
      <c r="CZ16" s="61">
        <f t="shared" si="65"/>
        <v>0</v>
      </c>
      <c r="DA16" s="32">
        <f t="shared" si="39"/>
        <v>0</v>
      </c>
      <c r="DB16" s="34">
        <f t="shared" si="40"/>
        <v>0</v>
      </c>
      <c r="DC16" s="32"/>
      <c r="DD16" s="61"/>
      <c r="DE16" s="61">
        <f t="shared" si="66"/>
        <v>0</v>
      </c>
      <c r="DF16" s="32">
        <f t="shared" si="41"/>
        <v>0</v>
      </c>
      <c r="DG16" s="34">
        <f t="shared" si="42"/>
        <v>0</v>
      </c>
      <c r="DH16" s="47"/>
      <c r="DI16" s="61"/>
      <c r="DJ16" s="61">
        <f t="shared" si="67"/>
        <v>0</v>
      </c>
      <c r="DK16" s="32">
        <f t="shared" si="43"/>
        <v>0</v>
      </c>
      <c r="DL16" s="34">
        <f t="shared" si="44"/>
        <v>0</v>
      </c>
      <c r="DM16" s="47"/>
      <c r="DN16" s="61"/>
      <c r="DO16" s="61">
        <f t="shared" si="68"/>
        <v>0</v>
      </c>
      <c r="DP16" s="32">
        <f t="shared" si="45"/>
        <v>0</v>
      </c>
      <c r="DQ16" s="34">
        <f t="shared" si="46"/>
        <v>0</v>
      </c>
      <c r="DR16" s="47"/>
      <c r="DS16" s="47"/>
      <c r="DT16" s="47"/>
      <c r="DU16" s="32"/>
      <c r="DV16" s="34"/>
      <c r="DW16" s="47"/>
      <c r="DX16" s="32"/>
      <c r="DY16" s="32"/>
      <c r="DZ16" s="32">
        <f t="shared" si="47"/>
        <v>0</v>
      </c>
      <c r="EA16" s="32"/>
    </row>
    <row r="17" spans="1:131" s="49" customFormat="1" ht="12.75">
      <c r="A17" s="48">
        <v>44105</v>
      </c>
      <c r="C17" s="34"/>
      <c r="D17" s="34"/>
      <c r="E17" s="34">
        <f t="shared" si="0"/>
        <v>0</v>
      </c>
      <c r="F17" s="34"/>
      <c r="G17" s="47"/>
      <c r="H17" s="47">
        <f>'2006A Academic '!H17</f>
        <v>0</v>
      </c>
      <c r="I17" s="47">
        <f>'2006A Academic '!I17</f>
        <v>0</v>
      </c>
      <c r="J17" s="47">
        <f t="shared" si="1"/>
        <v>0</v>
      </c>
      <c r="K17" s="47">
        <f>'2006A Academic '!K17</f>
        <v>0</v>
      </c>
      <c r="L17" s="47"/>
      <c r="M17" s="47">
        <f t="shared" si="2"/>
        <v>0</v>
      </c>
      <c r="N17" s="39">
        <f t="shared" si="3"/>
        <v>0</v>
      </c>
      <c r="O17" s="47">
        <f t="shared" si="4"/>
        <v>0</v>
      </c>
      <c r="P17" s="39">
        <f t="shared" si="3"/>
        <v>0</v>
      </c>
      <c r="Q17" s="47"/>
      <c r="R17" s="61">
        <f t="shared" si="69"/>
        <v>0</v>
      </c>
      <c r="S17" s="61">
        <f t="shared" si="48"/>
        <v>0</v>
      </c>
      <c r="T17" s="20">
        <f t="shared" si="5"/>
        <v>0</v>
      </c>
      <c r="U17" s="34">
        <f t="shared" si="6"/>
        <v>0</v>
      </c>
      <c r="V17" s="47"/>
      <c r="W17" s="61">
        <f>$C17*Y$7</f>
        <v>0</v>
      </c>
      <c r="X17" s="61">
        <f t="shared" si="49"/>
        <v>0</v>
      </c>
      <c r="Y17" s="20">
        <f t="shared" si="7"/>
        <v>0</v>
      </c>
      <c r="Z17" s="34">
        <f t="shared" si="8"/>
        <v>0</v>
      </c>
      <c r="AA17" s="47"/>
      <c r="AB17" s="61">
        <f>$C17*AD$7</f>
        <v>0</v>
      </c>
      <c r="AC17" s="61">
        <f t="shared" si="50"/>
        <v>0</v>
      </c>
      <c r="AD17" s="32">
        <f t="shared" si="9"/>
        <v>0</v>
      </c>
      <c r="AE17" s="34">
        <f t="shared" si="10"/>
        <v>0</v>
      </c>
      <c r="AF17" s="47"/>
      <c r="AG17" s="61">
        <f>$C17*AI$7</f>
        <v>0</v>
      </c>
      <c r="AH17" s="61">
        <f t="shared" si="51"/>
        <v>0</v>
      </c>
      <c r="AI17" s="20">
        <f t="shared" si="11"/>
        <v>0</v>
      </c>
      <c r="AJ17" s="34">
        <f t="shared" si="12"/>
        <v>0</v>
      </c>
      <c r="AK17" s="47"/>
      <c r="AL17" s="61">
        <f>$C17*AN$7</f>
        <v>0</v>
      </c>
      <c r="AM17" s="61">
        <f t="shared" si="52"/>
        <v>0</v>
      </c>
      <c r="AN17" s="20">
        <f t="shared" si="13"/>
        <v>0</v>
      </c>
      <c r="AO17" s="34">
        <f t="shared" si="14"/>
        <v>0</v>
      </c>
      <c r="AP17" s="47"/>
      <c r="AQ17" s="61">
        <f>$C17*AS$7</f>
        <v>0</v>
      </c>
      <c r="AR17" s="61">
        <f t="shared" si="53"/>
        <v>0</v>
      </c>
      <c r="AS17" s="20">
        <f t="shared" si="15"/>
        <v>0</v>
      </c>
      <c r="AT17" s="34">
        <f t="shared" si="16"/>
        <v>0</v>
      </c>
      <c r="AU17" s="47"/>
      <c r="AV17" s="61">
        <f>$C17*AX$7</f>
        <v>0</v>
      </c>
      <c r="AW17" s="61">
        <f t="shared" si="54"/>
        <v>0</v>
      </c>
      <c r="AX17" s="32">
        <f t="shared" si="17"/>
        <v>0</v>
      </c>
      <c r="AY17" s="34">
        <f t="shared" si="18"/>
        <v>0</v>
      </c>
      <c r="AZ17" s="47"/>
      <c r="BA17" s="61">
        <f>$C17*BC$7</f>
        <v>0</v>
      </c>
      <c r="BB17" s="61">
        <f t="shared" si="55"/>
        <v>0</v>
      </c>
      <c r="BC17" s="32">
        <f t="shared" si="19"/>
        <v>0</v>
      </c>
      <c r="BD17" s="34">
        <f t="shared" si="20"/>
        <v>0</v>
      </c>
      <c r="BE17" s="47"/>
      <c r="BF17" s="61">
        <f>$C17*BH$7</f>
        <v>0</v>
      </c>
      <c r="BG17" s="61">
        <f t="shared" si="56"/>
        <v>0</v>
      </c>
      <c r="BH17" s="32">
        <f t="shared" si="21"/>
        <v>0</v>
      </c>
      <c r="BI17" s="34">
        <f t="shared" si="22"/>
        <v>0</v>
      </c>
      <c r="BJ17" s="47"/>
      <c r="BK17" s="61">
        <f>$C17*BM$7</f>
        <v>0</v>
      </c>
      <c r="BL17" s="61">
        <f t="shared" si="57"/>
        <v>0</v>
      </c>
      <c r="BM17" s="32">
        <f t="shared" si="23"/>
        <v>0</v>
      </c>
      <c r="BN17" s="34">
        <f t="shared" si="24"/>
        <v>0</v>
      </c>
      <c r="BO17" s="47"/>
      <c r="BP17" s="61">
        <f>$C17*BR$7</f>
        <v>0</v>
      </c>
      <c r="BQ17" s="61">
        <f t="shared" si="58"/>
        <v>0</v>
      </c>
      <c r="BR17" s="32">
        <f t="shared" si="25"/>
        <v>0</v>
      </c>
      <c r="BS17" s="34">
        <f t="shared" si="26"/>
        <v>0</v>
      </c>
      <c r="BT17" s="47"/>
      <c r="BU17" s="61">
        <f>$C17*BW$7</f>
        <v>0</v>
      </c>
      <c r="BV17" s="61">
        <f t="shared" si="59"/>
        <v>0</v>
      </c>
      <c r="BW17" s="32">
        <f t="shared" si="27"/>
        <v>0</v>
      </c>
      <c r="BX17" s="34">
        <f t="shared" si="28"/>
        <v>0</v>
      </c>
      <c r="BY17" s="47"/>
      <c r="BZ17" s="61">
        <f>$C17*CB$7</f>
        <v>0</v>
      </c>
      <c r="CA17" s="61">
        <f t="shared" si="60"/>
        <v>0</v>
      </c>
      <c r="CB17" s="32">
        <f t="shared" si="29"/>
        <v>0</v>
      </c>
      <c r="CC17" s="34">
        <f t="shared" si="30"/>
        <v>0</v>
      </c>
      <c r="CD17" s="47"/>
      <c r="CE17" s="61">
        <f>$C17*CG$7</f>
        <v>0</v>
      </c>
      <c r="CF17" s="61">
        <f t="shared" si="61"/>
        <v>0</v>
      </c>
      <c r="CG17" s="32">
        <f t="shared" si="31"/>
        <v>0</v>
      </c>
      <c r="CH17" s="34">
        <f t="shared" si="32"/>
        <v>0</v>
      </c>
      <c r="CI17" s="47"/>
      <c r="CJ17" s="61">
        <f>$C17*CL$7</f>
        <v>0</v>
      </c>
      <c r="CK17" s="61">
        <f t="shared" si="62"/>
        <v>0</v>
      </c>
      <c r="CL17" s="32">
        <f t="shared" si="33"/>
        <v>0</v>
      </c>
      <c r="CM17" s="34">
        <f t="shared" si="34"/>
        <v>0</v>
      </c>
      <c r="CN17" s="47"/>
      <c r="CO17" s="61">
        <f>$C17*CQ$7</f>
        <v>0</v>
      </c>
      <c r="CP17" s="61">
        <f t="shared" si="63"/>
        <v>0</v>
      </c>
      <c r="CQ17" s="32">
        <f t="shared" si="35"/>
        <v>0</v>
      </c>
      <c r="CR17" s="34">
        <f t="shared" si="36"/>
        <v>0</v>
      </c>
      <c r="CS17" s="47"/>
      <c r="CT17" s="61">
        <f>$C17*CV$7</f>
        <v>0</v>
      </c>
      <c r="CU17" s="61">
        <f t="shared" si="64"/>
        <v>0</v>
      </c>
      <c r="CV17" s="32">
        <f t="shared" si="37"/>
        <v>0</v>
      </c>
      <c r="CW17" s="34">
        <f t="shared" si="38"/>
        <v>0</v>
      </c>
      <c r="CX17" s="47"/>
      <c r="CY17" s="61">
        <f>$C17*DA$7</f>
        <v>0</v>
      </c>
      <c r="CZ17" s="61">
        <f t="shared" si="65"/>
        <v>0</v>
      </c>
      <c r="DA17" s="32">
        <f t="shared" si="39"/>
        <v>0</v>
      </c>
      <c r="DB17" s="34">
        <f t="shared" si="40"/>
        <v>0</v>
      </c>
      <c r="DC17" s="32"/>
      <c r="DD17" s="61">
        <f>$C17*DF$7</f>
        <v>0</v>
      </c>
      <c r="DE17" s="61">
        <f t="shared" si="66"/>
        <v>0</v>
      </c>
      <c r="DF17" s="32">
        <f t="shared" si="41"/>
        <v>0</v>
      </c>
      <c r="DG17" s="34">
        <f t="shared" si="42"/>
        <v>0</v>
      </c>
      <c r="DH17" s="47"/>
      <c r="DI17" s="61">
        <f>$C17*DK$7</f>
        <v>0</v>
      </c>
      <c r="DJ17" s="61">
        <f t="shared" si="67"/>
        <v>0</v>
      </c>
      <c r="DK17" s="32">
        <f t="shared" si="43"/>
        <v>0</v>
      </c>
      <c r="DL17" s="34">
        <f t="shared" si="44"/>
        <v>0</v>
      </c>
      <c r="DM17" s="47"/>
      <c r="DN17" s="61">
        <f>$C17*DP$7</f>
        <v>0</v>
      </c>
      <c r="DO17" s="61">
        <f t="shared" si="68"/>
        <v>0</v>
      </c>
      <c r="DP17" s="32">
        <f t="shared" si="45"/>
        <v>0</v>
      </c>
      <c r="DQ17" s="34">
        <f t="shared" si="46"/>
        <v>0</v>
      </c>
      <c r="DR17" s="47"/>
      <c r="DS17" s="47"/>
      <c r="DT17" s="47"/>
      <c r="DU17" s="32"/>
      <c r="DV17" s="34"/>
      <c r="DW17" s="47"/>
      <c r="DX17" s="32"/>
      <c r="DY17" s="32"/>
      <c r="DZ17" s="32">
        <f t="shared" si="47"/>
        <v>0</v>
      </c>
      <c r="EA17" s="32"/>
    </row>
    <row r="18" spans="1:131" s="49" customFormat="1" ht="12.75">
      <c r="A18" s="48">
        <v>44287</v>
      </c>
      <c r="C18" s="34"/>
      <c r="D18" s="34"/>
      <c r="E18" s="34">
        <f t="shared" si="0"/>
        <v>0</v>
      </c>
      <c r="F18" s="34"/>
      <c r="G18" s="47"/>
      <c r="H18" s="47"/>
      <c r="I18" s="47">
        <f>'2006A Academic '!I18</f>
        <v>0</v>
      </c>
      <c r="J18" s="47">
        <f t="shared" si="1"/>
        <v>0</v>
      </c>
      <c r="K18" s="47">
        <f>'2006A Academic '!K18</f>
        <v>0</v>
      </c>
      <c r="L18" s="47"/>
      <c r="M18" s="47"/>
      <c r="N18" s="39">
        <f t="shared" si="3"/>
        <v>0</v>
      </c>
      <c r="O18" s="47">
        <f t="shared" si="4"/>
        <v>0</v>
      </c>
      <c r="P18" s="39">
        <f t="shared" si="3"/>
        <v>0</v>
      </c>
      <c r="Q18" s="47"/>
      <c r="R18" s="61"/>
      <c r="S18" s="61">
        <f t="shared" si="48"/>
        <v>0</v>
      </c>
      <c r="T18" s="20">
        <f t="shared" si="5"/>
        <v>0</v>
      </c>
      <c r="U18" s="34">
        <f t="shared" si="6"/>
        <v>0</v>
      </c>
      <c r="V18" s="47"/>
      <c r="W18" s="61"/>
      <c r="X18" s="61">
        <f t="shared" si="49"/>
        <v>0</v>
      </c>
      <c r="Y18" s="20">
        <f t="shared" si="7"/>
        <v>0</v>
      </c>
      <c r="Z18" s="34">
        <f t="shared" si="8"/>
        <v>0</v>
      </c>
      <c r="AA18" s="47"/>
      <c r="AB18" s="61"/>
      <c r="AC18" s="61">
        <f t="shared" si="50"/>
        <v>0</v>
      </c>
      <c r="AD18" s="32">
        <f t="shared" si="9"/>
        <v>0</v>
      </c>
      <c r="AE18" s="34">
        <f t="shared" si="10"/>
        <v>0</v>
      </c>
      <c r="AF18" s="47"/>
      <c r="AG18" s="61"/>
      <c r="AH18" s="61">
        <f t="shared" si="51"/>
        <v>0</v>
      </c>
      <c r="AI18" s="20">
        <f t="shared" si="11"/>
        <v>0</v>
      </c>
      <c r="AJ18" s="34">
        <f t="shared" si="12"/>
        <v>0</v>
      </c>
      <c r="AK18" s="47"/>
      <c r="AL18" s="61"/>
      <c r="AM18" s="61">
        <f t="shared" si="52"/>
        <v>0</v>
      </c>
      <c r="AN18" s="20">
        <f t="shared" si="13"/>
        <v>0</v>
      </c>
      <c r="AO18" s="34">
        <f t="shared" si="14"/>
        <v>0</v>
      </c>
      <c r="AP18" s="47"/>
      <c r="AQ18" s="61"/>
      <c r="AR18" s="61">
        <f t="shared" si="53"/>
        <v>0</v>
      </c>
      <c r="AS18" s="20">
        <f t="shared" si="15"/>
        <v>0</v>
      </c>
      <c r="AT18" s="34">
        <f t="shared" si="16"/>
        <v>0</v>
      </c>
      <c r="AU18" s="47"/>
      <c r="AV18" s="61"/>
      <c r="AW18" s="61">
        <f t="shared" si="54"/>
        <v>0</v>
      </c>
      <c r="AX18" s="32">
        <f t="shared" si="17"/>
        <v>0</v>
      </c>
      <c r="AY18" s="34">
        <f t="shared" si="18"/>
        <v>0</v>
      </c>
      <c r="AZ18" s="47"/>
      <c r="BA18" s="61"/>
      <c r="BB18" s="61">
        <f t="shared" si="55"/>
        <v>0</v>
      </c>
      <c r="BC18" s="32">
        <f t="shared" si="19"/>
        <v>0</v>
      </c>
      <c r="BD18" s="34">
        <f t="shared" si="20"/>
        <v>0</v>
      </c>
      <c r="BE18" s="47"/>
      <c r="BF18" s="61"/>
      <c r="BG18" s="61">
        <f t="shared" si="56"/>
        <v>0</v>
      </c>
      <c r="BH18" s="32">
        <f t="shared" si="21"/>
        <v>0</v>
      </c>
      <c r="BI18" s="34">
        <f t="shared" si="22"/>
        <v>0</v>
      </c>
      <c r="BJ18" s="47"/>
      <c r="BK18" s="61"/>
      <c r="BL18" s="61">
        <f t="shared" si="57"/>
        <v>0</v>
      </c>
      <c r="BM18" s="32">
        <f t="shared" si="23"/>
        <v>0</v>
      </c>
      <c r="BN18" s="34">
        <f t="shared" si="24"/>
        <v>0</v>
      </c>
      <c r="BO18" s="47"/>
      <c r="BP18" s="61"/>
      <c r="BQ18" s="61">
        <f t="shared" si="58"/>
        <v>0</v>
      </c>
      <c r="BR18" s="32">
        <f t="shared" si="25"/>
        <v>0</v>
      </c>
      <c r="BS18" s="34">
        <f t="shared" si="26"/>
        <v>0</v>
      </c>
      <c r="BT18" s="47"/>
      <c r="BU18" s="61"/>
      <c r="BV18" s="61">
        <f t="shared" si="59"/>
        <v>0</v>
      </c>
      <c r="BW18" s="32">
        <f t="shared" si="27"/>
        <v>0</v>
      </c>
      <c r="BX18" s="34">
        <f t="shared" si="28"/>
        <v>0</v>
      </c>
      <c r="BY18" s="47"/>
      <c r="BZ18" s="61"/>
      <c r="CA18" s="61">
        <f t="shared" si="60"/>
        <v>0</v>
      </c>
      <c r="CB18" s="32">
        <f t="shared" si="29"/>
        <v>0</v>
      </c>
      <c r="CC18" s="34">
        <f t="shared" si="30"/>
        <v>0</v>
      </c>
      <c r="CD18" s="47"/>
      <c r="CE18" s="61"/>
      <c r="CF18" s="61">
        <f t="shared" si="61"/>
        <v>0</v>
      </c>
      <c r="CG18" s="32">
        <f t="shared" si="31"/>
        <v>0</v>
      </c>
      <c r="CH18" s="34">
        <f t="shared" si="32"/>
        <v>0</v>
      </c>
      <c r="CI18" s="47"/>
      <c r="CJ18" s="61"/>
      <c r="CK18" s="61">
        <f t="shared" si="62"/>
        <v>0</v>
      </c>
      <c r="CL18" s="32">
        <f t="shared" si="33"/>
        <v>0</v>
      </c>
      <c r="CM18" s="34">
        <f t="shared" si="34"/>
        <v>0</v>
      </c>
      <c r="CN18" s="47"/>
      <c r="CO18" s="61"/>
      <c r="CP18" s="61">
        <f t="shared" si="63"/>
        <v>0</v>
      </c>
      <c r="CQ18" s="32">
        <f t="shared" si="35"/>
        <v>0</v>
      </c>
      <c r="CR18" s="34">
        <f t="shared" si="36"/>
        <v>0</v>
      </c>
      <c r="CS18" s="47"/>
      <c r="CT18" s="61"/>
      <c r="CU18" s="61">
        <f t="shared" si="64"/>
        <v>0</v>
      </c>
      <c r="CV18" s="32">
        <f t="shared" si="37"/>
        <v>0</v>
      </c>
      <c r="CW18" s="34">
        <f t="shared" si="38"/>
        <v>0</v>
      </c>
      <c r="CX18" s="47"/>
      <c r="CY18" s="61"/>
      <c r="CZ18" s="61">
        <f t="shared" si="65"/>
        <v>0</v>
      </c>
      <c r="DA18" s="32">
        <f t="shared" si="39"/>
        <v>0</v>
      </c>
      <c r="DB18" s="34">
        <f t="shared" si="40"/>
        <v>0</v>
      </c>
      <c r="DC18" s="32"/>
      <c r="DD18" s="61"/>
      <c r="DE18" s="61">
        <f t="shared" si="66"/>
        <v>0</v>
      </c>
      <c r="DF18" s="32">
        <f t="shared" si="41"/>
        <v>0</v>
      </c>
      <c r="DG18" s="34">
        <f t="shared" si="42"/>
        <v>0</v>
      </c>
      <c r="DH18" s="47"/>
      <c r="DI18" s="61"/>
      <c r="DJ18" s="61">
        <f t="shared" si="67"/>
        <v>0</v>
      </c>
      <c r="DK18" s="32">
        <f t="shared" si="43"/>
        <v>0</v>
      </c>
      <c r="DL18" s="34">
        <f t="shared" si="44"/>
        <v>0</v>
      </c>
      <c r="DM18" s="47"/>
      <c r="DN18" s="61"/>
      <c r="DO18" s="61">
        <f t="shared" si="68"/>
        <v>0</v>
      </c>
      <c r="DP18" s="32">
        <f t="shared" si="45"/>
        <v>0</v>
      </c>
      <c r="DQ18" s="34">
        <f t="shared" si="46"/>
        <v>0</v>
      </c>
      <c r="DR18" s="47"/>
      <c r="DS18" s="47"/>
      <c r="DT18" s="47"/>
      <c r="DU18" s="32"/>
      <c r="DV18" s="34"/>
      <c r="DW18" s="47"/>
      <c r="DX18" s="32"/>
      <c r="DY18" s="32"/>
      <c r="DZ18" s="32">
        <f t="shared" si="47"/>
        <v>0</v>
      </c>
      <c r="EA18" s="32"/>
    </row>
    <row r="19" spans="1:131" s="49" customFormat="1" ht="12.75">
      <c r="A19" s="48">
        <v>44470</v>
      </c>
      <c r="C19" s="34"/>
      <c r="D19" s="34"/>
      <c r="E19" s="34">
        <f t="shared" si="0"/>
        <v>0</v>
      </c>
      <c r="F19" s="34"/>
      <c r="G19" s="47"/>
      <c r="H19" s="47">
        <f>'2006A Academic '!H19</f>
        <v>0</v>
      </c>
      <c r="I19" s="47">
        <f>'2006A Academic '!I19</f>
        <v>0</v>
      </c>
      <c r="J19" s="47">
        <f t="shared" si="1"/>
        <v>0</v>
      </c>
      <c r="K19" s="47">
        <f>'2006A Academic '!K19</f>
        <v>0</v>
      </c>
      <c r="L19" s="47"/>
      <c r="M19" s="47">
        <f t="shared" si="2"/>
        <v>0</v>
      </c>
      <c r="N19" s="39">
        <f t="shared" si="3"/>
        <v>0</v>
      </c>
      <c r="O19" s="47">
        <f t="shared" si="4"/>
        <v>0</v>
      </c>
      <c r="P19" s="39">
        <f t="shared" si="3"/>
        <v>0</v>
      </c>
      <c r="Q19" s="47"/>
      <c r="R19" s="61">
        <f t="shared" si="69"/>
        <v>0</v>
      </c>
      <c r="S19" s="61">
        <f t="shared" si="48"/>
        <v>0</v>
      </c>
      <c r="T19" s="20">
        <f t="shared" si="5"/>
        <v>0</v>
      </c>
      <c r="U19" s="34">
        <f t="shared" si="6"/>
        <v>0</v>
      </c>
      <c r="V19" s="47"/>
      <c r="W19" s="61">
        <f>$C19*Y$7</f>
        <v>0</v>
      </c>
      <c r="X19" s="61">
        <f t="shared" si="49"/>
        <v>0</v>
      </c>
      <c r="Y19" s="20">
        <f t="shared" si="7"/>
        <v>0</v>
      </c>
      <c r="Z19" s="34">
        <f t="shared" si="8"/>
        <v>0</v>
      </c>
      <c r="AA19" s="47"/>
      <c r="AB19" s="61">
        <f>$C19*AD$7</f>
        <v>0</v>
      </c>
      <c r="AC19" s="61">
        <f t="shared" si="50"/>
        <v>0</v>
      </c>
      <c r="AD19" s="32">
        <f t="shared" si="9"/>
        <v>0</v>
      </c>
      <c r="AE19" s="34">
        <f t="shared" si="10"/>
        <v>0</v>
      </c>
      <c r="AF19" s="47"/>
      <c r="AG19" s="61">
        <f>$C19*AI$7</f>
        <v>0</v>
      </c>
      <c r="AH19" s="61">
        <f t="shared" si="51"/>
        <v>0</v>
      </c>
      <c r="AI19" s="20">
        <f t="shared" si="11"/>
        <v>0</v>
      </c>
      <c r="AJ19" s="34">
        <f t="shared" si="12"/>
        <v>0</v>
      </c>
      <c r="AK19" s="47"/>
      <c r="AL19" s="61">
        <f>$C19*AN$7</f>
        <v>0</v>
      </c>
      <c r="AM19" s="61">
        <f t="shared" si="52"/>
        <v>0</v>
      </c>
      <c r="AN19" s="20">
        <f t="shared" si="13"/>
        <v>0</v>
      </c>
      <c r="AO19" s="34">
        <f t="shared" si="14"/>
        <v>0</v>
      </c>
      <c r="AP19" s="47"/>
      <c r="AQ19" s="61">
        <f>$C19*AS$7</f>
        <v>0</v>
      </c>
      <c r="AR19" s="61">
        <f t="shared" si="53"/>
        <v>0</v>
      </c>
      <c r="AS19" s="20">
        <f t="shared" si="15"/>
        <v>0</v>
      </c>
      <c r="AT19" s="34">
        <f t="shared" si="16"/>
        <v>0</v>
      </c>
      <c r="AU19" s="47"/>
      <c r="AV19" s="61">
        <f>$C19*AX$7</f>
        <v>0</v>
      </c>
      <c r="AW19" s="61">
        <f t="shared" si="54"/>
        <v>0</v>
      </c>
      <c r="AX19" s="32">
        <f t="shared" si="17"/>
        <v>0</v>
      </c>
      <c r="AY19" s="34">
        <f t="shared" si="18"/>
        <v>0</v>
      </c>
      <c r="AZ19" s="47"/>
      <c r="BA19" s="61">
        <f>$C19*BC$7</f>
        <v>0</v>
      </c>
      <c r="BB19" s="61">
        <f t="shared" si="55"/>
        <v>0</v>
      </c>
      <c r="BC19" s="32">
        <f t="shared" si="19"/>
        <v>0</v>
      </c>
      <c r="BD19" s="34">
        <f t="shared" si="20"/>
        <v>0</v>
      </c>
      <c r="BE19" s="47"/>
      <c r="BF19" s="61">
        <f>$C19*BH$7</f>
        <v>0</v>
      </c>
      <c r="BG19" s="61">
        <f t="shared" si="56"/>
        <v>0</v>
      </c>
      <c r="BH19" s="32">
        <f t="shared" si="21"/>
        <v>0</v>
      </c>
      <c r="BI19" s="34">
        <f t="shared" si="22"/>
        <v>0</v>
      </c>
      <c r="BJ19" s="47"/>
      <c r="BK19" s="61">
        <f>$C19*BM$7</f>
        <v>0</v>
      </c>
      <c r="BL19" s="61">
        <f t="shared" si="57"/>
        <v>0</v>
      </c>
      <c r="BM19" s="32">
        <f t="shared" si="23"/>
        <v>0</v>
      </c>
      <c r="BN19" s="34">
        <f t="shared" si="24"/>
        <v>0</v>
      </c>
      <c r="BO19" s="47"/>
      <c r="BP19" s="61">
        <f>$C19*BR$7</f>
        <v>0</v>
      </c>
      <c r="BQ19" s="61">
        <f t="shared" si="58"/>
        <v>0</v>
      </c>
      <c r="BR19" s="32">
        <f t="shared" si="25"/>
        <v>0</v>
      </c>
      <c r="BS19" s="34">
        <f t="shared" si="26"/>
        <v>0</v>
      </c>
      <c r="BT19" s="47"/>
      <c r="BU19" s="61">
        <f>$C19*BW$7</f>
        <v>0</v>
      </c>
      <c r="BV19" s="61">
        <f t="shared" si="59"/>
        <v>0</v>
      </c>
      <c r="BW19" s="32">
        <f t="shared" si="27"/>
        <v>0</v>
      </c>
      <c r="BX19" s="34">
        <f t="shared" si="28"/>
        <v>0</v>
      </c>
      <c r="BY19" s="47"/>
      <c r="BZ19" s="61">
        <f>$C19*CB$7</f>
        <v>0</v>
      </c>
      <c r="CA19" s="61">
        <f t="shared" si="60"/>
        <v>0</v>
      </c>
      <c r="CB19" s="32">
        <f t="shared" si="29"/>
        <v>0</v>
      </c>
      <c r="CC19" s="34">
        <f t="shared" si="30"/>
        <v>0</v>
      </c>
      <c r="CD19" s="47"/>
      <c r="CE19" s="61">
        <f>$C19*CG$7</f>
        <v>0</v>
      </c>
      <c r="CF19" s="61">
        <f t="shared" si="61"/>
        <v>0</v>
      </c>
      <c r="CG19" s="32">
        <f t="shared" si="31"/>
        <v>0</v>
      </c>
      <c r="CH19" s="34">
        <f t="shared" si="32"/>
        <v>0</v>
      </c>
      <c r="CI19" s="47"/>
      <c r="CJ19" s="61">
        <f>$C19*CL$7</f>
        <v>0</v>
      </c>
      <c r="CK19" s="61">
        <f t="shared" si="62"/>
        <v>0</v>
      </c>
      <c r="CL19" s="32">
        <f t="shared" si="33"/>
        <v>0</v>
      </c>
      <c r="CM19" s="34">
        <f t="shared" si="34"/>
        <v>0</v>
      </c>
      <c r="CN19" s="47"/>
      <c r="CO19" s="61">
        <f>$C19*CQ$7</f>
        <v>0</v>
      </c>
      <c r="CP19" s="61">
        <f t="shared" si="63"/>
        <v>0</v>
      </c>
      <c r="CQ19" s="32">
        <f t="shared" si="35"/>
        <v>0</v>
      </c>
      <c r="CR19" s="34">
        <f t="shared" si="36"/>
        <v>0</v>
      </c>
      <c r="CS19" s="47"/>
      <c r="CT19" s="61">
        <f>$C19*CV$7</f>
        <v>0</v>
      </c>
      <c r="CU19" s="61">
        <f t="shared" si="64"/>
        <v>0</v>
      </c>
      <c r="CV19" s="32">
        <f t="shared" si="37"/>
        <v>0</v>
      </c>
      <c r="CW19" s="34">
        <f t="shared" si="38"/>
        <v>0</v>
      </c>
      <c r="CX19" s="47"/>
      <c r="CY19" s="61">
        <f>$C19*DA$7</f>
        <v>0</v>
      </c>
      <c r="CZ19" s="61">
        <f t="shared" si="65"/>
        <v>0</v>
      </c>
      <c r="DA19" s="32">
        <f t="shared" si="39"/>
        <v>0</v>
      </c>
      <c r="DB19" s="34">
        <f t="shared" si="40"/>
        <v>0</v>
      </c>
      <c r="DC19" s="32"/>
      <c r="DD19" s="61">
        <f>$C19*DF$7</f>
        <v>0</v>
      </c>
      <c r="DE19" s="61">
        <f t="shared" si="66"/>
        <v>0</v>
      </c>
      <c r="DF19" s="32">
        <f t="shared" si="41"/>
        <v>0</v>
      </c>
      <c r="DG19" s="34">
        <f t="shared" si="42"/>
        <v>0</v>
      </c>
      <c r="DH19" s="47"/>
      <c r="DI19" s="61">
        <f>$C19*DK$7</f>
        <v>0</v>
      </c>
      <c r="DJ19" s="61">
        <f t="shared" si="67"/>
        <v>0</v>
      </c>
      <c r="DK19" s="32">
        <f t="shared" si="43"/>
        <v>0</v>
      </c>
      <c r="DL19" s="34">
        <f t="shared" si="44"/>
        <v>0</v>
      </c>
      <c r="DM19" s="47"/>
      <c r="DN19" s="61">
        <f>$C19*DP$7</f>
        <v>0</v>
      </c>
      <c r="DO19" s="61">
        <f t="shared" si="68"/>
        <v>0</v>
      </c>
      <c r="DP19" s="32">
        <f t="shared" si="45"/>
        <v>0</v>
      </c>
      <c r="DQ19" s="34">
        <f t="shared" si="46"/>
        <v>0</v>
      </c>
      <c r="DR19" s="47"/>
      <c r="DS19" s="47"/>
      <c r="DT19" s="47"/>
      <c r="DU19" s="32"/>
      <c r="DV19" s="34"/>
      <c r="DW19" s="47"/>
      <c r="DX19" s="32"/>
      <c r="DY19" s="32"/>
      <c r="DZ19" s="32">
        <f t="shared" si="47"/>
        <v>0</v>
      </c>
      <c r="EA19" s="32"/>
    </row>
    <row r="20" spans="1:131" s="49" customFormat="1" ht="12.75">
      <c r="A20" s="48">
        <v>44652</v>
      </c>
      <c r="C20" s="34"/>
      <c r="D20" s="34"/>
      <c r="E20" s="34">
        <f t="shared" si="0"/>
        <v>0</v>
      </c>
      <c r="F20" s="34"/>
      <c r="G20" s="47"/>
      <c r="H20" s="47"/>
      <c r="I20" s="47">
        <f>'2006A Academic '!I20</f>
        <v>0</v>
      </c>
      <c r="J20" s="47">
        <f t="shared" si="1"/>
        <v>0</v>
      </c>
      <c r="K20" s="47">
        <f>'2006A Academic '!K20</f>
        <v>0</v>
      </c>
      <c r="L20" s="47"/>
      <c r="M20" s="47"/>
      <c r="N20" s="39">
        <f t="shared" si="3"/>
        <v>0</v>
      </c>
      <c r="O20" s="47">
        <f t="shared" si="4"/>
        <v>0</v>
      </c>
      <c r="P20" s="39">
        <f t="shared" si="3"/>
        <v>0</v>
      </c>
      <c r="Q20" s="47"/>
      <c r="R20" s="61"/>
      <c r="S20" s="61">
        <f t="shared" si="48"/>
        <v>0</v>
      </c>
      <c r="T20" s="20">
        <f t="shared" si="5"/>
        <v>0</v>
      </c>
      <c r="U20" s="34">
        <f t="shared" si="6"/>
        <v>0</v>
      </c>
      <c r="V20" s="47"/>
      <c r="W20" s="61"/>
      <c r="X20" s="61">
        <f t="shared" si="49"/>
        <v>0</v>
      </c>
      <c r="Y20" s="20">
        <f t="shared" si="7"/>
        <v>0</v>
      </c>
      <c r="Z20" s="34">
        <f t="shared" si="8"/>
        <v>0</v>
      </c>
      <c r="AA20" s="47"/>
      <c r="AB20" s="61"/>
      <c r="AC20" s="61">
        <f t="shared" si="50"/>
        <v>0</v>
      </c>
      <c r="AD20" s="32">
        <f t="shared" si="9"/>
        <v>0</v>
      </c>
      <c r="AE20" s="34">
        <f t="shared" si="10"/>
        <v>0</v>
      </c>
      <c r="AF20" s="47"/>
      <c r="AG20" s="61"/>
      <c r="AH20" s="61">
        <f t="shared" si="51"/>
        <v>0</v>
      </c>
      <c r="AI20" s="20">
        <f t="shared" si="11"/>
        <v>0</v>
      </c>
      <c r="AJ20" s="34">
        <f t="shared" si="12"/>
        <v>0</v>
      </c>
      <c r="AK20" s="47"/>
      <c r="AL20" s="61"/>
      <c r="AM20" s="61">
        <f t="shared" si="52"/>
        <v>0</v>
      </c>
      <c r="AN20" s="20">
        <f t="shared" si="13"/>
        <v>0</v>
      </c>
      <c r="AO20" s="34">
        <f t="shared" si="14"/>
        <v>0</v>
      </c>
      <c r="AP20" s="47"/>
      <c r="AQ20" s="61"/>
      <c r="AR20" s="61">
        <f t="shared" si="53"/>
        <v>0</v>
      </c>
      <c r="AS20" s="20">
        <f t="shared" si="15"/>
        <v>0</v>
      </c>
      <c r="AT20" s="34">
        <f t="shared" si="16"/>
        <v>0</v>
      </c>
      <c r="AU20" s="47"/>
      <c r="AV20" s="61"/>
      <c r="AW20" s="61">
        <f t="shared" si="54"/>
        <v>0</v>
      </c>
      <c r="AX20" s="32">
        <f t="shared" si="17"/>
        <v>0</v>
      </c>
      <c r="AY20" s="34">
        <f t="shared" si="18"/>
        <v>0</v>
      </c>
      <c r="AZ20" s="47"/>
      <c r="BA20" s="61"/>
      <c r="BB20" s="61">
        <f t="shared" si="55"/>
        <v>0</v>
      </c>
      <c r="BC20" s="32">
        <f t="shared" si="19"/>
        <v>0</v>
      </c>
      <c r="BD20" s="34">
        <f t="shared" si="20"/>
        <v>0</v>
      </c>
      <c r="BE20" s="47"/>
      <c r="BF20" s="61"/>
      <c r="BG20" s="61">
        <f t="shared" si="56"/>
        <v>0</v>
      </c>
      <c r="BH20" s="32">
        <f t="shared" si="21"/>
        <v>0</v>
      </c>
      <c r="BI20" s="34">
        <f t="shared" si="22"/>
        <v>0</v>
      </c>
      <c r="BJ20" s="47"/>
      <c r="BK20" s="61"/>
      <c r="BL20" s="61">
        <f t="shared" si="57"/>
        <v>0</v>
      </c>
      <c r="BM20" s="32">
        <f t="shared" si="23"/>
        <v>0</v>
      </c>
      <c r="BN20" s="34">
        <f t="shared" si="24"/>
        <v>0</v>
      </c>
      <c r="BO20" s="47"/>
      <c r="BP20" s="61"/>
      <c r="BQ20" s="61">
        <f t="shared" si="58"/>
        <v>0</v>
      </c>
      <c r="BR20" s="32">
        <f t="shared" si="25"/>
        <v>0</v>
      </c>
      <c r="BS20" s="34">
        <f t="shared" si="26"/>
        <v>0</v>
      </c>
      <c r="BT20" s="47"/>
      <c r="BU20" s="61"/>
      <c r="BV20" s="61">
        <f t="shared" si="59"/>
        <v>0</v>
      </c>
      <c r="BW20" s="32">
        <f t="shared" si="27"/>
        <v>0</v>
      </c>
      <c r="BX20" s="34">
        <f t="shared" si="28"/>
        <v>0</v>
      </c>
      <c r="BY20" s="47"/>
      <c r="BZ20" s="61"/>
      <c r="CA20" s="61">
        <f t="shared" si="60"/>
        <v>0</v>
      </c>
      <c r="CB20" s="32">
        <f t="shared" si="29"/>
        <v>0</v>
      </c>
      <c r="CC20" s="34">
        <f t="shared" si="30"/>
        <v>0</v>
      </c>
      <c r="CD20" s="47"/>
      <c r="CE20" s="61"/>
      <c r="CF20" s="61">
        <f t="shared" si="61"/>
        <v>0</v>
      </c>
      <c r="CG20" s="32">
        <f t="shared" si="31"/>
        <v>0</v>
      </c>
      <c r="CH20" s="34">
        <f t="shared" si="32"/>
        <v>0</v>
      </c>
      <c r="CI20" s="47"/>
      <c r="CJ20" s="61"/>
      <c r="CK20" s="61">
        <f t="shared" si="62"/>
        <v>0</v>
      </c>
      <c r="CL20" s="32">
        <f t="shared" si="33"/>
        <v>0</v>
      </c>
      <c r="CM20" s="34">
        <f t="shared" si="34"/>
        <v>0</v>
      </c>
      <c r="CN20" s="47"/>
      <c r="CO20" s="61"/>
      <c r="CP20" s="61">
        <f t="shared" si="63"/>
        <v>0</v>
      </c>
      <c r="CQ20" s="32">
        <f t="shared" si="35"/>
        <v>0</v>
      </c>
      <c r="CR20" s="34">
        <f t="shared" si="36"/>
        <v>0</v>
      </c>
      <c r="CS20" s="47"/>
      <c r="CT20" s="61"/>
      <c r="CU20" s="61">
        <f t="shared" si="64"/>
        <v>0</v>
      </c>
      <c r="CV20" s="32">
        <f t="shared" si="37"/>
        <v>0</v>
      </c>
      <c r="CW20" s="34">
        <f t="shared" si="38"/>
        <v>0</v>
      </c>
      <c r="CX20" s="47"/>
      <c r="CY20" s="61"/>
      <c r="CZ20" s="61">
        <f t="shared" si="65"/>
        <v>0</v>
      </c>
      <c r="DA20" s="32">
        <f t="shared" si="39"/>
        <v>0</v>
      </c>
      <c r="DB20" s="34">
        <f t="shared" si="40"/>
        <v>0</v>
      </c>
      <c r="DC20" s="32"/>
      <c r="DD20" s="61"/>
      <c r="DE20" s="61">
        <f t="shared" si="66"/>
        <v>0</v>
      </c>
      <c r="DF20" s="32">
        <f t="shared" si="41"/>
        <v>0</v>
      </c>
      <c r="DG20" s="34">
        <f t="shared" si="42"/>
        <v>0</v>
      </c>
      <c r="DH20" s="47"/>
      <c r="DI20" s="61"/>
      <c r="DJ20" s="61">
        <f t="shared" si="67"/>
        <v>0</v>
      </c>
      <c r="DK20" s="32">
        <f t="shared" si="43"/>
        <v>0</v>
      </c>
      <c r="DL20" s="34">
        <f t="shared" si="44"/>
        <v>0</v>
      </c>
      <c r="DM20" s="47"/>
      <c r="DN20" s="61"/>
      <c r="DO20" s="61">
        <f t="shared" si="68"/>
        <v>0</v>
      </c>
      <c r="DP20" s="32">
        <f t="shared" si="45"/>
        <v>0</v>
      </c>
      <c r="DQ20" s="34">
        <f t="shared" si="46"/>
        <v>0</v>
      </c>
      <c r="DR20" s="47"/>
      <c r="DS20" s="47"/>
      <c r="DT20" s="47"/>
      <c r="DU20" s="32"/>
      <c r="DV20" s="34"/>
      <c r="DW20" s="47"/>
      <c r="DX20" s="32"/>
      <c r="DY20" s="32"/>
      <c r="DZ20" s="32">
        <f t="shared" si="47"/>
        <v>0</v>
      </c>
      <c r="EA20" s="32"/>
    </row>
    <row r="21" spans="1:131" s="49" customFormat="1" ht="12.75">
      <c r="A21" s="48">
        <v>44835</v>
      </c>
      <c r="C21" s="34"/>
      <c r="D21" s="34"/>
      <c r="E21" s="34">
        <f t="shared" si="0"/>
        <v>0</v>
      </c>
      <c r="F21" s="34"/>
      <c r="G21" s="47"/>
      <c r="H21" s="47">
        <f>'2006A Academic '!H21</f>
        <v>0</v>
      </c>
      <c r="I21" s="47">
        <f>'2006A Academic '!I21</f>
        <v>0</v>
      </c>
      <c r="J21" s="47">
        <f t="shared" si="1"/>
        <v>0</v>
      </c>
      <c r="K21" s="47">
        <f>'2006A Academic '!K21</f>
        <v>0</v>
      </c>
      <c r="L21" s="47"/>
      <c r="M21" s="47">
        <f t="shared" si="2"/>
        <v>0</v>
      </c>
      <c r="N21" s="39">
        <f t="shared" si="3"/>
        <v>0</v>
      </c>
      <c r="O21" s="47">
        <f t="shared" si="4"/>
        <v>0</v>
      </c>
      <c r="P21" s="39">
        <f t="shared" si="3"/>
        <v>0</v>
      </c>
      <c r="Q21" s="47"/>
      <c r="R21" s="61">
        <f t="shared" si="69"/>
        <v>0</v>
      </c>
      <c r="S21" s="61">
        <f t="shared" si="48"/>
        <v>0</v>
      </c>
      <c r="T21" s="20">
        <f t="shared" si="5"/>
        <v>0</v>
      </c>
      <c r="U21" s="34">
        <f t="shared" si="6"/>
        <v>0</v>
      </c>
      <c r="V21" s="47"/>
      <c r="W21" s="61">
        <f>$C21*Y$7</f>
        <v>0</v>
      </c>
      <c r="X21" s="61">
        <f t="shared" si="49"/>
        <v>0</v>
      </c>
      <c r="Y21" s="20">
        <f t="shared" si="7"/>
        <v>0</v>
      </c>
      <c r="Z21" s="34">
        <f t="shared" si="8"/>
        <v>0</v>
      </c>
      <c r="AA21" s="47"/>
      <c r="AB21" s="61">
        <f>$C21*AD$7</f>
        <v>0</v>
      </c>
      <c r="AC21" s="61">
        <f t="shared" si="50"/>
        <v>0</v>
      </c>
      <c r="AD21" s="32">
        <f t="shared" si="9"/>
        <v>0</v>
      </c>
      <c r="AE21" s="34">
        <f t="shared" si="10"/>
        <v>0</v>
      </c>
      <c r="AF21" s="47"/>
      <c r="AG21" s="61">
        <f>$C21*AI$7</f>
        <v>0</v>
      </c>
      <c r="AH21" s="61">
        <f t="shared" si="51"/>
        <v>0</v>
      </c>
      <c r="AI21" s="20">
        <f t="shared" si="11"/>
        <v>0</v>
      </c>
      <c r="AJ21" s="34">
        <f t="shared" si="12"/>
        <v>0</v>
      </c>
      <c r="AK21" s="47"/>
      <c r="AL21" s="61">
        <f>$C21*AN$7</f>
        <v>0</v>
      </c>
      <c r="AM21" s="61">
        <f t="shared" si="52"/>
        <v>0</v>
      </c>
      <c r="AN21" s="20">
        <f t="shared" si="13"/>
        <v>0</v>
      </c>
      <c r="AO21" s="34">
        <f t="shared" si="14"/>
        <v>0</v>
      </c>
      <c r="AP21" s="47"/>
      <c r="AQ21" s="61">
        <f>$C21*AS$7</f>
        <v>0</v>
      </c>
      <c r="AR21" s="61">
        <f t="shared" si="53"/>
        <v>0</v>
      </c>
      <c r="AS21" s="20">
        <f t="shared" si="15"/>
        <v>0</v>
      </c>
      <c r="AT21" s="34">
        <f t="shared" si="16"/>
        <v>0</v>
      </c>
      <c r="AU21" s="47"/>
      <c r="AV21" s="61">
        <f>$C21*AX$7</f>
        <v>0</v>
      </c>
      <c r="AW21" s="61">
        <f t="shared" si="54"/>
        <v>0</v>
      </c>
      <c r="AX21" s="32">
        <f t="shared" si="17"/>
        <v>0</v>
      </c>
      <c r="AY21" s="34">
        <f t="shared" si="18"/>
        <v>0</v>
      </c>
      <c r="AZ21" s="47"/>
      <c r="BA21" s="61">
        <f>$C21*BC$7</f>
        <v>0</v>
      </c>
      <c r="BB21" s="61">
        <f t="shared" si="55"/>
        <v>0</v>
      </c>
      <c r="BC21" s="32">
        <f t="shared" si="19"/>
        <v>0</v>
      </c>
      <c r="BD21" s="34">
        <f t="shared" si="20"/>
        <v>0</v>
      </c>
      <c r="BE21" s="47"/>
      <c r="BF21" s="61">
        <f>$C21*BH$7</f>
        <v>0</v>
      </c>
      <c r="BG21" s="61">
        <f t="shared" si="56"/>
        <v>0</v>
      </c>
      <c r="BH21" s="32">
        <f t="shared" si="21"/>
        <v>0</v>
      </c>
      <c r="BI21" s="34">
        <f t="shared" si="22"/>
        <v>0</v>
      </c>
      <c r="BJ21" s="47"/>
      <c r="BK21" s="61">
        <f>$C21*BM$7</f>
        <v>0</v>
      </c>
      <c r="BL21" s="61">
        <f t="shared" si="57"/>
        <v>0</v>
      </c>
      <c r="BM21" s="32">
        <f t="shared" si="23"/>
        <v>0</v>
      </c>
      <c r="BN21" s="34">
        <f t="shared" si="24"/>
        <v>0</v>
      </c>
      <c r="BO21" s="47"/>
      <c r="BP21" s="61">
        <f>$C21*BR$7</f>
        <v>0</v>
      </c>
      <c r="BQ21" s="61">
        <f t="shared" si="58"/>
        <v>0</v>
      </c>
      <c r="BR21" s="32">
        <f t="shared" si="25"/>
        <v>0</v>
      </c>
      <c r="BS21" s="34">
        <f t="shared" si="26"/>
        <v>0</v>
      </c>
      <c r="BT21" s="47"/>
      <c r="BU21" s="61">
        <f>$C21*BW$7</f>
        <v>0</v>
      </c>
      <c r="BV21" s="61">
        <f t="shared" si="59"/>
        <v>0</v>
      </c>
      <c r="BW21" s="32">
        <f t="shared" si="27"/>
        <v>0</v>
      </c>
      <c r="BX21" s="34">
        <f t="shared" si="28"/>
        <v>0</v>
      </c>
      <c r="BY21" s="47"/>
      <c r="BZ21" s="61">
        <f>$C21*CB$7</f>
        <v>0</v>
      </c>
      <c r="CA21" s="61">
        <f t="shared" si="60"/>
        <v>0</v>
      </c>
      <c r="CB21" s="32">
        <f t="shared" si="29"/>
        <v>0</v>
      </c>
      <c r="CC21" s="34">
        <f t="shared" si="30"/>
        <v>0</v>
      </c>
      <c r="CD21" s="47"/>
      <c r="CE21" s="61">
        <f>$C21*CG$7</f>
        <v>0</v>
      </c>
      <c r="CF21" s="61">
        <f t="shared" si="61"/>
        <v>0</v>
      </c>
      <c r="CG21" s="32">
        <f t="shared" si="31"/>
        <v>0</v>
      </c>
      <c r="CH21" s="34">
        <f t="shared" si="32"/>
        <v>0</v>
      </c>
      <c r="CI21" s="47"/>
      <c r="CJ21" s="61">
        <f>$C21*CL$7</f>
        <v>0</v>
      </c>
      <c r="CK21" s="61">
        <f t="shared" si="62"/>
        <v>0</v>
      </c>
      <c r="CL21" s="32">
        <f t="shared" si="33"/>
        <v>0</v>
      </c>
      <c r="CM21" s="34">
        <f t="shared" si="34"/>
        <v>0</v>
      </c>
      <c r="CN21" s="47"/>
      <c r="CO21" s="61">
        <f>$C21*CQ$7</f>
        <v>0</v>
      </c>
      <c r="CP21" s="61">
        <f t="shared" si="63"/>
        <v>0</v>
      </c>
      <c r="CQ21" s="32">
        <f t="shared" si="35"/>
        <v>0</v>
      </c>
      <c r="CR21" s="34">
        <f t="shared" si="36"/>
        <v>0</v>
      </c>
      <c r="CS21" s="47"/>
      <c r="CT21" s="61">
        <f>$C21*CV$7</f>
        <v>0</v>
      </c>
      <c r="CU21" s="61">
        <f t="shared" si="64"/>
        <v>0</v>
      </c>
      <c r="CV21" s="32">
        <f t="shared" si="37"/>
        <v>0</v>
      </c>
      <c r="CW21" s="34">
        <f t="shared" si="38"/>
        <v>0</v>
      </c>
      <c r="CX21" s="47"/>
      <c r="CY21" s="61">
        <f>$C21*DA$7</f>
        <v>0</v>
      </c>
      <c r="CZ21" s="61">
        <f t="shared" si="65"/>
        <v>0</v>
      </c>
      <c r="DA21" s="32">
        <f t="shared" si="39"/>
        <v>0</v>
      </c>
      <c r="DB21" s="34">
        <f t="shared" si="40"/>
        <v>0</v>
      </c>
      <c r="DC21" s="32"/>
      <c r="DD21" s="61">
        <f>$C21*DF$7</f>
        <v>0</v>
      </c>
      <c r="DE21" s="61">
        <f t="shared" si="66"/>
        <v>0</v>
      </c>
      <c r="DF21" s="32">
        <f t="shared" si="41"/>
        <v>0</v>
      </c>
      <c r="DG21" s="34">
        <f t="shared" si="42"/>
        <v>0</v>
      </c>
      <c r="DH21" s="47"/>
      <c r="DI21" s="61">
        <f>$C21*DK$7</f>
        <v>0</v>
      </c>
      <c r="DJ21" s="61">
        <f t="shared" si="67"/>
        <v>0</v>
      </c>
      <c r="DK21" s="32">
        <f t="shared" si="43"/>
        <v>0</v>
      </c>
      <c r="DL21" s="34">
        <f t="shared" si="44"/>
        <v>0</v>
      </c>
      <c r="DM21" s="47"/>
      <c r="DN21" s="61">
        <f>$C21*DP$7</f>
        <v>0</v>
      </c>
      <c r="DO21" s="61">
        <f t="shared" si="68"/>
        <v>0</v>
      </c>
      <c r="DP21" s="32">
        <f t="shared" si="45"/>
        <v>0</v>
      </c>
      <c r="DQ21" s="34">
        <f t="shared" si="46"/>
        <v>0</v>
      </c>
      <c r="DR21" s="47"/>
      <c r="DS21" s="47"/>
      <c r="DT21" s="47"/>
      <c r="DU21" s="32"/>
      <c r="DV21" s="34"/>
      <c r="DW21" s="47"/>
      <c r="DX21" s="32"/>
      <c r="DY21" s="32"/>
      <c r="DZ21" s="32">
        <f t="shared" si="47"/>
        <v>0</v>
      </c>
      <c r="EA21" s="32"/>
    </row>
    <row r="22" spans="1:131" s="49" customFormat="1" ht="12.75">
      <c r="A22" s="48">
        <v>45017</v>
      </c>
      <c r="C22" s="34"/>
      <c r="D22" s="34"/>
      <c r="E22" s="34">
        <f t="shared" si="0"/>
        <v>0</v>
      </c>
      <c r="F22" s="34"/>
      <c r="G22" s="47"/>
      <c r="H22" s="47"/>
      <c r="I22" s="47">
        <f>'2006A Academic '!I22</f>
        <v>0</v>
      </c>
      <c r="J22" s="47">
        <f t="shared" si="1"/>
        <v>0</v>
      </c>
      <c r="K22" s="47">
        <f>'2006A Academic '!K22</f>
        <v>0</v>
      </c>
      <c r="L22" s="47"/>
      <c r="M22" s="47"/>
      <c r="N22" s="39">
        <f t="shared" si="3"/>
        <v>0</v>
      </c>
      <c r="O22" s="47">
        <f t="shared" si="4"/>
        <v>0</v>
      </c>
      <c r="P22" s="39">
        <f t="shared" si="3"/>
        <v>0</v>
      </c>
      <c r="Q22" s="47"/>
      <c r="R22" s="61"/>
      <c r="S22" s="61">
        <f t="shared" si="48"/>
        <v>0</v>
      </c>
      <c r="T22" s="20">
        <f t="shared" si="5"/>
        <v>0</v>
      </c>
      <c r="U22" s="34">
        <f t="shared" si="6"/>
        <v>0</v>
      </c>
      <c r="V22" s="47"/>
      <c r="W22" s="61"/>
      <c r="X22" s="61">
        <f t="shared" si="49"/>
        <v>0</v>
      </c>
      <c r="Y22" s="20">
        <f t="shared" si="7"/>
        <v>0</v>
      </c>
      <c r="Z22" s="34">
        <f t="shared" si="8"/>
        <v>0</v>
      </c>
      <c r="AA22" s="47"/>
      <c r="AB22" s="61"/>
      <c r="AC22" s="61">
        <f t="shared" si="50"/>
        <v>0</v>
      </c>
      <c r="AD22" s="32">
        <f t="shared" si="9"/>
        <v>0</v>
      </c>
      <c r="AE22" s="34">
        <f t="shared" si="10"/>
        <v>0</v>
      </c>
      <c r="AF22" s="47"/>
      <c r="AG22" s="61"/>
      <c r="AH22" s="61">
        <f t="shared" si="51"/>
        <v>0</v>
      </c>
      <c r="AI22" s="20">
        <f t="shared" si="11"/>
        <v>0</v>
      </c>
      <c r="AJ22" s="34">
        <f t="shared" si="12"/>
        <v>0</v>
      </c>
      <c r="AK22" s="47"/>
      <c r="AL22" s="61"/>
      <c r="AM22" s="61">
        <f t="shared" si="52"/>
        <v>0</v>
      </c>
      <c r="AN22" s="20">
        <f t="shared" si="13"/>
        <v>0</v>
      </c>
      <c r="AO22" s="34">
        <f t="shared" si="14"/>
        <v>0</v>
      </c>
      <c r="AP22" s="47"/>
      <c r="AQ22" s="61"/>
      <c r="AR22" s="61">
        <f t="shared" si="53"/>
        <v>0</v>
      </c>
      <c r="AS22" s="20">
        <f t="shared" si="15"/>
        <v>0</v>
      </c>
      <c r="AT22" s="34">
        <f t="shared" si="16"/>
        <v>0</v>
      </c>
      <c r="AU22" s="47"/>
      <c r="AV22" s="61"/>
      <c r="AW22" s="61">
        <f t="shared" si="54"/>
        <v>0</v>
      </c>
      <c r="AX22" s="32">
        <f t="shared" si="17"/>
        <v>0</v>
      </c>
      <c r="AY22" s="34">
        <f t="shared" si="18"/>
        <v>0</v>
      </c>
      <c r="AZ22" s="47"/>
      <c r="BA22" s="61"/>
      <c r="BB22" s="61">
        <f t="shared" si="55"/>
        <v>0</v>
      </c>
      <c r="BC22" s="32">
        <f t="shared" si="19"/>
        <v>0</v>
      </c>
      <c r="BD22" s="34">
        <f t="shared" si="20"/>
        <v>0</v>
      </c>
      <c r="BE22" s="47"/>
      <c r="BF22" s="61"/>
      <c r="BG22" s="61">
        <f t="shared" si="56"/>
        <v>0</v>
      </c>
      <c r="BH22" s="32">
        <f t="shared" si="21"/>
        <v>0</v>
      </c>
      <c r="BI22" s="34">
        <f t="shared" si="22"/>
        <v>0</v>
      </c>
      <c r="BJ22" s="47"/>
      <c r="BK22" s="61"/>
      <c r="BL22" s="61">
        <f t="shared" si="57"/>
        <v>0</v>
      </c>
      <c r="BM22" s="32">
        <f t="shared" si="23"/>
        <v>0</v>
      </c>
      <c r="BN22" s="34">
        <f t="shared" si="24"/>
        <v>0</v>
      </c>
      <c r="BO22" s="47"/>
      <c r="BP22" s="61"/>
      <c r="BQ22" s="61">
        <f t="shared" si="58"/>
        <v>0</v>
      </c>
      <c r="BR22" s="32">
        <f t="shared" si="25"/>
        <v>0</v>
      </c>
      <c r="BS22" s="34">
        <f t="shared" si="26"/>
        <v>0</v>
      </c>
      <c r="BT22" s="47"/>
      <c r="BU22" s="61"/>
      <c r="BV22" s="61">
        <f t="shared" si="59"/>
        <v>0</v>
      </c>
      <c r="BW22" s="32">
        <f t="shared" si="27"/>
        <v>0</v>
      </c>
      <c r="BX22" s="34">
        <f t="shared" si="28"/>
        <v>0</v>
      </c>
      <c r="BY22" s="47"/>
      <c r="BZ22" s="61"/>
      <c r="CA22" s="61">
        <f t="shared" si="60"/>
        <v>0</v>
      </c>
      <c r="CB22" s="32">
        <f t="shared" si="29"/>
        <v>0</v>
      </c>
      <c r="CC22" s="34">
        <f t="shared" si="30"/>
        <v>0</v>
      </c>
      <c r="CD22" s="47"/>
      <c r="CE22" s="61"/>
      <c r="CF22" s="61">
        <f t="shared" si="61"/>
        <v>0</v>
      </c>
      <c r="CG22" s="32">
        <f t="shared" si="31"/>
        <v>0</v>
      </c>
      <c r="CH22" s="34">
        <f t="shared" si="32"/>
        <v>0</v>
      </c>
      <c r="CI22" s="47"/>
      <c r="CJ22" s="61"/>
      <c r="CK22" s="61">
        <f t="shared" si="62"/>
        <v>0</v>
      </c>
      <c r="CL22" s="32">
        <f t="shared" si="33"/>
        <v>0</v>
      </c>
      <c r="CM22" s="34">
        <f t="shared" si="34"/>
        <v>0</v>
      </c>
      <c r="CN22" s="47"/>
      <c r="CO22" s="61"/>
      <c r="CP22" s="61">
        <f t="shared" si="63"/>
        <v>0</v>
      </c>
      <c r="CQ22" s="32">
        <f t="shared" si="35"/>
        <v>0</v>
      </c>
      <c r="CR22" s="34">
        <f t="shared" si="36"/>
        <v>0</v>
      </c>
      <c r="CS22" s="47"/>
      <c r="CT22" s="61"/>
      <c r="CU22" s="61">
        <f t="shared" si="64"/>
        <v>0</v>
      </c>
      <c r="CV22" s="32">
        <f t="shared" si="37"/>
        <v>0</v>
      </c>
      <c r="CW22" s="34">
        <f t="shared" si="38"/>
        <v>0</v>
      </c>
      <c r="CX22" s="47"/>
      <c r="CY22" s="61"/>
      <c r="CZ22" s="61">
        <f t="shared" si="65"/>
        <v>0</v>
      </c>
      <c r="DA22" s="32">
        <f t="shared" si="39"/>
        <v>0</v>
      </c>
      <c r="DB22" s="34">
        <f t="shared" si="40"/>
        <v>0</v>
      </c>
      <c r="DC22" s="32"/>
      <c r="DD22" s="61"/>
      <c r="DE22" s="61">
        <f t="shared" si="66"/>
        <v>0</v>
      </c>
      <c r="DF22" s="32">
        <f t="shared" si="41"/>
        <v>0</v>
      </c>
      <c r="DG22" s="34">
        <f t="shared" si="42"/>
        <v>0</v>
      </c>
      <c r="DH22" s="47"/>
      <c r="DI22" s="61"/>
      <c r="DJ22" s="61">
        <f t="shared" si="67"/>
        <v>0</v>
      </c>
      <c r="DK22" s="32">
        <f t="shared" si="43"/>
        <v>0</v>
      </c>
      <c r="DL22" s="34">
        <f t="shared" si="44"/>
        <v>0</v>
      </c>
      <c r="DM22" s="47"/>
      <c r="DN22" s="61"/>
      <c r="DO22" s="61">
        <f t="shared" si="68"/>
        <v>0</v>
      </c>
      <c r="DP22" s="32">
        <f t="shared" si="45"/>
        <v>0</v>
      </c>
      <c r="DQ22" s="34">
        <f t="shared" si="46"/>
        <v>0</v>
      </c>
      <c r="DR22" s="47"/>
      <c r="DS22" s="47"/>
      <c r="DT22" s="47"/>
      <c r="DU22" s="32"/>
      <c r="DV22" s="34"/>
      <c r="DW22" s="47"/>
      <c r="DX22" s="32"/>
      <c r="DY22" s="32"/>
      <c r="DZ22" s="32">
        <f t="shared" si="47"/>
        <v>0</v>
      </c>
      <c r="EA22" s="32"/>
    </row>
    <row r="23" spans="1:131" s="49" customFormat="1" ht="12.75">
      <c r="A23" s="48">
        <v>45200</v>
      </c>
      <c r="C23" s="34"/>
      <c r="D23" s="34"/>
      <c r="E23" s="34">
        <f t="shared" si="0"/>
        <v>0</v>
      </c>
      <c r="F23" s="34"/>
      <c r="G23" s="47"/>
      <c r="H23" s="47">
        <f>'2006A Academic '!H23</f>
        <v>0</v>
      </c>
      <c r="I23" s="47">
        <f>'2006A Academic '!I23</f>
        <v>0</v>
      </c>
      <c r="J23" s="47">
        <f t="shared" si="1"/>
        <v>0</v>
      </c>
      <c r="K23" s="47">
        <f>'2006A Academic '!K23</f>
        <v>0</v>
      </c>
      <c r="L23" s="47"/>
      <c r="M23" s="47">
        <f t="shared" si="2"/>
        <v>0</v>
      </c>
      <c r="N23" s="39">
        <f t="shared" si="3"/>
        <v>0</v>
      </c>
      <c r="O23" s="47">
        <f t="shared" si="4"/>
        <v>0</v>
      </c>
      <c r="P23" s="39">
        <f t="shared" si="3"/>
        <v>0</v>
      </c>
      <c r="Q23" s="47"/>
      <c r="R23" s="61">
        <f t="shared" si="69"/>
        <v>0</v>
      </c>
      <c r="S23" s="61">
        <f t="shared" si="48"/>
        <v>0</v>
      </c>
      <c r="T23" s="20">
        <f t="shared" si="5"/>
        <v>0</v>
      </c>
      <c r="U23" s="34">
        <f t="shared" si="6"/>
        <v>0</v>
      </c>
      <c r="V23" s="47"/>
      <c r="W23" s="61">
        <f>$C23*Y$7</f>
        <v>0</v>
      </c>
      <c r="X23" s="61">
        <f t="shared" si="49"/>
        <v>0</v>
      </c>
      <c r="Y23" s="20">
        <f t="shared" si="7"/>
        <v>0</v>
      </c>
      <c r="Z23" s="34">
        <f t="shared" si="8"/>
        <v>0</v>
      </c>
      <c r="AA23" s="47"/>
      <c r="AB23" s="61">
        <f>$C23*AD$7</f>
        <v>0</v>
      </c>
      <c r="AC23" s="61">
        <f t="shared" si="50"/>
        <v>0</v>
      </c>
      <c r="AD23" s="32">
        <f t="shared" si="9"/>
        <v>0</v>
      </c>
      <c r="AE23" s="34">
        <f t="shared" si="10"/>
        <v>0</v>
      </c>
      <c r="AF23" s="47"/>
      <c r="AG23" s="61">
        <f>$C23*AI$7</f>
        <v>0</v>
      </c>
      <c r="AH23" s="61">
        <f t="shared" si="51"/>
        <v>0</v>
      </c>
      <c r="AI23" s="20">
        <f t="shared" si="11"/>
        <v>0</v>
      </c>
      <c r="AJ23" s="34">
        <f t="shared" si="12"/>
        <v>0</v>
      </c>
      <c r="AK23" s="47"/>
      <c r="AL23" s="61">
        <f>$C23*AN$7</f>
        <v>0</v>
      </c>
      <c r="AM23" s="61">
        <f t="shared" si="52"/>
        <v>0</v>
      </c>
      <c r="AN23" s="20">
        <f t="shared" si="13"/>
        <v>0</v>
      </c>
      <c r="AO23" s="34">
        <f t="shared" si="14"/>
        <v>0</v>
      </c>
      <c r="AP23" s="47"/>
      <c r="AQ23" s="61">
        <f>$C23*AS$7</f>
        <v>0</v>
      </c>
      <c r="AR23" s="61">
        <f t="shared" si="53"/>
        <v>0</v>
      </c>
      <c r="AS23" s="20">
        <f t="shared" si="15"/>
        <v>0</v>
      </c>
      <c r="AT23" s="34">
        <f t="shared" si="16"/>
        <v>0</v>
      </c>
      <c r="AU23" s="47"/>
      <c r="AV23" s="61">
        <f>$C23*AX$7</f>
        <v>0</v>
      </c>
      <c r="AW23" s="61">
        <f t="shared" si="54"/>
        <v>0</v>
      </c>
      <c r="AX23" s="32">
        <f t="shared" si="17"/>
        <v>0</v>
      </c>
      <c r="AY23" s="34">
        <f t="shared" si="18"/>
        <v>0</v>
      </c>
      <c r="AZ23" s="47"/>
      <c r="BA23" s="61">
        <f>$C23*BC$7</f>
        <v>0</v>
      </c>
      <c r="BB23" s="61">
        <f t="shared" si="55"/>
        <v>0</v>
      </c>
      <c r="BC23" s="32">
        <f t="shared" si="19"/>
        <v>0</v>
      </c>
      <c r="BD23" s="34">
        <f t="shared" si="20"/>
        <v>0</v>
      </c>
      <c r="BE23" s="47"/>
      <c r="BF23" s="61">
        <f>$C23*BH$7</f>
        <v>0</v>
      </c>
      <c r="BG23" s="61">
        <f t="shared" si="56"/>
        <v>0</v>
      </c>
      <c r="BH23" s="32">
        <f t="shared" si="21"/>
        <v>0</v>
      </c>
      <c r="BI23" s="34">
        <f t="shared" si="22"/>
        <v>0</v>
      </c>
      <c r="BJ23" s="47"/>
      <c r="BK23" s="61">
        <f>$C23*BM$7</f>
        <v>0</v>
      </c>
      <c r="BL23" s="61">
        <f t="shared" si="57"/>
        <v>0</v>
      </c>
      <c r="BM23" s="32">
        <f t="shared" si="23"/>
        <v>0</v>
      </c>
      <c r="BN23" s="34">
        <f t="shared" si="24"/>
        <v>0</v>
      </c>
      <c r="BO23" s="47"/>
      <c r="BP23" s="61">
        <f>$C23*BR$7</f>
        <v>0</v>
      </c>
      <c r="BQ23" s="61">
        <f t="shared" si="58"/>
        <v>0</v>
      </c>
      <c r="BR23" s="32">
        <f t="shared" si="25"/>
        <v>0</v>
      </c>
      <c r="BS23" s="34">
        <f t="shared" si="26"/>
        <v>0</v>
      </c>
      <c r="BT23" s="47"/>
      <c r="BU23" s="61">
        <f>$C23*BW$7</f>
        <v>0</v>
      </c>
      <c r="BV23" s="61">
        <f t="shared" si="59"/>
        <v>0</v>
      </c>
      <c r="BW23" s="32">
        <f t="shared" si="27"/>
        <v>0</v>
      </c>
      <c r="BX23" s="34">
        <f t="shared" si="28"/>
        <v>0</v>
      </c>
      <c r="BY23" s="47"/>
      <c r="BZ23" s="61">
        <f>$C23*CB$7</f>
        <v>0</v>
      </c>
      <c r="CA23" s="61">
        <f t="shared" si="60"/>
        <v>0</v>
      </c>
      <c r="CB23" s="32">
        <f t="shared" si="29"/>
        <v>0</v>
      </c>
      <c r="CC23" s="34">
        <f t="shared" si="30"/>
        <v>0</v>
      </c>
      <c r="CD23" s="47"/>
      <c r="CE23" s="61">
        <f>$C23*CG$7</f>
        <v>0</v>
      </c>
      <c r="CF23" s="61">
        <f t="shared" si="61"/>
        <v>0</v>
      </c>
      <c r="CG23" s="32">
        <f t="shared" si="31"/>
        <v>0</v>
      </c>
      <c r="CH23" s="34">
        <f t="shared" si="32"/>
        <v>0</v>
      </c>
      <c r="CI23" s="47"/>
      <c r="CJ23" s="61">
        <f>$C23*CL$7</f>
        <v>0</v>
      </c>
      <c r="CK23" s="61">
        <f t="shared" si="62"/>
        <v>0</v>
      </c>
      <c r="CL23" s="32">
        <f t="shared" si="33"/>
        <v>0</v>
      </c>
      <c r="CM23" s="34">
        <f t="shared" si="34"/>
        <v>0</v>
      </c>
      <c r="CN23" s="47"/>
      <c r="CO23" s="61">
        <f>$C23*CQ$7</f>
        <v>0</v>
      </c>
      <c r="CP23" s="61">
        <f t="shared" si="63"/>
        <v>0</v>
      </c>
      <c r="CQ23" s="32">
        <f t="shared" si="35"/>
        <v>0</v>
      </c>
      <c r="CR23" s="34">
        <f t="shared" si="36"/>
        <v>0</v>
      </c>
      <c r="CS23" s="47"/>
      <c r="CT23" s="61">
        <f>$C23*CV$7</f>
        <v>0</v>
      </c>
      <c r="CU23" s="61">
        <f t="shared" si="64"/>
        <v>0</v>
      </c>
      <c r="CV23" s="32">
        <f t="shared" si="37"/>
        <v>0</v>
      </c>
      <c r="CW23" s="34">
        <f t="shared" si="38"/>
        <v>0</v>
      </c>
      <c r="CX23" s="47"/>
      <c r="CY23" s="61">
        <f>$C23*DA$7</f>
        <v>0</v>
      </c>
      <c r="CZ23" s="61">
        <f t="shared" si="65"/>
        <v>0</v>
      </c>
      <c r="DA23" s="32">
        <f t="shared" si="39"/>
        <v>0</v>
      </c>
      <c r="DB23" s="34">
        <f t="shared" si="40"/>
        <v>0</v>
      </c>
      <c r="DC23" s="32"/>
      <c r="DD23" s="61">
        <f>$C23*DF$7</f>
        <v>0</v>
      </c>
      <c r="DE23" s="61">
        <f t="shared" si="66"/>
        <v>0</v>
      </c>
      <c r="DF23" s="32">
        <f t="shared" si="41"/>
        <v>0</v>
      </c>
      <c r="DG23" s="34">
        <f t="shared" si="42"/>
        <v>0</v>
      </c>
      <c r="DH23" s="47"/>
      <c r="DI23" s="61">
        <f>$C23*DK$7</f>
        <v>0</v>
      </c>
      <c r="DJ23" s="61">
        <f t="shared" si="67"/>
        <v>0</v>
      </c>
      <c r="DK23" s="32">
        <f t="shared" si="43"/>
        <v>0</v>
      </c>
      <c r="DL23" s="34">
        <f t="shared" si="44"/>
        <v>0</v>
      </c>
      <c r="DM23" s="47"/>
      <c r="DN23" s="61">
        <f>$C23*DP$7</f>
        <v>0</v>
      </c>
      <c r="DO23" s="61">
        <f t="shared" si="68"/>
        <v>0</v>
      </c>
      <c r="DP23" s="32">
        <f t="shared" si="45"/>
        <v>0</v>
      </c>
      <c r="DQ23" s="34">
        <f t="shared" si="46"/>
        <v>0</v>
      </c>
      <c r="DR23" s="47"/>
      <c r="DS23" s="47"/>
      <c r="DT23" s="47"/>
      <c r="DU23" s="32"/>
      <c r="DV23" s="34"/>
      <c r="DW23" s="47"/>
      <c r="DX23" s="32"/>
      <c r="DY23" s="32"/>
      <c r="DZ23" s="32">
        <f t="shared" si="47"/>
        <v>0</v>
      </c>
      <c r="EA23" s="32"/>
    </row>
    <row r="24" spans="1:131" s="49" customFormat="1" ht="12.75">
      <c r="A24" s="48">
        <v>45383</v>
      </c>
      <c r="C24" s="34"/>
      <c r="D24" s="34"/>
      <c r="E24" s="34">
        <f t="shared" si="0"/>
        <v>0</v>
      </c>
      <c r="F24" s="34"/>
      <c r="G24" s="47"/>
      <c r="H24" s="47"/>
      <c r="I24" s="47">
        <f>'2006A Academic '!I24</f>
        <v>0</v>
      </c>
      <c r="J24" s="47">
        <f t="shared" si="1"/>
        <v>0</v>
      </c>
      <c r="K24" s="47">
        <f>'2006A Academic '!K24</f>
        <v>0</v>
      </c>
      <c r="L24" s="47"/>
      <c r="M24" s="47"/>
      <c r="N24" s="39">
        <f t="shared" si="3"/>
        <v>0</v>
      </c>
      <c r="O24" s="47">
        <f t="shared" si="4"/>
        <v>0</v>
      </c>
      <c r="P24" s="39">
        <f t="shared" si="3"/>
        <v>0</v>
      </c>
      <c r="Q24" s="47"/>
      <c r="R24" s="61"/>
      <c r="S24" s="61">
        <f t="shared" si="48"/>
        <v>0</v>
      </c>
      <c r="T24" s="20">
        <f t="shared" si="5"/>
        <v>0</v>
      </c>
      <c r="U24" s="34">
        <f t="shared" si="6"/>
        <v>0</v>
      </c>
      <c r="V24" s="47"/>
      <c r="W24" s="61"/>
      <c r="X24" s="61">
        <f t="shared" si="49"/>
        <v>0</v>
      </c>
      <c r="Y24" s="20">
        <f t="shared" si="7"/>
        <v>0</v>
      </c>
      <c r="Z24" s="34">
        <f t="shared" si="8"/>
        <v>0</v>
      </c>
      <c r="AA24" s="47"/>
      <c r="AB24" s="61"/>
      <c r="AC24" s="61">
        <f t="shared" si="50"/>
        <v>0</v>
      </c>
      <c r="AD24" s="32">
        <f t="shared" si="9"/>
        <v>0</v>
      </c>
      <c r="AE24" s="34">
        <f t="shared" si="10"/>
        <v>0</v>
      </c>
      <c r="AF24" s="47"/>
      <c r="AG24" s="61"/>
      <c r="AH24" s="61">
        <f t="shared" si="51"/>
        <v>0</v>
      </c>
      <c r="AI24" s="20">
        <f t="shared" si="11"/>
        <v>0</v>
      </c>
      <c r="AJ24" s="34">
        <f t="shared" si="12"/>
        <v>0</v>
      </c>
      <c r="AK24" s="47"/>
      <c r="AL24" s="61"/>
      <c r="AM24" s="61">
        <f t="shared" si="52"/>
        <v>0</v>
      </c>
      <c r="AN24" s="20">
        <f t="shared" si="13"/>
        <v>0</v>
      </c>
      <c r="AO24" s="34">
        <f t="shared" si="14"/>
        <v>0</v>
      </c>
      <c r="AP24" s="47"/>
      <c r="AQ24" s="61"/>
      <c r="AR24" s="61">
        <f t="shared" si="53"/>
        <v>0</v>
      </c>
      <c r="AS24" s="20">
        <f t="shared" si="15"/>
        <v>0</v>
      </c>
      <c r="AT24" s="34">
        <f t="shared" si="16"/>
        <v>0</v>
      </c>
      <c r="AU24" s="47"/>
      <c r="AV24" s="61"/>
      <c r="AW24" s="61">
        <f t="shared" si="54"/>
        <v>0</v>
      </c>
      <c r="AX24" s="32">
        <f t="shared" si="17"/>
        <v>0</v>
      </c>
      <c r="AY24" s="34">
        <f t="shared" si="18"/>
        <v>0</v>
      </c>
      <c r="AZ24" s="47"/>
      <c r="BA24" s="61"/>
      <c r="BB24" s="61">
        <f t="shared" si="55"/>
        <v>0</v>
      </c>
      <c r="BC24" s="32">
        <f t="shared" si="19"/>
        <v>0</v>
      </c>
      <c r="BD24" s="34">
        <f t="shared" si="20"/>
        <v>0</v>
      </c>
      <c r="BE24" s="47"/>
      <c r="BF24" s="61"/>
      <c r="BG24" s="61">
        <f t="shared" si="56"/>
        <v>0</v>
      </c>
      <c r="BH24" s="32">
        <f t="shared" si="21"/>
        <v>0</v>
      </c>
      <c r="BI24" s="34">
        <f t="shared" si="22"/>
        <v>0</v>
      </c>
      <c r="BJ24" s="47"/>
      <c r="BK24" s="61"/>
      <c r="BL24" s="61">
        <f t="shared" si="57"/>
        <v>0</v>
      </c>
      <c r="BM24" s="32">
        <f t="shared" si="23"/>
        <v>0</v>
      </c>
      <c r="BN24" s="34">
        <f t="shared" si="24"/>
        <v>0</v>
      </c>
      <c r="BO24" s="47"/>
      <c r="BP24" s="61"/>
      <c r="BQ24" s="61">
        <f t="shared" si="58"/>
        <v>0</v>
      </c>
      <c r="BR24" s="32">
        <f t="shared" si="25"/>
        <v>0</v>
      </c>
      <c r="BS24" s="34">
        <f t="shared" si="26"/>
        <v>0</v>
      </c>
      <c r="BT24" s="47"/>
      <c r="BU24" s="61"/>
      <c r="BV24" s="61">
        <f t="shared" si="59"/>
        <v>0</v>
      </c>
      <c r="BW24" s="32">
        <f t="shared" si="27"/>
        <v>0</v>
      </c>
      <c r="BX24" s="34">
        <f t="shared" si="28"/>
        <v>0</v>
      </c>
      <c r="BY24" s="47"/>
      <c r="BZ24" s="61"/>
      <c r="CA24" s="61">
        <f t="shared" si="60"/>
        <v>0</v>
      </c>
      <c r="CB24" s="32">
        <f t="shared" si="29"/>
        <v>0</v>
      </c>
      <c r="CC24" s="34">
        <f t="shared" si="30"/>
        <v>0</v>
      </c>
      <c r="CD24" s="47"/>
      <c r="CE24" s="61"/>
      <c r="CF24" s="61">
        <f t="shared" si="61"/>
        <v>0</v>
      </c>
      <c r="CG24" s="32">
        <f t="shared" si="31"/>
        <v>0</v>
      </c>
      <c r="CH24" s="34">
        <f t="shared" si="32"/>
        <v>0</v>
      </c>
      <c r="CI24" s="47"/>
      <c r="CJ24" s="61"/>
      <c r="CK24" s="61">
        <f t="shared" si="62"/>
        <v>0</v>
      </c>
      <c r="CL24" s="32">
        <f t="shared" si="33"/>
        <v>0</v>
      </c>
      <c r="CM24" s="34">
        <f t="shared" si="34"/>
        <v>0</v>
      </c>
      <c r="CN24" s="47"/>
      <c r="CO24" s="61"/>
      <c r="CP24" s="61">
        <f t="shared" si="63"/>
        <v>0</v>
      </c>
      <c r="CQ24" s="32">
        <f t="shared" si="35"/>
        <v>0</v>
      </c>
      <c r="CR24" s="34">
        <f t="shared" si="36"/>
        <v>0</v>
      </c>
      <c r="CS24" s="47"/>
      <c r="CT24" s="61"/>
      <c r="CU24" s="61">
        <f t="shared" si="64"/>
        <v>0</v>
      </c>
      <c r="CV24" s="32">
        <f t="shared" si="37"/>
        <v>0</v>
      </c>
      <c r="CW24" s="34">
        <f t="shared" si="38"/>
        <v>0</v>
      </c>
      <c r="CX24" s="47"/>
      <c r="CY24" s="61"/>
      <c r="CZ24" s="61">
        <f t="shared" si="65"/>
        <v>0</v>
      </c>
      <c r="DA24" s="32">
        <f t="shared" si="39"/>
        <v>0</v>
      </c>
      <c r="DB24" s="34">
        <f t="shared" si="40"/>
        <v>0</v>
      </c>
      <c r="DC24" s="32"/>
      <c r="DD24" s="61"/>
      <c r="DE24" s="61">
        <f t="shared" si="66"/>
        <v>0</v>
      </c>
      <c r="DF24" s="32">
        <f t="shared" si="41"/>
        <v>0</v>
      </c>
      <c r="DG24" s="34">
        <f t="shared" si="42"/>
        <v>0</v>
      </c>
      <c r="DH24" s="47"/>
      <c r="DI24" s="61"/>
      <c r="DJ24" s="61">
        <f t="shared" si="67"/>
        <v>0</v>
      </c>
      <c r="DK24" s="32">
        <f t="shared" si="43"/>
        <v>0</v>
      </c>
      <c r="DL24" s="34">
        <f t="shared" si="44"/>
        <v>0</v>
      </c>
      <c r="DM24" s="47"/>
      <c r="DN24" s="61"/>
      <c r="DO24" s="61">
        <f t="shared" si="68"/>
        <v>0</v>
      </c>
      <c r="DP24" s="32">
        <f t="shared" si="45"/>
        <v>0</v>
      </c>
      <c r="DQ24" s="34">
        <f t="shared" si="46"/>
        <v>0</v>
      </c>
      <c r="DR24" s="47"/>
      <c r="DS24" s="47"/>
      <c r="DT24" s="47"/>
      <c r="DU24" s="32"/>
      <c r="DV24" s="34"/>
      <c r="DW24" s="47"/>
      <c r="DX24" s="32"/>
      <c r="DY24" s="32"/>
      <c r="DZ24" s="32">
        <f t="shared" si="47"/>
        <v>0</v>
      </c>
      <c r="EA24" s="32"/>
    </row>
    <row r="25" spans="1:131" s="49" customFormat="1" ht="12.75">
      <c r="A25" s="19">
        <v>45566</v>
      </c>
      <c r="C25" s="34"/>
      <c r="D25" s="34"/>
      <c r="E25" s="34">
        <f t="shared" si="0"/>
        <v>0</v>
      </c>
      <c r="F25" s="34"/>
      <c r="G25" s="47"/>
      <c r="H25" s="47">
        <f>'2006A Academic '!H25</f>
        <v>0</v>
      </c>
      <c r="I25" s="47">
        <f>'2006A Academic '!I25</f>
        <v>0</v>
      </c>
      <c r="J25" s="47">
        <f t="shared" si="1"/>
        <v>0</v>
      </c>
      <c r="K25" s="47">
        <f>'2006A Academic '!K25</f>
        <v>0</v>
      </c>
      <c r="L25" s="47"/>
      <c r="M25" s="47">
        <f t="shared" si="2"/>
        <v>0</v>
      </c>
      <c r="N25" s="39">
        <f t="shared" si="3"/>
        <v>0</v>
      </c>
      <c r="O25" s="47">
        <f t="shared" si="4"/>
        <v>0</v>
      </c>
      <c r="P25" s="39">
        <f t="shared" si="3"/>
        <v>0</v>
      </c>
      <c r="Q25" s="47"/>
      <c r="R25" s="61">
        <f t="shared" si="69"/>
        <v>0</v>
      </c>
      <c r="S25" s="61">
        <f t="shared" si="48"/>
        <v>0</v>
      </c>
      <c r="T25" s="20">
        <f t="shared" si="5"/>
        <v>0</v>
      </c>
      <c r="U25" s="34">
        <f t="shared" si="6"/>
        <v>0</v>
      </c>
      <c r="V25" s="47"/>
      <c r="W25" s="61">
        <f>$C25*Y$7</f>
        <v>0</v>
      </c>
      <c r="X25" s="61">
        <f t="shared" si="49"/>
        <v>0</v>
      </c>
      <c r="Y25" s="20">
        <f t="shared" si="7"/>
        <v>0</v>
      </c>
      <c r="Z25" s="34">
        <f t="shared" si="8"/>
        <v>0</v>
      </c>
      <c r="AA25" s="47"/>
      <c r="AB25" s="61">
        <f>$C25*AD$7</f>
        <v>0</v>
      </c>
      <c r="AC25" s="61">
        <f t="shared" si="50"/>
        <v>0</v>
      </c>
      <c r="AD25" s="32">
        <f t="shared" si="9"/>
        <v>0</v>
      </c>
      <c r="AE25" s="34">
        <f t="shared" si="10"/>
        <v>0</v>
      </c>
      <c r="AF25" s="47"/>
      <c r="AG25" s="61">
        <f>$C25*AI$7</f>
        <v>0</v>
      </c>
      <c r="AH25" s="61">
        <f t="shared" si="51"/>
        <v>0</v>
      </c>
      <c r="AI25" s="20">
        <f t="shared" si="11"/>
        <v>0</v>
      </c>
      <c r="AJ25" s="34">
        <f t="shared" si="12"/>
        <v>0</v>
      </c>
      <c r="AK25" s="47"/>
      <c r="AL25" s="61">
        <f>$C25*AN$7</f>
        <v>0</v>
      </c>
      <c r="AM25" s="61">
        <f t="shared" si="52"/>
        <v>0</v>
      </c>
      <c r="AN25" s="20">
        <f t="shared" si="13"/>
        <v>0</v>
      </c>
      <c r="AO25" s="34">
        <f t="shared" si="14"/>
        <v>0</v>
      </c>
      <c r="AP25" s="47"/>
      <c r="AQ25" s="61">
        <f>$C25*AS$7</f>
        <v>0</v>
      </c>
      <c r="AR25" s="61">
        <f t="shared" si="53"/>
        <v>0</v>
      </c>
      <c r="AS25" s="20">
        <f t="shared" si="15"/>
        <v>0</v>
      </c>
      <c r="AT25" s="34">
        <f t="shared" si="16"/>
        <v>0</v>
      </c>
      <c r="AU25" s="47"/>
      <c r="AV25" s="61">
        <f>$C25*AX$7</f>
        <v>0</v>
      </c>
      <c r="AW25" s="61">
        <f t="shared" si="54"/>
        <v>0</v>
      </c>
      <c r="AX25" s="32">
        <f t="shared" si="17"/>
        <v>0</v>
      </c>
      <c r="AY25" s="34">
        <f t="shared" si="18"/>
        <v>0</v>
      </c>
      <c r="AZ25" s="47"/>
      <c r="BA25" s="61">
        <f>$C25*BC$7</f>
        <v>0</v>
      </c>
      <c r="BB25" s="61">
        <f t="shared" si="55"/>
        <v>0</v>
      </c>
      <c r="BC25" s="32">
        <f t="shared" si="19"/>
        <v>0</v>
      </c>
      <c r="BD25" s="34">
        <f t="shared" si="20"/>
        <v>0</v>
      </c>
      <c r="BE25" s="47"/>
      <c r="BF25" s="61">
        <f>$C25*BH$7</f>
        <v>0</v>
      </c>
      <c r="BG25" s="61">
        <f t="shared" si="56"/>
        <v>0</v>
      </c>
      <c r="BH25" s="32">
        <f t="shared" si="21"/>
        <v>0</v>
      </c>
      <c r="BI25" s="34">
        <f t="shared" si="22"/>
        <v>0</v>
      </c>
      <c r="BJ25" s="47"/>
      <c r="BK25" s="61">
        <f>$C25*BM$7</f>
        <v>0</v>
      </c>
      <c r="BL25" s="61">
        <f t="shared" si="57"/>
        <v>0</v>
      </c>
      <c r="BM25" s="32">
        <f t="shared" si="23"/>
        <v>0</v>
      </c>
      <c r="BN25" s="34">
        <f t="shared" si="24"/>
        <v>0</v>
      </c>
      <c r="BO25" s="47"/>
      <c r="BP25" s="61">
        <f>$C25*BR$7</f>
        <v>0</v>
      </c>
      <c r="BQ25" s="61">
        <f t="shared" si="58"/>
        <v>0</v>
      </c>
      <c r="BR25" s="32">
        <f t="shared" si="25"/>
        <v>0</v>
      </c>
      <c r="BS25" s="34">
        <f t="shared" si="26"/>
        <v>0</v>
      </c>
      <c r="BT25" s="47"/>
      <c r="BU25" s="61">
        <f>$C25*BW$7</f>
        <v>0</v>
      </c>
      <c r="BV25" s="61">
        <f t="shared" si="59"/>
        <v>0</v>
      </c>
      <c r="BW25" s="32">
        <f t="shared" si="27"/>
        <v>0</v>
      </c>
      <c r="BX25" s="34">
        <f t="shared" si="28"/>
        <v>0</v>
      </c>
      <c r="BY25" s="47"/>
      <c r="BZ25" s="61">
        <f>$C25*CB$7</f>
        <v>0</v>
      </c>
      <c r="CA25" s="61">
        <f t="shared" si="60"/>
        <v>0</v>
      </c>
      <c r="CB25" s="32">
        <f t="shared" si="29"/>
        <v>0</v>
      </c>
      <c r="CC25" s="34">
        <f t="shared" si="30"/>
        <v>0</v>
      </c>
      <c r="CD25" s="47"/>
      <c r="CE25" s="61">
        <f>$C25*CG$7</f>
        <v>0</v>
      </c>
      <c r="CF25" s="61">
        <f t="shared" si="61"/>
        <v>0</v>
      </c>
      <c r="CG25" s="32">
        <f t="shared" si="31"/>
        <v>0</v>
      </c>
      <c r="CH25" s="34">
        <f t="shared" si="32"/>
        <v>0</v>
      </c>
      <c r="CI25" s="47"/>
      <c r="CJ25" s="61">
        <f>$C25*CL$7</f>
        <v>0</v>
      </c>
      <c r="CK25" s="61">
        <f t="shared" si="62"/>
        <v>0</v>
      </c>
      <c r="CL25" s="32">
        <f t="shared" si="33"/>
        <v>0</v>
      </c>
      <c r="CM25" s="34">
        <f t="shared" si="34"/>
        <v>0</v>
      </c>
      <c r="CN25" s="47"/>
      <c r="CO25" s="61">
        <f>$C25*CQ$7</f>
        <v>0</v>
      </c>
      <c r="CP25" s="61">
        <f t="shared" si="63"/>
        <v>0</v>
      </c>
      <c r="CQ25" s="32">
        <f t="shared" si="35"/>
        <v>0</v>
      </c>
      <c r="CR25" s="34">
        <f t="shared" si="36"/>
        <v>0</v>
      </c>
      <c r="CS25" s="47"/>
      <c r="CT25" s="61">
        <f>$C25*CV$7</f>
        <v>0</v>
      </c>
      <c r="CU25" s="61">
        <f t="shared" si="64"/>
        <v>0</v>
      </c>
      <c r="CV25" s="32">
        <f t="shared" si="37"/>
        <v>0</v>
      </c>
      <c r="CW25" s="34">
        <f t="shared" si="38"/>
        <v>0</v>
      </c>
      <c r="CX25" s="47"/>
      <c r="CY25" s="61">
        <f>$C25*DA$7</f>
        <v>0</v>
      </c>
      <c r="CZ25" s="61">
        <f t="shared" si="65"/>
        <v>0</v>
      </c>
      <c r="DA25" s="32">
        <f t="shared" si="39"/>
        <v>0</v>
      </c>
      <c r="DB25" s="34">
        <f t="shared" si="40"/>
        <v>0</v>
      </c>
      <c r="DC25" s="32"/>
      <c r="DD25" s="61">
        <f>$C25*DF$7</f>
        <v>0</v>
      </c>
      <c r="DE25" s="61">
        <f t="shared" si="66"/>
        <v>0</v>
      </c>
      <c r="DF25" s="32">
        <f t="shared" si="41"/>
        <v>0</v>
      </c>
      <c r="DG25" s="34">
        <f t="shared" si="42"/>
        <v>0</v>
      </c>
      <c r="DH25" s="47"/>
      <c r="DI25" s="61">
        <f>$C25*DK$7</f>
        <v>0</v>
      </c>
      <c r="DJ25" s="61">
        <f t="shared" si="67"/>
        <v>0</v>
      </c>
      <c r="DK25" s="32">
        <f t="shared" si="43"/>
        <v>0</v>
      </c>
      <c r="DL25" s="34">
        <f t="shared" si="44"/>
        <v>0</v>
      </c>
      <c r="DM25" s="47"/>
      <c r="DN25" s="61">
        <f>$C25*DP$7</f>
        <v>0</v>
      </c>
      <c r="DO25" s="61">
        <f t="shared" si="68"/>
        <v>0</v>
      </c>
      <c r="DP25" s="32">
        <f t="shared" si="45"/>
        <v>0</v>
      </c>
      <c r="DQ25" s="34">
        <f t="shared" si="46"/>
        <v>0</v>
      </c>
      <c r="DR25" s="47"/>
      <c r="DS25" s="47"/>
      <c r="DT25" s="47"/>
      <c r="DU25" s="32"/>
      <c r="DV25" s="34"/>
      <c r="DW25" s="47"/>
      <c r="DX25" s="32"/>
      <c r="DY25" s="32"/>
      <c r="DZ25" s="32">
        <f t="shared" si="47"/>
        <v>0</v>
      </c>
      <c r="EA25" s="32"/>
    </row>
    <row r="26" spans="1:131" s="49" customFormat="1" ht="12.75">
      <c r="A26" s="19">
        <v>45748</v>
      </c>
      <c r="C26" s="34"/>
      <c r="D26" s="34"/>
      <c r="E26" s="34">
        <f t="shared" si="0"/>
        <v>0</v>
      </c>
      <c r="F26" s="34"/>
      <c r="G26" s="47"/>
      <c r="H26" s="47"/>
      <c r="I26" s="47">
        <f>'2006A Academic '!I26</f>
        <v>0</v>
      </c>
      <c r="J26" s="47">
        <f t="shared" si="1"/>
        <v>0</v>
      </c>
      <c r="K26" s="47">
        <f>'2006A Academic '!K26</f>
        <v>0</v>
      </c>
      <c r="L26" s="47"/>
      <c r="M26" s="47"/>
      <c r="N26" s="39">
        <f t="shared" si="3"/>
        <v>0</v>
      </c>
      <c r="O26" s="47">
        <f t="shared" si="4"/>
        <v>0</v>
      </c>
      <c r="P26" s="39">
        <f t="shared" si="3"/>
        <v>0</v>
      </c>
      <c r="Q26" s="47"/>
      <c r="R26" s="61"/>
      <c r="S26" s="61">
        <f t="shared" si="48"/>
        <v>0</v>
      </c>
      <c r="T26" s="20">
        <f t="shared" si="5"/>
        <v>0</v>
      </c>
      <c r="U26" s="34">
        <f t="shared" si="6"/>
        <v>0</v>
      </c>
      <c r="V26" s="47"/>
      <c r="W26" s="61"/>
      <c r="X26" s="61">
        <f t="shared" si="49"/>
        <v>0</v>
      </c>
      <c r="Y26" s="20">
        <f t="shared" si="7"/>
        <v>0</v>
      </c>
      <c r="Z26" s="34">
        <f t="shared" si="8"/>
        <v>0</v>
      </c>
      <c r="AA26" s="47"/>
      <c r="AB26" s="61"/>
      <c r="AC26" s="61">
        <f t="shared" si="50"/>
        <v>0</v>
      </c>
      <c r="AD26" s="32">
        <f t="shared" si="9"/>
        <v>0</v>
      </c>
      <c r="AE26" s="34">
        <f t="shared" si="10"/>
        <v>0</v>
      </c>
      <c r="AF26" s="47"/>
      <c r="AG26" s="61"/>
      <c r="AH26" s="61">
        <f t="shared" si="51"/>
        <v>0</v>
      </c>
      <c r="AI26" s="20">
        <f t="shared" si="11"/>
        <v>0</v>
      </c>
      <c r="AJ26" s="34">
        <f t="shared" si="12"/>
        <v>0</v>
      </c>
      <c r="AK26" s="47"/>
      <c r="AL26" s="61"/>
      <c r="AM26" s="61">
        <f t="shared" si="52"/>
        <v>0</v>
      </c>
      <c r="AN26" s="20">
        <f t="shared" si="13"/>
        <v>0</v>
      </c>
      <c r="AO26" s="34">
        <f t="shared" si="14"/>
        <v>0</v>
      </c>
      <c r="AP26" s="47"/>
      <c r="AQ26" s="61"/>
      <c r="AR26" s="61">
        <f t="shared" si="53"/>
        <v>0</v>
      </c>
      <c r="AS26" s="20">
        <f t="shared" si="15"/>
        <v>0</v>
      </c>
      <c r="AT26" s="34">
        <f t="shared" si="16"/>
        <v>0</v>
      </c>
      <c r="AU26" s="47"/>
      <c r="AV26" s="61"/>
      <c r="AW26" s="61">
        <f t="shared" si="54"/>
        <v>0</v>
      </c>
      <c r="AX26" s="32">
        <f t="shared" si="17"/>
        <v>0</v>
      </c>
      <c r="AY26" s="34">
        <f t="shared" si="18"/>
        <v>0</v>
      </c>
      <c r="AZ26" s="47"/>
      <c r="BA26" s="61"/>
      <c r="BB26" s="61">
        <f t="shared" si="55"/>
        <v>0</v>
      </c>
      <c r="BC26" s="32">
        <f t="shared" si="19"/>
        <v>0</v>
      </c>
      <c r="BD26" s="34">
        <f t="shared" si="20"/>
        <v>0</v>
      </c>
      <c r="BE26" s="47"/>
      <c r="BF26" s="61"/>
      <c r="BG26" s="61">
        <f t="shared" si="56"/>
        <v>0</v>
      </c>
      <c r="BH26" s="32">
        <f t="shared" si="21"/>
        <v>0</v>
      </c>
      <c r="BI26" s="34">
        <f t="shared" si="22"/>
        <v>0</v>
      </c>
      <c r="BJ26" s="47"/>
      <c r="BK26" s="61"/>
      <c r="BL26" s="61">
        <f t="shared" si="57"/>
        <v>0</v>
      </c>
      <c r="BM26" s="32">
        <f t="shared" si="23"/>
        <v>0</v>
      </c>
      <c r="BN26" s="34">
        <f t="shared" si="24"/>
        <v>0</v>
      </c>
      <c r="BO26" s="47"/>
      <c r="BP26" s="61"/>
      <c r="BQ26" s="61">
        <f t="shared" si="58"/>
        <v>0</v>
      </c>
      <c r="BR26" s="32">
        <f t="shared" si="25"/>
        <v>0</v>
      </c>
      <c r="BS26" s="34">
        <f t="shared" si="26"/>
        <v>0</v>
      </c>
      <c r="BT26" s="47"/>
      <c r="BU26" s="61"/>
      <c r="BV26" s="61">
        <f t="shared" si="59"/>
        <v>0</v>
      </c>
      <c r="BW26" s="32">
        <f t="shared" si="27"/>
        <v>0</v>
      </c>
      <c r="BX26" s="34">
        <f t="shared" si="28"/>
        <v>0</v>
      </c>
      <c r="BY26" s="47"/>
      <c r="BZ26" s="61"/>
      <c r="CA26" s="61">
        <f t="shared" si="60"/>
        <v>0</v>
      </c>
      <c r="CB26" s="32">
        <f t="shared" si="29"/>
        <v>0</v>
      </c>
      <c r="CC26" s="34">
        <f t="shared" si="30"/>
        <v>0</v>
      </c>
      <c r="CD26" s="47"/>
      <c r="CE26" s="61"/>
      <c r="CF26" s="61">
        <f t="shared" si="61"/>
        <v>0</v>
      </c>
      <c r="CG26" s="32">
        <f t="shared" si="31"/>
        <v>0</v>
      </c>
      <c r="CH26" s="34">
        <f t="shared" si="32"/>
        <v>0</v>
      </c>
      <c r="CI26" s="47"/>
      <c r="CJ26" s="61"/>
      <c r="CK26" s="61">
        <f t="shared" si="62"/>
        <v>0</v>
      </c>
      <c r="CL26" s="32">
        <f t="shared" si="33"/>
        <v>0</v>
      </c>
      <c r="CM26" s="34">
        <f t="shared" si="34"/>
        <v>0</v>
      </c>
      <c r="CN26" s="47"/>
      <c r="CO26" s="61"/>
      <c r="CP26" s="61">
        <f t="shared" si="63"/>
        <v>0</v>
      </c>
      <c r="CQ26" s="32">
        <f t="shared" si="35"/>
        <v>0</v>
      </c>
      <c r="CR26" s="34">
        <f t="shared" si="36"/>
        <v>0</v>
      </c>
      <c r="CS26" s="47"/>
      <c r="CT26" s="61"/>
      <c r="CU26" s="61">
        <f t="shared" si="64"/>
        <v>0</v>
      </c>
      <c r="CV26" s="32">
        <f t="shared" si="37"/>
        <v>0</v>
      </c>
      <c r="CW26" s="34">
        <f t="shared" si="38"/>
        <v>0</v>
      </c>
      <c r="CX26" s="47"/>
      <c r="CY26" s="61"/>
      <c r="CZ26" s="61">
        <f t="shared" si="65"/>
        <v>0</v>
      </c>
      <c r="DA26" s="32">
        <f t="shared" si="39"/>
        <v>0</v>
      </c>
      <c r="DB26" s="34">
        <f t="shared" si="40"/>
        <v>0</v>
      </c>
      <c r="DC26" s="32"/>
      <c r="DD26" s="61"/>
      <c r="DE26" s="61">
        <f t="shared" si="66"/>
        <v>0</v>
      </c>
      <c r="DF26" s="32">
        <f t="shared" si="41"/>
        <v>0</v>
      </c>
      <c r="DG26" s="34">
        <f t="shared" si="42"/>
        <v>0</v>
      </c>
      <c r="DH26" s="47"/>
      <c r="DI26" s="61"/>
      <c r="DJ26" s="61">
        <f t="shared" si="67"/>
        <v>0</v>
      </c>
      <c r="DK26" s="32">
        <f t="shared" si="43"/>
        <v>0</v>
      </c>
      <c r="DL26" s="34">
        <f t="shared" si="44"/>
        <v>0</v>
      </c>
      <c r="DM26" s="47"/>
      <c r="DN26" s="61"/>
      <c r="DO26" s="61">
        <f t="shared" si="68"/>
        <v>0</v>
      </c>
      <c r="DP26" s="32">
        <f t="shared" si="45"/>
        <v>0</v>
      </c>
      <c r="DQ26" s="34">
        <f t="shared" si="46"/>
        <v>0</v>
      </c>
      <c r="DR26" s="47"/>
      <c r="DS26" s="47"/>
      <c r="DT26" s="47"/>
      <c r="DU26" s="32"/>
      <c r="DV26" s="34"/>
      <c r="DW26" s="47"/>
      <c r="DX26" s="32"/>
      <c r="DY26" s="32"/>
      <c r="DZ26" s="32">
        <f t="shared" si="47"/>
        <v>0</v>
      </c>
      <c r="EA26" s="32"/>
    </row>
    <row r="27" spans="1:131" ht="12.75">
      <c r="A27" s="19">
        <v>45931</v>
      </c>
      <c r="E27" s="34">
        <f t="shared" si="0"/>
        <v>0</v>
      </c>
      <c r="H27" s="47">
        <f>'2006A Academic '!H27</f>
        <v>0</v>
      </c>
      <c r="I27" s="47">
        <f>'2006A Academic '!I27</f>
        <v>0</v>
      </c>
      <c r="J27" s="47">
        <f t="shared" si="1"/>
        <v>0</v>
      </c>
      <c r="K27" s="47">
        <f>'2006A Academic '!K27</f>
        <v>0</v>
      </c>
      <c r="M27" s="47">
        <f t="shared" si="2"/>
        <v>0</v>
      </c>
      <c r="N27" s="39">
        <f t="shared" si="3"/>
        <v>0</v>
      </c>
      <c r="O27" s="47">
        <f t="shared" si="4"/>
        <v>0</v>
      </c>
      <c r="P27" s="39">
        <f t="shared" si="3"/>
        <v>0</v>
      </c>
      <c r="R27" s="61">
        <f t="shared" si="69"/>
        <v>0</v>
      </c>
      <c r="S27" s="61">
        <f t="shared" si="48"/>
        <v>0</v>
      </c>
      <c r="T27" s="20">
        <f t="shared" si="5"/>
        <v>0</v>
      </c>
      <c r="U27" s="34">
        <f t="shared" si="6"/>
        <v>0</v>
      </c>
      <c r="W27" s="61">
        <f>$C27*Y$7</f>
        <v>0</v>
      </c>
      <c r="X27" s="61">
        <f t="shared" si="49"/>
        <v>0</v>
      </c>
      <c r="Y27" s="20">
        <f t="shared" si="7"/>
        <v>0</v>
      </c>
      <c r="Z27" s="34">
        <f t="shared" si="8"/>
        <v>0</v>
      </c>
      <c r="AB27" s="61">
        <f>$C27*AD$7</f>
        <v>0</v>
      </c>
      <c r="AC27" s="61">
        <f t="shared" si="50"/>
        <v>0</v>
      </c>
      <c r="AD27" s="32">
        <f t="shared" si="9"/>
        <v>0</v>
      </c>
      <c r="AE27" s="34">
        <f t="shared" si="10"/>
        <v>0</v>
      </c>
      <c r="AG27" s="61">
        <f>$C27*AI$7</f>
        <v>0</v>
      </c>
      <c r="AH27" s="61">
        <f t="shared" si="51"/>
        <v>0</v>
      </c>
      <c r="AI27" s="20">
        <f t="shared" si="11"/>
        <v>0</v>
      </c>
      <c r="AJ27" s="34">
        <f t="shared" si="12"/>
        <v>0</v>
      </c>
      <c r="AL27" s="61">
        <f>$C27*AN$7</f>
        <v>0</v>
      </c>
      <c r="AM27" s="61">
        <f t="shared" si="52"/>
        <v>0</v>
      </c>
      <c r="AN27" s="20">
        <f t="shared" si="13"/>
        <v>0</v>
      </c>
      <c r="AO27" s="34">
        <f t="shared" si="14"/>
        <v>0</v>
      </c>
      <c r="AP27" s="32"/>
      <c r="AQ27" s="61">
        <f>$C27*AS$7</f>
        <v>0</v>
      </c>
      <c r="AR27" s="61">
        <f t="shared" si="53"/>
        <v>0</v>
      </c>
      <c r="AS27" s="20">
        <f t="shared" si="15"/>
        <v>0</v>
      </c>
      <c r="AT27" s="34">
        <f t="shared" si="16"/>
        <v>0</v>
      </c>
      <c r="AU27" s="32"/>
      <c r="AV27" s="61">
        <f>$C27*AX$7</f>
        <v>0</v>
      </c>
      <c r="AW27" s="61">
        <f t="shared" si="54"/>
        <v>0</v>
      </c>
      <c r="AX27" s="32">
        <f t="shared" si="17"/>
        <v>0</v>
      </c>
      <c r="AY27" s="34">
        <f t="shared" si="18"/>
        <v>0</v>
      </c>
      <c r="AZ27" s="32"/>
      <c r="BA27" s="61">
        <f>$C27*BC$7</f>
        <v>0</v>
      </c>
      <c r="BB27" s="61">
        <f t="shared" si="55"/>
        <v>0</v>
      </c>
      <c r="BC27" s="32">
        <f t="shared" si="19"/>
        <v>0</v>
      </c>
      <c r="BD27" s="34">
        <f t="shared" si="20"/>
        <v>0</v>
      </c>
      <c r="BE27" s="32"/>
      <c r="BF27" s="61">
        <f>$C27*BH$7</f>
        <v>0</v>
      </c>
      <c r="BG27" s="61">
        <f t="shared" si="56"/>
        <v>0</v>
      </c>
      <c r="BH27" s="32">
        <f t="shared" si="21"/>
        <v>0</v>
      </c>
      <c r="BI27" s="34">
        <f t="shared" si="22"/>
        <v>0</v>
      </c>
      <c r="BJ27" s="32"/>
      <c r="BK27" s="61">
        <f>$C27*BM$7</f>
        <v>0</v>
      </c>
      <c r="BL27" s="61">
        <f t="shared" si="57"/>
        <v>0</v>
      </c>
      <c r="BM27" s="32">
        <f t="shared" si="23"/>
        <v>0</v>
      </c>
      <c r="BN27" s="34">
        <f t="shared" si="24"/>
        <v>0</v>
      </c>
      <c r="BO27" s="32"/>
      <c r="BP27" s="61">
        <f>$C27*BR$7</f>
        <v>0</v>
      </c>
      <c r="BQ27" s="61">
        <f t="shared" si="58"/>
        <v>0</v>
      </c>
      <c r="BR27" s="32">
        <f t="shared" si="25"/>
        <v>0</v>
      </c>
      <c r="BS27" s="34">
        <f t="shared" si="26"/>
        <v>0</v>
      </c>
      <c r="BT27" s="32"/>
      <c r="BU27" s="61">
        <f>$C27*BW$7</f>
        <v>0</v>
      </c>
      <c r="BV27" s="61">
        <f t="shared" si="59"/>
        <v>0</v>
      </c>
      <c r="BW27" s="32">
        <f t="shared" si="27"/>
        <v>0</v>
      </c>
      <c r="BX27" s="34">
        <f t="shared" si="28"/>
        <v>0</v>
      </c>
      <c r="BY27" s="32"/>
      <c r="BZ27" s="61">
        <f>$C27*CB$7</f>
        <v>0</v>
      </c>
      <c r="CA27" s="61">
        <f t="shared" si="60"/>
        <v>0</v>
      </c>
      <c r="CB27" s="32">
        <f t="shared" si="29"/>
        <v>0</v>
      </c>
      <c r="CC27" s="34">
        <f t="shared" si="30"/>
        <v>0</v>
      </c>
      <c r="CD27" s="32"/>
      <c r="CE27" s="61">
        <f>$C27*CG$7</f>
        <v>0</v>
      </c>
      <c r="CF27" s="61">
        <f t="shared" si="61"/>
        <v>0</v>
      </c>
      <c r="CG27" s="32">
        <f t="shared" si="31"/>
        <v>0</v>
      </c>
      <c r="CH27" s="34">
        <f t="shared" si="32"/>
        <v>0</v>
      </c>
      <c r="CI27" s="32"/>
      <c r="CJ27" s="61">
        <f>$C27*CL$7</f>
        <v>0</v>
      </c>
      <c r="CK27" s="61">
        <f t="shared" si="62"/>
        <v>0</v>
      </c>
      <c r="CL27" s="32">
        <f t="shared" si="33"/>
        <v>0</v>
      </c>
      <c r="CM27" s="34">
        <f t="shared" si="34"/>
        <v>0</v>
      </c>
      <c r="CN27" s="32"/>
      <c r="CO27" s="61">
        <f>$C27*CQ$7</f>
        <v>0</v>
      </c>
      <c r="CP27" s="61">
        <f t="shared" si="63"/>
        <v>0</v>
      </c>
      <c r="CQ27" s="32">
        <f t="shared" si="35"/>
        <v>0</v>
      </c>
      <c r="CR27" s="34">
        <f t="shared" si="36"/>
        <v>0</v>
      </c>
      <c r="CS27" s="32"/>
      <c r="CT27" s="61">
        <f>$C27*CV$7</f>
        <v>0</v>
      </c>
      <c r="CU27" s="61">
        <f t="shared" si="64"/>
        <v>0</v>
      </c>
      <c r="CV27" s="32">
        <f t="shared" si="37"/>
        <v>0</v>
      </c>
      <c r="CW27" s="34">
        <f t="shared" si="38"/>
        <v>0</v>
      </c>
      <c r="CX27" s="32"/>
      <c r="CY27" s="61">
        <f>$C27*DA$7</f>
        <v>0</v>
      </c>
      <c r="CZ27" s="61">
        <f t="shared" si="65"/>
        <v>0</v>
      </c>
      <c r="DA27" s="32">
        <f t="shared" si="39"/>
        <v>0</v>
      </c>
      <c r="DB27" s="34">
        <f t="shared" si="40"/>
        <v>0</v>
      </c>
      <c r="DC27" s="32"/>
      <c r="DD27" s="61">
        <f>$C27*DF$7</f>
        <v>0</v>
      </c>
      <c r="DE27" s="61">
        <f t="shared" si="66"/>
        <v>0</v>
      </c>
      <c r="DF27" s="32">
        <f t="shared" si="41"/>
        <v>0</v>
      </c>
      <c r="DG27" s="34">
        <f t="shared" si="42"/>
        <v>0</v>
      </c>
      <c r="DH27" s="32"/>
      <c r="DI27" s="61">
        <f>$C27*DK$7</f>
        <v>0</v>
      </c>
      <c r="DJ27" s="61">
        <f t="shared" si="67"/>
        <v>0</v>
      </c>
      <c r="DK27" s="32">
        <f t="shared" si="43"/>
        <v>0</v>
      </c>
      <c r="DL27" s="34">
        <f t="shared" si="44"/>
        <v>0</v>
      </c>
      <c r="DM27" s="32"/>
      <c r="DN27" s="61">
        <f>$C27*DP$7</f>
        <v>0</v>
      </c>
      <c r="DO27" s="61">
        <f t="shared" si="68"/>
        <v>0</v>
      </c>
      <c r="DP27" s="32">
        <f t="shared" si="45"/>
        <v>0</v>
      </c>
      <c r="DQ27" s="34">
        <f t="shared" si="46"/>
        <v>0</v>
      </c>
      <c r="DR27" s="32"/>
      <c r="DS27" s="47"/>
      <c r="DT27" s="47"/>
      <c r="DU27" s="32"/>
      <c r="DV27" s="34"/>
      <c r="DW27" s="32"/>
      <c r="DX27" s="32"/>
      <c r="DY27" s="32"/>
      <c r="DZ27" s="32">
        <f t="shared" si="47"/>
        <v>0</v>
      </c>
      <c r="EA27" s="32"/>
    </row>
    <row r="28" spans="1:131" ht="12.75">
      <c r="A28" s="19">
        <v>46113</v>
      </c>
      <c r="E28" s="34">
        <f t="shared" si="0"/>
        <v>0</v>
      </c>
      <c r="H28" s="47"/>
      <c r="I28" s="47">
        <f>'2006A Academic '!I28</f>
        <v>0</v>
      </c>
      <c r="J28" s="47">
        <f t="shared" si="1"/>
        <v>0</v>
      </c>
      <c r="K28" s="47">
        <f>'2006A Academic '!K28</f>
        <v>0</v>
      </c>
      <c r="M28" s="47"/>
      <c r="N28" s="39">
        <f t="shared" si="3"/>
        <v>0</v>
      </c>
      <c r="O28" s="47">
        <f t="shared" si="4"/>
        <v>0</v>
      </c>
      <c r="P28" s="39">
        <f t="shared" si="3"/>
        <v>0</v>
      </c>
      <c r="R28" s="61"/>
      <c r="S28" s="61">
        <f t="shared" si="48"/>
        <v>0</v>
      </c>
      <c r="T28" s="20">
        <f t="shared" si="5"/>
        <v>0</v>
      </c>
      <c r="U28" s="34">
        <f t="shared" si="6"/>
        <v>0</v>
      </c>
      <c r="W28" s="61"/>
      <c r="X28" s="61">
        <f t="shared" si="49"/>
        <v>0</v>
      </c>
      <c r="Y28" s="20">
        <f t="shared" si="7"/>
        <v>0</v>
      </c>
      <c r="Z28" s="34">
        <f t="shared" si="8"/>
        <v>0</v>
      </c>
      <c r="AB28" s="61"/>
      <c r="AC28" s="61">
        <f t="shared" si="50"/>
        <v>0</v>
      </c>
      <c r="AD28" s="32">
        <f t="shared" si="9"/>
        <v>0</v>
      </c>
      <c r="AE28" s="34">
        <f t="shared" si="10"/>
        <v>0</v>
      </c>
      <c r="AG28" s="61"/>
      <c r="AH28" s="61">
        <f t="shared" si="51"/>
        <v>0</v>
      </c>
      <c r="AI28" s="20">
        <f t="shared" si="11"/>
        <v>0</v>
      </c>
      <c r="AJ28" s="34">
        <f t="shared" si="12"/>
        <v>0</v>
      </c>
      <c r="AL28" s="61"/>
      <c r="AM28" s="61">
        <f t="shared" si="52"/>
        <v>0</v>
      </c>
      <c r="AN28" s="20">
        <f t="shared" si="13"/>
        <v>0</v>
      </c>
      <c r="AO28" s="34">
        <f t="shared" si="14"/>
        <v>0</v>
      </c>
      <c r="AP28" s="32"/>
      <c r="AQ28" s="61"/>
      <c r="AR28" s="61">
        <f t="shared" si="53"/>
        <v>0</v>
      </c>
      <c r="AS28" s="20">
        <f t="shared" si="15"/>
        <v>0</v>
      </c>
      <c r="AT28" s="34">
        <f t="shared" si="16"/>
        <v>0</v>
      </c>
      <c r="AU28" s="32"/>
      <c r="AV28" s="61"/>
      <c r="AW28" s="61">
        <f t="shared" si="54"/>
        <v>0</v>
      </c>
      <c r="AX28" s="32">
        <f t="shared" si="17"/>
        <v>0</v>
      </c>
      <c r="AY28" s="34">
        <f t="shared" si="18"/>
        <v>0</v>
      </c>
      <c r="AZ28" s="32"/>
      <c r="BA28" s="61"/>
      <c r="BB28" s="61">
        <f t="shared" si="55"/>
        <v>0</v>
      </c>
      <c r="BC28" s="32">
        <f t="shared" si="19"/>
        <v>0</v>
      </c>
      <c r="BD28" s="34">
        <f t="shared" si="20"/>
        <v>0</v>
      </c>
      <c r="BE28" s="32"/>
      <c r="BF28" s="61"/>
      <c r="BG28" s="61">
        <f t="shared" si="56"/>
        <v>0</v>
      </c>
      <c r="BH28" s="32">
        <f t="shared" si="21"/>
        <v>0</v>
      </c>
      <c r="BI28" s="34">
        <f t="shared" si="22"/>
        <v>0</v>
      </c>
      <c r="BJ28" s="32"/>
      <c r="BK28" s="61"/>
      <c r="BL28" s="61">
        <f t="shared" si="57"/>
        <v>0</v>
      </c>
      <c r="BM28" s="32">
        <f t="shared" si="23"/>
        <v>0</v>
      </c>
      <c r="BN28" s="34">
        <f t="shared" si="24"/>
        <v>0</v>
      </c>
      <c r="BO28" s="32"/>
      <c r="BP28" s="61"/>
      <c r="BQ28" s="61">
        <f t="shared" si="58"/>
        <v>0</v>
      </c>
      <c r="BR28" s="32">
        <f t="shared" si="25"/>
        <v>0</v>
      </c>
      <c r="BS28" s="34">
        <f t="shared" si="26"/>
        <v>0</v>
      </c>
      <c r="BT28" s="32"/>
      <c r="BU28" s="61"/>
      <c r="BV28" s="61">
        <f t="shared" si="59"/>
        <v>0</v>
      </c>
      <c r="BW28" s="32">
        <f t="shared" si="27"/>
        <v>0</v>
      </c>
      <c r="BX28" s="34">
        <f t="shared" si="28"/>
        <v>0</v>
      </c>
      <c r="BY28" s="32"/>
      <c r="BZ28" s="61"/>
      <c r="CA28" s="61">
        <f t="shared" si="60"/>
        <v>0</v>
      </c>
      <c r="CB28" s="32">
        <f t="shared" si="29"/>
        <v>0</v>
      </c>
      <c r="CC28" s="34">
        <f t="shared" si="30"/>
        <v>0</v>
      </c>
      <c r="CD28" s="32"/>
      <c r="CE28" s="61"/>
      <c r="CF28" s="61">
        <f t="shared" si="61"/>
        <v>0</v>
      </c>
      <c r="CG28" s="32">
        <f t="shared" si="31"/>
        <v>0</v>
      </c>
      <c r="CH28" s="34">
        <f t="shared" si="32"/>
        <v>0</v>
      </c>
      <c r="CI28" s="32"/>
      <c r="CJ28" s="61"/>
      <c r="CK28" s="61">
        <f t="shared" si="62"/>
        <v>0</v>
      </c>
      <c r="CL28" s="32">
        <f t="shared" si="33"/>
        <v>0</v>
      </c>
      <c r="CM28" s="34">
        <f t="shared" si="34"/>
        <v>0</v>
      </c>
      <c r="CN28" s="32"/>
      <c r="CO28" s="61"/>
      <c r="CP28" s="61">
        <f t="shared" si="63"/>
        <v>0</v>
      </c>
      <c r="CQ28" s="32">
        <f t="shared" si="35"/>
        <v>0</v>
      </c>
      <c r="CR28" s="34">
        <f t="shared" si="36"/>
        <v>0</v>
      </c>
      <c r="CS28" s="32"/>
      <c r="CT28" s="61"/>
      <c r="CU28" s="61">
        <f t="shared" si="64"/>
        <v>0</v>
      </c>
      <c r="CV28" s="32">
        <f t="shared" si="37"/>
        <v>0</v>
      </c>
      <c r="CW28" s="34">
        <f t="shared" si="38"/>
        <v>0</v>
      </c>
      <c r="CX28" s="32"/>
      <c r="CY28" s="61"/>
      <c r="CZ28" s="61">
        <f t="shared" si="65"/>
        <v>0</v>
      </c>
      <c r="DA28" s="32">
        <f t="shared" si="39"/>
        <v>0</v>
      </c>
      <c r="DB28" s="34">
        <f t="shared" si="40"/>
        <v>0</v>
      </c>
      <c r="DC28" s="32"/>
      <c r="DD28" s="61"/>
      <c r="DE28" s="61">
        <f t="shared" si="66"/>
        <v>0</v>
      </c>
      <c r="DF28" s="32">
        <f t="shared" si="41"/>
        <v>0</v>
      </c>
      <c r="DG28" s="34">
        <f t="shared" si="42"/>
        <v>0</v>
      </c>
      <c r="DH28" s="32"/>
      <c r="DI28" s="61"/>
      <c r="DJ28" s="61">
        <f t="shared" si="67"/>
        <v>0</v>
      </c>
      <c r="DK28" s="32">
        <f t="shared" si="43"/>
        <v>0</v>
      </c>
      <c r="DL28" s="34">
        <f t="shared" si="44"/>
        <v>0</v>
      </c>
      <c r="DM28" s="32"/>
      <c r="DN28" s="61"/>
      <c r="DO28" s="61">
        <f t="shared" si="68"/>
        <v>0</v>
      </c>
      <c r="DP28" s="32">
        <f t="shared" si="45"/>
        <v>0</v>
      </c>
      <c r="DQ28" s="34">
        <f t="shared" si="46"/>
        <v>0</v>
      </c>
      <c r="DR28" s="32"/>
      <c r="DS28" s="47"/>
      <c r="DT28" s="47"/>
      <c r="DU28" s="32"/>
      <c r="DV28" s="34"/>
      <c r="DW28" s="32"/>
      <c r="DX28" s="32"/>
      <c r="DY28" s="32"/>
      <c r="DZ28" s="32">
        <f t="shared" si="47"/>
        <v>0</v>
      </c>
      <c r="EA28" s="32"/>
    </row>
    <row r="29" spans="1:131" ht="12.75">
      <c r="A29" s="19">
        <v>46296</v>
      </c>
      <c r="E29" s="34">
        <f t="shared" si="0"/>
        <v>0</v>
      </c>
      <c r="H29" s="47">
        <f>'2006A Academic '!H29</f>
        <v>0</v>
      </c>
      <c r="I29" s="47">
        <f>'2006A Academic '!I29</f>
        <v>0</v>
      </c>
      <c r="J29" s="47">
        <f t="shared" si="1"/>
        <v>0</v>
      </c>
      <c r="K29" s="47">
        <f>'2006A Academic '!K29</f>
        <v>0</v>
      </c>
      <c r="M29" s="47">
        <f t="shared" si="2"/>
        <v>0</v>
      </c>
      <c r="N29" s="39">
        <f t="shared" si="3"/>
        <v>0</v>
      </c>
      <c r="O29" s="47">
        <f t="shared" si="4"/>
        <v>0</v>
      </c>
      <c r="P29" s="39">
        <f t="shared" si="3"/>
        <v>0</v>
      </c>
      <c r="R29" s="61">
        <f t="shared" si="69"/>
        <v>0</v>
      </c>
      <c r="S29" s="61">
        <f t="shared" si="48"/>
        <v>0</v>
      </c>
      <c r="T29" s="20">
        <f t="shared" si="5"/>
        <v>0</v>
      </c>
      <c r="U29" s="34">
        <f t="shared" si="6"/>
        <v>0</v>
      </c>
      <c r="W29" s="61">
        <f>$C29*Y$7</f>
        <v>0</v>
      </c>
      <c r="X29" s="61">
        <f t="shared" si="49"/>
        <v>0</v>
      </c>
      <c r="Y29" s="20">
        <f t="shared" si="7"/>
        <v>0</v>
      </c>
      <c r="Z29" s="34">
        <f t="shared" si="8"/>
        <v>0</v>
      </c>
      <c r="AB29" s="61">
        <f>$C29*AD$7</f>
        <v>0</v>
      </c>
      <c r="AC29" s="61">
        <f t="shared" si="50"/>
        <v>0</v>
      </c>
      <c r="AD29" s="32">
        <f t="shared" si="9"/>
        <v>0</v>
      </c>
      <c r="AE29" s="34">
        <f t="shared" si="10"/>
        <v>0</v>
      </c>
      <c r="AG29" s="61">
        <f>$C29*AI$7</f>
        <v>0</v>
      </c>
      <c r="AH29" s="61">
        <f t="shared" si="51"/>
        <v>0</v>
      </c>
      <c r="AI29" s="20">
        <f t="shared" si="11"/>
        <v>0</v>
      </c>
      <c r="AJ29" s="34">
        <f t="shared" si="12"/>
        <v>0</v>
      </c>
      <c r="AL29" s="61">
        <f>$C29*AN$7</f>
        <v>0</v>
      </c>
      <c r="AM29" s="61">
        <f t="shared" si="52"/>
        <v>0</v>
      </c>
      <c r="AN29" s="20">
        <f t="shared" si="13"/>
        <v>0</v>
      </c>
      <c r="AO29" s="34">
        <f t="shared" si="14"/>
        <v>0</v>
      </c>
      <c r="AP29" s="32"/>
      <c r="AQ29" s="61">
        <f>$C29*AS$7</f>
        <v>0</v>
      </c>
      <c r="AR29" s="61">
        <f t="shared" si="53"/>
        <v>0</v>
      </c>
      <c r="AS29" s="20">
        <f t="shared" si="15"/>
        <v>0</v>
      </c>
      <c r="AT29" s="34">
        <f t="shared" si="16"/>
        <v>0</v>
      </c>
      <c r="AU29" s="32"/>
      <c r="AV29" s="61">
        <f>$C29*AX$7</f>
        <v>0</v>
      </c>
      <c r="AW29" s="61">
        <f t="shared" si="54"/>
        <v>0</v>
      </c>
      <c r="AX29" s="32">
        <f t="shared" si="17"/>
        <v>0</v>
      </c>
      <c r="AY29" s="34">
        <f t="shared" si="18"/>
        <v>0</v>
      </c>
      <c r="AZ29" s="32"/>
      <c r="BA29" s="61">
        <f>$C29*BC$7</f>
        <v>0</v>
      </c>
      <c r="BB29" s="61">
        <f t="shared" si="55"/>
        <v>0</v>
      </c>
      <c r="BC29" s="32">
        <f t="shared" si="19"/>
        <v>0</v>
      </c>
      <c r="BD29" s="34">
        <f t="shared" si="20"/>
        <v>0</v>
      </c>
      <c r="BE29" s="32"/>
      <c r="BF29" s="61">
        <f>$C29*BH$7</f>
        <v>0</v>
      </c>
      <c r="BG29" s="61">
        <f t="shared" si="56"/>
        <v>0</v>
      </c>
      <c r="BH29" s="32">
        <f t="shared" si="21"/>
        <v>0</v>
      </c>
      <c r="BI29" s="34">
        <f t="shared" si="22"/>
        <v>0</v>
      </c>
      <c r="BJ29" s="32"/>
      <c r="BK29" s="61">
        <f>$C29*BM$7</f>
        <v>0</v>
      </c>
      <c r="BL29" s="61">
        <f t="shared" si="57"/>
        <v>0</v>
      </c>
      <c r="BM29" s="32">
        <f t="shared" si="23"/>
        <v>0</v>
      </c>
      <c r="BN29" s="34">
        <f t="shared" si="24"/>
        <v>0</v>
      </c>
      <c r="BO29" s="32"/>
      <c r="BP29" s="61">
        <f>$C29*BR$7</f>
        <v>0</v>
      </c>
      <c r="BQ29" s="61">
        <f t="shared" si="58"/>
        <v>0</v>
      </c>
      <c r="BR29" s="32">
        <f t="shared" si="25"/>
        <v>0</v>
      </c>
      <c r="BS29" s="34">
        <f t="shared" si="26"/>
        <v>0</v>
      </c>
      <c r="BT29" s="32"/>
      <c r="BU29" s="61">
        <f>$C29*BW$7</f>
        <v>0</v>
      </c>
      <c r="BV29" s="61">
        <f t="shared" si="59"/>
        <v>0</v>
      </c>
      <c r="BW29" s="32">
        <f t="shared" si="27"/>
        <v>0</v>
      </c>
      <c r="BX29" s="34">
        <f t="shared" si="28"/>
        <v>0</v>
      </c>
      <c r="BY29" s="32"/>
      <c r="BZ29" s="61">
        <f>$C29*CB$7</f>
        <v>0</v>
      </c>
      <c r="CA29" s="61">
        <f t="shared" si="60"/>
        <v>0</v>
      </c>
      <c r="CB29" s="32">
        <f t="shared" si="29"/>
        <v>0</v>
      </c>
      <c r="CC29" s="34">
        <f t="shared" si="30"/>
        <v>0</v>
      </c>
      <c r="CD29" s="32"/>
      <c r="CE29" s="61">
        <f>$C29*CG$7</f>
        <v>0</v>
      </c>
      <c r="CF29" s="61">
        <f t="shared" si="61"/>
        <v>0</v>
      </c>
      <c r="CG29" s="32">
        <f t="shared" si="31"/>
        <v>0</v>
      </c>
      <c r="CH29" s="34">
        <f t="shared" si="32"/>
        <v>0</v>
      </c>
      <c r="CI29" s="32"/>
      <c r="CJ29" s="61">
        <f>$C29*CL$7</f>
        <v>0</v>
      </c>
      <c r="CK29" s="61">
        <f t="shared" si="62"/>
        <v>0</v>
      </c>
      <c r="CL29" s="32">
        <f t="shared" si="33"/>
        <v>0</v>
      </c>
      <c r="CM29" s="34">
        <f t="shared" si="34"/>
        <v>0</v>
      </c>
      <c r="CN29" s="32"/>
      <c r="CO29" s="61">
        <f>$C29*CQ$7</f>
        <v>0</v>
      </c>
      <c r="CP29" s="61">
        <f t="shared" si="63"/>
        <v>0</v>
      </c>
      <c r="CQ29" s="32">
        <f t="shared" si="35"/>
        <v>0</v>
      </c>
      <c r="CR29" s="34">
        <f t="shared" si="36"/>
        <v>0</v>
      </c>
      <c r="CS29" s="32"/>
      <c r="CT29" s="61">
        <f>$C29*CV$7</f>
        <v>0</v>
      </c>
      <c r="CU29" s="61">
        <f t="shared" si="64"/>
        <v>0</v>
      </c>
      <c r="CV29" s="32">
        <f t="shared" si="37"/>
        <v>0</v>
      </c>
      <c r="CW29" s="34">
        <f t="shared" si="38"/>
        <v>0</v>
      </c>
      <c r="CX29" s="32"/>
      <c r="CY29" s="61">
        <f>$C29*DA$7</f>
        <v>0</v>
      </c>
      <c r="CZ29" s="61">
        <f t="shared" si="65"/>
        <v>0</v>
      </c>
      <c r="DA29" s="32">
        <f t="shared" si="39"/>
        <v>0</v>
      </c>
      <c r="DB29" s="34">
        <f t="shared" si="40"/>
        <v>0</v>
      </c>
      <c r="DC29" s="32"/>
      <c r="DD29" s="61">
        <f>$C29*DF$7</f>
        <v>0</v>
      </c>
      <c r="DE29" s="61">
        <f t="shared" si="66"/>
        <v>0</v>
      </c>
      <c r="DF29" s="32">
        <f t="shared" si="41"/>
        <v>0</v>
      </c>
      <c r="DG29" s="34">
        <f t="shared" si="42"/>
        <v>0</v>
      </c>
      <c r="DH29" s="32"/>
      <c r="DI29" s="61">
        <f>$C29*DK$7</f>
        <v>0</v>
      </c>
      <c r="DJ29" s="61">
        <f t="shared" si="67"/>
        <v>0</v>
      </c>
      <c r="DK29" s="32">
        <f t="shared" si="43"/>
        <v>0</v>
      </c>
      <c r="DL29" s="34">
        <f t="shared" si="44"/>
        <v>0</v>
      </c>
      <c r="DM29" s="32"/>
      <c r="DN29" s="61">
        <f>$C29*DP$7</f>
        <v>0</v>
      </c>
      <c r="DO29" s="61">
        <f t="shared" si="68"/>
        <v>0</v>
      </c>
      <c r="DP29" s="32">
        <f t="shared" si="45"/>
        <v>0</v>
      </c>
      <c r="DQ29" s="34">
        <f t="shared" si="46"/>
        <v>0</v>
      </c>
      <c r="DR29" s="32"/>
      <c r="DS29" s="47"/>
      <c r="DT29" s="47"/>
      <c r="DU29" s="32"/>
      <c r="DV29" s="34"/>
      <c r="DW29" s="32"/>
      <c r="DX29" s="32"/>
      <c r="DY29" s="32"/>
      <c r="DZ29" s="32"/>
      <c r="EA29" s="32"/>
    </row>
    <row r="30" spans="3:131" ht="12.75">
      <c r="C30" s="39"/>
      <c r="D30" s="39"/>
      <c r="E30" s="39"/>
      <c r="F30" s="39"/>
      <c r="K30" s="39"/>
      <c r="P30" s="39"/>
      <c r="R30" s="20"/>
      <c r="S30" s="20"/>
      <c r="T30" s="20"/>
      <c r="U30" s="39"/>
      <c r="W30" s="20"/>
      <c r="X30" s="20"/>
      <c r="Y30" s="20"/>
      <c r="Z30" s="39"/>
      <c r="AE30" s="39"/>
      <c r="AG30" s="20"/>
      <c r="AH30" s="20"/>
      <c r="AI30" s="20"/>
      <c r="AJ30" s="39"/>
      <c r="AL30" s="20"/>
      <c r="AM30" s="20"/>
      <c r="AN30" s="20"/>
      <c r="AO30" s="39"/>
      <c r="AP30" s="32"/>
      <c r="AQ30" s="20"/>
      <c r="AR30" s="20"/>
      <c r="AS30" s="20"/>
      <c r="AT30" s="39"/>
      <c r="AU30" s="32"/>
      <c r="AV30" s="32"/>
      <c r="AW30" s="32"/>
      <c r="AX30" s="32"/>
      <c r="AY30" s="39"/>
      <c r="AZ30" s="32"/>
      <c r="BA30" s="32"/>
      <c r="BB30" s="32"/>
      <c r="BC30" s="32"/>
      <c r="BD30" s="39"/>
      <c r="BE30" s="32"/>
      <c r="BF30" s="32"/>
      <c r="BG30" s="32"/>
      <c r="BH30" s="32"/>
      <c r="BI30" s="39"/>
      <c r="BJ30" s="32"/>
      <c r="BK30" s="32"/>
      <c r="BL30" s="32"/>
      <c r="BM30" s="32"/>
      <c r="BN30" s="39"/>
      <c r="BO30" s="32"/>
      <c r="BP30" s="32"/>
      <c r="BQ30" s="32"/>
      <c r="BR30" s="32"/>
      <c r="BS30" s="39"/>
      <c r="BT30" s="32"/>
      <c r="BU30" s="32"/>
      <c r="BV30" s="32"/>
      <c r="BW30" s="32"/>
      <c r="BX30" s="39"/>
      <c r="BY30" s="32"/>
      <c r="BZ30" s="32"/>
      <c r="CA30" s="32"/>
      <c r="CB30" s="32"/>
      <c r="CC30" s="39"/>
      <c r="CD30" s="32"/>
      <c r="CE30" s="32"/>
      <c r="CF30" s="32"/>
      <c r="CG30" s="32"/>
      <c r="CH30" s="39"/>
      <c r="CI30" s="32"/>
      <c r="CJ30" s="32"/>
      <c r="CK30" s="32"/>
      <c r="CL30" s="32"/>
      <c r="CM30" s="39"/>
      <c r="CN30" s="32"/>
      <c r="CO30" s="32"/>
      <c r="CP30" s="32"/>
      <c r="CQ30" s="32"/>
      <c r="CR30" s="39"/>
      <c r="CS30" s="32"/>
      <c r="CT30" s="32"/>
      <c r="CU30" s="32"/>
      <c r="CV30" s="32"/>
      <c r="CW30" s="39"/>
      <c r="CX30" s="32"/>
      <c r="CY30" s="32"/>
      <c r="CZ30" s="32"/>
      <c r="DA30" s="32"/>
      <c r="DB30" s="39"/>
      <c r="DC30" s="32"/>
      <c r="DD30" s="32"/>
      <c r="DE30" s="32"/>
      <c r="DF30" s="32"/>
      <c r="DG30" s="39"/>
      <c r="DH30" s="32"/>
      <c r="DI30" s="32"/>
      <c r="DJ30" s="32"/>
      <c r="DK30" s="32"/>
      <c r="DL30" s="39"/>
      <c r="DM30" s="32"/>
      <c r="DN30" s="32"/>
      <c r="DO30" s="32"/>
      <c r="DP30" s="32"/>
      <c r="DQ30" s="39"/>
      <c r="DR30" s="32"/>
      <c r="DS30" s="32"/>
      <c r="DT30" s="32"/>
      <c r="DU30" s="32"/>
      <c r="DV30" s="39"/>
      <c r="DW30" s="32"/>
      <c r="DX30" s="32"/>
      <c r="DY30" s="32"/>
      <c r="DZ30" s="32"/>
      <c r="EA30" s="32"/>
    </row>
    <row r="31" spans="1:131" ht="13.5" thickBot="1">
      <c r="A31" s="30" t="s">
        <v>4</v>
      </c>
      <c r="C31" s="46">
        <f>SUM(C9:C30)</f>
        <v>7650000</v>
      </c>
      <c r="D31" s="46">
        <f>SUM(D9:D30)</f>
        <v>387250</v>
      </c>
      <c r="E31" s="46">
        <f>SUM(E9:E30)</f>
        <v>8037250</v>
      </c>
      <c r="F31" s="46">
        <f>SUM(F9:F30)</f>
        <v>167577</v>
      </c>
      <c r="H31" s="46">
        <f>SUM(H9:H29)</f>
        <v>1288504.0350000001</v>
      </c>
      <c r="I31" s="46">
        <f>SUM(I9:I29)</f>
        <v>65225.253274999995</v>
      </c>
      <c r="J31" s="46">
        <f>SUM(J9:J29)</f>
        <v>1353729.2882750002</v>
      </c>
      <c r="K31" s="46">
        <f>SUM(K9:K30)</f>
        <v>28225.312506300004</v>
      </c>
      <c r="M31" s="46">
        <f>SUM(M9:M30)</f>
        <v>6361496.7299999995</v>
      </c>
      <c r="N31" s="46">
        <f>SUM(N9:N30)</f>
        <v>322024.78545</v>
      </c>
      <c r="O31" s="46">
        <f>SUM(O9:O30)</f>
        <v>6683521.51545</v>
      </c>
      <c r="P31" s="46">
        <f>SUM(P9:P30)</f>
        <v>139351.70425140002</v>
      </c>
      <c r="R31" s="46">
        <f>SUM(R9:R30)</f>
        <v>21405.465</v>
      </c>
      <c r="S31" s="46">
        <f>SUM(S9:S30)</f>
        <v>1083.564225</v>
      </c>
      <c r="T31" s="46">
        <f>SUM(T9:T30)</f>
        <v>22489.029225</v>
      </c>
      <c r="U31" s="46">
        <f>SUM(U9:U30)</f>
        <v>468.89720370000003</v>
      </c>
      <c r="W31" s="46">
        <f>SUM(W9:W30)</f>
        <v>115208.23499999999</v>
      </c>
      <c r="X31" s="46">
        <f>SUM(X9:X30)</f>
        <v>5831.946274999998</v>
      </c>
      <c r="Y31" s="46">
        <f>SUM(Y9:Y30)</f>
        <v>121040.18127499998</v>
      </c>
      <c r="Z31" s="46">
        <f>SUM(Z9:Z30)</f>
        <v>2523.6928623</v>
      </c>
      <c r="AB31" s="46">
        <f>SUM(AB9:AB30)</f>
        <v>180592.78499999997</v>
      </c>
      <c r="AC31" s="46">
        <f>SUM(AC9:AC30)</f>
        <v>9141.772025</v>
      </c>
      <c r="AD31" s="46">
        <f>SUM(AD9:AD30)</f>
        <v>189734.557025</v>
      </c>
      <c r="AE31" s="46">
        <f>SUM(AE9:AE30)</f>
        <v>3955.9734813000005</v>
      </c>
      <c r="AG31" s="46">
        <f>SUM(AG9:AG30)</f>
        <v>37493.415</v>
      </c>
      <c r="AH31" s="46">
        <f>SUM(AH9:AH30)</f>
        <v>1897.9509750000002</v>
      </c>
      <c r="AI31" s="46">
        <f>SUM(AI9:AI30)</f>
        <v>39391.36597499999</v>
      </c>
      <c r="AJ31" s="46">
        <f>SUM(AJ9:AJ30)</f>
        <v>821.3116347</v>
      </c>
      <c r="AL31" s="46">
        <f>SUM(AL9:AL30)</f>
        <v>2274365.655</v>
      </c>
      <c r="AM31" s="46">
        <f>SUM(AM9:AM30)</f>
        <v>115130.47057499998</v>
      </c>
      <c r="AN31" s="46">
        <f>SUM(AN9:AN30)</f>
        <v>2389496.1255749995</v>
      </c>
      <c r="AO31" s="46">
        <f>SUM(AO9:AO30)</f>
        <v>49821.094557899996</v>
      </c>
      <c r="AP31" s="32"/>
      <c r="AQ31" s="46">
        <f>SUM(AQ9:AQ30)</f>
        <v>12630.915</v>
      </c>
      <c r="AR31" s="46">
        <f>SUM(AR9:AR30)</f>
        <v>639.388475</v>
      </c>
      <c r="AS31" s="46">
        <f>SUM(AS9:AS30)</f>
        <v>13270.303474999999</v>
      </c>
      <c r="AT31" s="46">
        <f>SUM(AT9:AT30)</f>
        <v>276.68638469999996</v>
      </c>
      <c r="AU31" s="32"/>
      <c r="AV31" s="46">
        <f>SUM(AV9:AV30)</f>
        <v>43985.205</v>
      </c>
      <c r="AW31" s="46">
        <f>SUM(AW9:AW30)</f>
        <v>2226.571325</v>
      </c>
      <c r="AX31" s="46">
        <f>SUM(AX9:AX30)</f>
        <v>46211.776325</v>
      </c>
      <c r="AY31" s="46">
        <f>SUM(AY9:AY30)</f>
        <v>963.5174769</v>
      </c>
      <c r="AZ31" s="32"/>
      <c r="BA31" s="46">
        <f>SUM(BA9:BA30)</f>
        <v>336480.66000000003</v>
      </c>
      <c r="BB31" s="46">
        <f>SUM(BB9:BB30)</f>
        <v>17032.958899999998</v>
      </c>
      <c r="BC31" s="46">
        <f>SUM(BC9:BC30)</f>
        <v>353513.6189</v>
      </c>
      <c r="BD31" s="46">
        <f>SUM(BD9:BD30)</f>
        <v>7370.7737988</v>
      </c>
      <c r="BE31" s="32"/>
      <c r="BF31" s="46">
        <f>SUM(BF9:BF30)</f>
        <v>106003.755</v>
      </c>
      <c r="BG31" s="46">
        <f>SUM(BG9:BG30)</f>
        <v>5366.0070749999995</v>
      </c>
      <c r="BH31" s="46">
        <f>SUM(BH9:BH30)</f>
        <v>111369.76207499999</v>
      </c>
      <c r="BI31" s="46">
        <f>SUM(BI9:BI30)</f>
        <v>2322.0642159</v>
      </c>
      <c r="BJ31" s="32"/>
      <c r="BK31" s="46">
        <f>SUM(BK9:BK30)</f>
        <v>479635.11</v>
      </c>
      <c r="BL31" s="46">
        <f>SUM(BL9:BL30)</f>
        <v>24279.56815</v>
      </c>
      <c r="BM31" s="46">
        <f>SUM(BM9:BM30)</f>
        <v>503914.67815000005</v>
      </c>
      <c r="BN31" s="46">
        <f>SUM(BN9:BN30)</f>
        <v>10506.6421998</v>
      </c>
      <c r="BO31" s="32"/>
      <c r="BP31" s="46">
        <f>SUM(BP9:BP30)</f>
        <v>136.17</v>
      </c>
      <c r="BQ31" s="46">
        <f>SUM(BQ9:BQ30)</f>
        <v>6.89305</v>
      </c>
      <c r="BR31" s="46">
        <f>SUM(BR9:BR30)</f>
        <v>143.06304999999998</v>
      </c>
      <c r="BS31" s="46">
        <f>SUM(BS9:BS30)</f>
        <v>2.9828705999999996</v>
      </c>
      <c r="BT31" s="32"/>
      <c r="BU31" s="46">
        <f>SUM(BU9:BU30)</f>
        <v>61697.24999999999</v>
      </c>
      <c r="BV31" s="46">
        <f>SUM(BV9:BV30)</f>
        <v>3123.1712499999994</v>
      </c>
      <c r="BW31" s="46">
        <f>SUM(BW9:BW30)</f>
        <v>64820.42124999999</v>
      </c>
      <c r="BX31" s="46">
        <f>SUM(BX9:BX30)</f>
        <v>1351.5085049999998</v>
      </c>
      <c r="BY31" s="32"/>
      <c r="BZ31" s="46">
        <f>SUM(BZ9:BZ30)</f>
        <v>34458.66</v>
      </c>
      <c r="CA31" s="46">
        <f>SUM(CA9:CA30)</f>
        <v>1744.3289000000002</v>
      </c>
      <c r="CB31" s="46">
        <f>SUM(CB9:CB30)</f>
        <v>36202.9889</v>
      </c>
      <c r="CC31" s="46">
        <f>SUM(CC9:CC30)</f>
        <v>754.8338388000001</v>
      </c>
      <c r="CD31" s="32"/>
      <c r="CE31" s="46">
        <f>SUM(CE9:CE30)</f>
        <v>23047.155</v>
      </c>
      <c r="CF31" s="46">
        <f>SUM(CF9:CF30)</f>
        <v>1166.668075</v>
      </c>
      <c r="CG31" s="46">
        <f>SUM(CG9:CG30)</f>
        <v>24213.823075</v>
      </c>
      <c r="CH31" s="46">
        <f>SUM(CH9:CH30)</f>
        <v>504.8592279</v>
      </c>
      <c r="CI31" s="32"/>
      <c r="CJ31" s="46">
        <f>SUM(CJ9:CJ30)</f>
        <v>25458.434999999998</v>
      </c>
      <c r="CK31" s="46">
        <f>SUM(CK9:CK30)</f>
        <v>1288.729275</v>
      </c>
      <c r="CL31" s="46">
        <f>SUM(CL9:CL30)</f>
        <v>26747.164275000003</v>
      </c>
      <c r="CM31" s="46">
        <f>SUM(CM9:CM30)</f>
        <v>557.6794983</v>
      </c>
      <c r="CN31" s="32"/>
      <c r="CO31" s="46">
        <f>SUM(CO9:CO30)</f>
        <v>310263.345</v>
      </c>
      <c r="CP31" s="46">
        <f>SUM(CP9:CP30)</f>
        <v>15705.814424999997</v>
      </c>
      <c r="CQ31" s="46">
        <f>SUM(CQ9:CQ30)</f>
        <v>325969.15942499996</v>
      </c>
      <c r="CR31" s="46">
        <f>SUM(CR9:CR30)</f>
        <v>6796.4706621000005</v>
      </c>
      <c r="CS31" s="32"/>
      <c r="CT31" s="46">
        <f>SUM(CT9:CT30)</f>
        <v>46309.275</v>
      </c>
      <c r="CU31" s="46">
        <f>SUM(CU9:CU30)</f>
        <v>2344.217875</v>
      </c>
      <c r="CV31" s="46">
        <f>SUM(CV9:CV30)</f>
        <v>48653.492874999996</v>
      </c>
      <c r="CW31" s="46">
        <f>SUM(CW9:CW30)</f>
        <v>1014.4273694999999</v>
      </c>
      <c r="CX31" s="32"/>
      <c r="CY31" s="46">
        <f>SUM(CY9:CY30)</f>
        <v>908163.6300000001</v>
      </c>
      <c r="CZ31" s="46">
        <f>SUM(CZ9:CZ30)</f>
        <v>45972.07395</v>
      </c>
      <c r="DA31" s="46">
        <f>SUM(DA9:DA30)</f>
        <v>954135.70395</v>
      </c>
      <c r="DB31" s="46">
        <f>SUM(DB9:DB30)</f>
        <v>19893.7694934</v>
      </c>
      <c r="DC31" s="39"/>
      <c r="DD31" s="46">
        <f>SUM(DD9:DD30)</f>
        <v>46572.435</v>
      </c>
      <c r="DE31" s="46">
        <f>SUM(DE9:DE30)</f>
        <v>2357.539275</v>
      </c>
      <c r="DF31" s="46">
        <f>SUM(DF9:DF30)</f>
        <v>48929.974275</v>
      </c>
      <c r="DG31" s="46">
        <f>SUM(DG9:DG30)</f>
        <v>1020.1920183000001</v>
      </c>
      <c r="DH31" s="32"/>
      <c r="DI31" s="46">
        <f>SUM(DI9:DI30)</f>
        <v>116771.13</v>
      </c>
      <c r="DJ31" s="46">
        <f>SUM(DJ9:DJ30)</f>
        <v>5911.06145</v>
      </c>
      <c r="DK31" s="46">
        <f>SUM(DK9:DK30)</f>
        <v>122682.19145000001</v>
      </c>
      <c r="DL31" s="46">
        <f>SUM(DL9:DL30)</f>
        <v>2557.9288434</v>
      </c>
      <c r="DM31" s="32"/>
      <c r="DN31" s="46">
        <f>SUM(DN9:DN30)</f>
        <v>1180818.045</v>
      </c>
      <c r="DO31" s="46">
        <f>SUM(DO9:DO30)</f>
        <v>59774.089925</v>
      </c>
      <c r="DP31" s="46">
        <f>SUM(DP9:DP30)</f>
        <v>1240592.134925</v>
      </c>
      <c r="DQ31" s="46">
        <f>SUM(DQ9:DQ30)</f>
        <v>25866.398108100002</v>
      </c>
      <c r="DR31" s="32"/>
      <c r="DS31" s="46">
        <f>SUM(DS9:DS30)</f>
        <v>0</v>
      </c>
      <c r="DT31" s="46">
        <f>SUM(DT9:DT30)</f>
        <v>0</v>
      </c>
      <c r="DU31" s="46">
        <f>SUM(DU9:DU30)</f>
        <v>0</v>
      </c>
      <c r="DV31" s="46">
        <f>SUM(DV9:DV30)</f>
        <v>0</v>
      </c>
      <c r="DW31" s="32"/>
      <c r="DX31" s="46">
        <f>SUM(DX9:DX30)</f>
        <v>0</v>
      </c>
      <c r="DY31" s="46">
        <f>SUM(DY9:DY30)</f>
        <v>0</v>
      </c>
      <c r="DZ31" s="46">
        <f>SUM(DZ9:DZ30)</f>
        <v>0</v>
      </c>
      <c r="EA31" s="39"/>
    </row>
    <row r="32" spans="18:46" ht="13.5" thickTop="1">
      <c r="R32" s="20"/>
      <c r="S32" s="20"/>
      <c r="T32" s="20"/>
      <c r="U32" s="20"/>
      <c r="W32" s="20"/>
      <c r="X32" s="20"/>
      <c r="Y32" s="20"/>
      <c r="Z32" s="20"/>
      <c r="AG32" s="20"/>
      <c r="AH32" s="20"/>
      <c r="AI32" s="20"/>
      <c r="AJ32" s="20"/>
      <c r="AL32" s="20"/>
      <c r="AM32" s="20"/>
      <c r="AN32" s="20"/>
      <c r="AO32" s="20"/>
      <c r="AQ32" s="20"/>
      <c r="AR32" s="20"/>
      <c r="AS32" s="20"/>
      <c r="AT32" s="20"/>
    </row>
    <row r="33" spans="3:46" ht="12.75">
      <c r="C33" s="34">
        <f>H31+M31</f>
        <v>7650000.765</v>
      </c>
      <c r="D33" s="34">
        <f>I31+N31</f>
        <v>387250.038725</v>
      </c>
      <c r="F33" s="34">
        <f>K31+P31</f>
        <v>167577.0167577</v>
      </c>
      <c r="R33" s="20"/>
      <c r="S33" s="20"/>
      <c r="T33" s="20"/>
      <c r="U33" s="20"/>
      <c r="W33" s="20"/>
      <c r="X33" s="20"/>
      <c r="Y33" s="20"/>
      <c r="Z33" s="20"/>
      <c r="AG33" s="20"/>
      <c r="AH33" s="20"/>
      <c r="AI33" s="20"/>
      <c r="AJ33" s="20"/>
      <c r="AL33" s="20"/>
      <c r="AM33" s="20"/>
      <c r="AN33" s="20"/>
      <c r="AO33" s="20"/>
      <c r="AQ33" s="20"/>
      <c r="AR33" s="20"/>
      <c r="AS33" s="20"/>
      <c r="AT33" s="20"/>
    </row>
    <row r="34" spans="18:46" ht="12.75">
      <c r="R34" s="20"/>
      <c r="S34" s="20"/>
      <c r="T34" s="20"/>
      <c r="U34" s="20"/>
      <c r="W34" s="20"/>
      <c r="X34" s="20"/>
      <c r="Y34" s="20"/>
      <c r="Z34" s="20"/>
      <c r="AG34" s="20"/>
      <c r="AH34" s="20"/>
      <c r="AI34" s="20"/>
      <c r="AJ34" s="20"/>
      <c r="AL34" s="20"/>
      <c r="AM34" s="20"/>
      <c r="AN34" s="20"/>
      <c r="AO34" s="20"/>
      <c r="AQ34" s="20"/>
      <c r="AR34" s="20"/>
      <c r="AS34" s="20"/>
      <c r="AT34" s="20"/>
    </row>
    <row r="35" spans="18:46" ht="12.75">
      <c r="R35" s="20"/>
      <c r="S35" s="20"/>
      <c r="T35" s="20"/>
      <c r="U35" s="20"/>
      <c r="W35" s="20"/>
      <c r="X35" s="20"/>
      <c r="Y35" s="20"/>
      <c r="Z35" s="20"/>
      <c r="AG35" s="20"/>
      <c r="AH35" s="20"/>
      <c r="AI35" s="20"/>
      <c r="AJ35" s="20"/>
      <c r="AL35" s="20"/>
      <c r="AM35" s="20"/>
      <c r="AN35" s="20"/>
      <c r="AO35" s="20"/>
      <c r="AQ35" s="20"/>
      <c r="AR35" s="20"/>
      <c r="AS35" s="20"/>
      <c r="AT35" s="20"/>
    </row>
    <row r="36" spans="18:46" ht="12.75">
      <c r="R36" s="20"/>
      <c r="S36" s="20"/>
      <c r="T36" s="20"/>
      <c r="U36" s="20"/>
      <c r="W36" s="20"/>
      <c r="X36" s="20"/>
      <c r="Y36" s="20"/>
      <c r="Z36" s="20"/>
      <c r="AG36" s="20"/>
      <c r="AH36" s="20"/>
      <c r="AI36" s="20"/>
      <c r="AJ36" s="20"/>
      <c r="AL36" s="20"/>
      <c r="AM36" s="20"/>
      <c r="AN36" s="20"/>
      <c r="AO36" s="20"/>
      <c r="AQ36" s="20"/>
      <c r="AR36" s="20"/>
      <c r="AS36" s="20"/>
      <c r="AT36" s="20"/>
    </row>
    <row r="37" spans="18:46" ht="12.75">
      <c r="R37" s="20"/>
      <c r="S37" s="20"/>
      <c r="T37" s="20"/>
      <c r="U37" s="20"/>
      <c r="W37" s="20"/>
      <c r="X37" s="20"/>
      <c r="Y37" s="20"/>
      <c r="Z37" s="20"/>
      <c r="AG37" s="20"/>
      <c r="AH37" s="20"/>
      <c r="AI37" s="20"/>
      <c r="AJ37" s="20"/>
      <c r="AL37" s="20"/>
      <c r="AM37" s="20"/>
      <c r="AN37" s="20"/>
      <c r="AO37" s="20"/>
      <c r="AQ37" s="20"/>
      <c r="AR37" s="20"/>
      <c r="AS37" s="20"/>
      <c r="AT37" s="20"/>
    </row>
    <row r="38" spans="18:46" ht="12.75">
      <c r="R38" s="20"/>
      <c r="S38" s="20"/>
      <c r="T38" s="20"/>
      <c r="U38" s="20"/>
      <c r="W38" s="20"/>
      <c r="X38" s="20"/>
      <c r="Y38" s="20"/>
      <c r="Z38" s="20"/>
      <c r="AG38" s="20"/>
      <c r="AH38" s="20"/>
      <c r="AI38" s="20"/>
      <c r="AJ38" s="20"/>
      <c r="AL38" s="20"/>
      <c r="AM38" s="20"/>
      <c r="AN38" s="20"/>
      <c r="AO38" s="20"/>
      <c r="AQ38" s="20"/>
      <c r="AR38" s="20"/>
      <c r="AS38" s="20"/>
      <c r="AT38" s="20"/>
    </row>
    <row r="39" spans="18:46" ht="12.75">
      <c r="R39" s="20"/>
      <c r="S39" s="20"/>
      <c r="T39" s="20"/>
      <c r="U39" s="20"/>
      <c r="W39" s="20"/>
      <c r="X39" s="20"/>
      <c r="Y39" s="20"/>
      <c r="Z39" s="20"/>
      <c r="AG39" s="20"/>
      <c r="AH39" s="20"/>
      <c r="AI39" s="20"/>
      <c r="AJ39" s="20"/>
      <c r="AL39" s="20"/>
      <c r="AM39" s="20"/>
      <c r="AN39" s="20"/>
      <c r="AO39" s="20"/>
      <c r="AQ39" s="20"/>
      <c r="AR39" s="20"/>
      <c r="AS39" s="20"/>
      <c r="AT39" s="20"/>
    </row>
    <row r="40" spans="18:46" ht="12.75">
      <c r="R40" s="20"/>
      <c r="S40" s="20"/>
      <c r="T40" s="20"/>
      <c r="U40" s="20"/>
      <c r="W40" s="20"/>
      <c r="X40" s="20"/>
      <c r="Y40" s="20"/>
      <c r="Z40" s="20"/>
      <c r="AG40" s="20"/>
      <c r="AH40" s="20"/>
      <c r="AI40" s="20"/>
      <c r="AJ40" s="20"/>
      <c r="AL40" s="20"/>
      <c r="AM40" s="20"/>
      <c r="AN40" s="20"/>
      <c r="AO40" s="20"/>
      <c r="AQ40" s="20"/>
      <c r="AR40" s="20"/>
      <c r="AS40" s="20"/>
      <c r="AT40" s="20"/>
    </row>
    <row r="41" spans="18:46" ht="12.75">
      <c r="R41" s="20"/>
      <c r="S41" s="20"/>
      <c r="T41" s="20"/>
      <c r="U41" s="20"/>
      <c r="W41" s="20"/>
      <c r="X41" s="20"/>
      <c r="Y41" s="20"/>
      <c r="Z41" s="20"/>
      <c r="AG41" s="20"/>
      <c r="AH41" s="20"/>
      <c r="AI41" s="20"/>
      <c r="AJ41" s="20"/>
      <c r="AL41" s="20"/>
      <c r="AM41" s="20"/>
      <c r="AN41" s="20"/>
      <c r="AO41" s="20"/>
      <c r="AQ41" s="20"/>
      <c r="AR41" s="20"/>
      <c r="AS41" s="20"/>
      <c r="AT41" s="20"/>
    </row>
    <row r="42" spans="3:46" ht="12.75">
      <c r="C42"/>
      <c r="D42"/>
      <c r="E42"/>
      <c r="F42"/>
      <c r="H42"/>
      <c r="I42"/>
      <c r="J42"/>
      <c r="K42"/>
      <c r="R42" s="20"/>
      <c r="S42" s="20"/>
      <c r="T42" s="20"/>
      <c r="U42" s="20"/>
      <c r="W42" s="20"/>
      <c r="X42" s="20"/>
      <c r="Y42" s="20"/>
      <c r="Z42" s="20"/>
      <c r="AG42" s="20"/>
      <c r="AH42" s="20"/>
      <c r="AI42" s="20"/>
      <c r="AJ42" s="20"/>
      <c r="AL42" s="20"/>
      <c r="AM42" s="20"/>
      <c r="AN42" s="20"/>
      <c r="AO42" s="20"/>
      <c r="AQ42" s="20"/>
      <c r="AR42" s="20"/>
      <c r="AS42" s="20"/>
      <c r="AT42" s="20"/>
    </row>
    <row r="43" spans="1:131" ht="12.75">
      <c r="A43"/>
      <c r="C43"/>
      <c r="D43"/>
      <c r="E43"/>
      <c r="F43"/>
      <c r="G43"/>
      <c r="H43"/>
      <c r="I43"/>
      <c r="J43"/>
      <c r="K43"/>
      <c r="L43"/>
      <c r="Q43"/>
      <c r="R43" s="20"/>
      <c r="S43" s="20"/>
      <c r="T43" s="20"/>
      <c r="U43" s="20"/>
      <c r="V43"/>
      <c r="W43" s="20"/>
      <c r="X43" s="20"/>
      <c r="Y43" s="20"/>
      <c r="Z43" s="20"/>
      <c r="AA43"/>
      <c r="AB43"/>
      <c r="AC43"/>
      <c r="AD43"/>
      <c r="AE43"/>
      <c r="AF43"/>
      <c r="AG43" s="20"/>
      <c r="AH43" s="20"/>
      <c r="AI43" s="20"/>
      <c r="AJ43" s="20"/>
      <c r="AK43"/>
      <c r="AL43" s="20"/>
      <c r="AM43" s="20"/>
      <c r="AN43" s="20"/>
      <c r="AO43" s="20"/>
      <c r="AQ43" s="20"/>
      <c r="AR43" s="20"/>
      <c r="AS43" s="20"/>
      <c r="AT43" s="20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</row>
    <row r="44" spans="1:131" ht="12.75">
      <c r="A44"/>
      <c r="C44"/>
      <c r="D44"/>
      <c r="E44"/>
      <c r="F44"/>
      <c r="G44"/>
      <c r="H44"/>
      <c r="I44"/>
      <c r="J44"/>
      <c r="K44"/>
      <c r="L44"/>
      <c r="Q44"/>
      <c r="R44" s="20"/>
      <c r="S44" s="20"/>
      <c r="T44" s="20"/>
      <c r="U44" s="20"/>
      <c r="V44"/>
      <c r="W44" s="20"/>
      <c r="X44" s="20"/>
      <c r="Y44" s="20"/>
      <c r="Z44" s="20"/>
      <c r="AA44"/>
      <c r="AB44"/>
      <c r="AC44"/>
      <c r="AD44"/>
      <c r="AE44"/>
      <c r="AF44"/>
      <c r="AG44" s="20"/>
      <c r="AH44" s="20"/>
      <c r="AI44" s="20"/>
      <c r="AJ44" s="20"/>
      <c r="AK44"/>
      <c r="AL44" s="20"/>
      <c r="AM44" s="20"/>
      <c r="AN44" s="20"/>
      <c r="AO44" s="20"/>
      <c r="AQ44" s="20"/>
      <c r="AR44" s="20"/>
      <c r="AS44" s="20"/>
      <c r="AT44" s="20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</row>
    <row r="45" spans="1:131" ht="12.75">
      <c r="A45"/>
      <c r="C45"/>
      <c r="D45"/>
      <c r="E45"/>
      <c r="F45"/>
      <c r="G45"/>
      <c r="H45"/>
      <c r="I45"/>
      <c r="J45"/>
      <c r="K45"/>
      <c r="L45"/>
      <c r="Q45"/>
      <c r="R45" s="20"/>
      <c r="S45" s="20"/>
      <c r="T45" s="20"/>
      <c r="U45" s="20"/>
      <c r="V45"/>
      <c r="W45" s="20"/>
      <c r="X45" s="20"/>
      <c r="Y45" s="20"/>
      <c r="Z45" s="20"/>
      <c r="AA45"/>
      <c r="AB45"/>
      <c r="AC45"/>
      <c r="AD45"/>
      <c r="AE45"/>
      <c r="AF45"/>
      <c r="AG45" s="20"/>
      <c r="AH45" s="20"/>
      <c r="AI45" s="20"/>
      <c r="AJ45" s="20"/>
      <c r="AK45"/>
      <c r="AL45" s="20"/>
      <c r="AM45" s="20"/>
      <c r="AN45" s="20"/>
      <c r="AO45" s="20"/>
      <c r="AQ45" s="20"/>
      <c r="AR45" s="20"/>
      <c r="AS45" s="20"/>
      <c r="AT45" s="20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</row>
    <row r="46" spans="1:131" ht="12.75">
      <c r="A46"/>
      <c r="C46"/>
      <c r="D46"/>
      <c r="E46"/>
      <c r="F46"/>
      <c r="G46"/>
      <c r="H46"/>
      <c r="I46"/>
      <c r="J46"/>
      <c r="K46"/>
      <c r="L46"/>
      <c r="Q46"/>
      <c r="R46" s="20"/>
      <c r="S46" s="20"/>
      <c r="T46" s="20"/>
      <c r="U46" s="20"/>
      <c r="V46"/>
      <c r="W46" s="20"/>
      <c r="X46" s="20"/>
      <c r="Y46" s="20"/>
      <c r="Z46" s="20"/>
      <c r="AA46"/>
      <c r="AB46"/>
      <c r="AC46"/>
      <c r="AD46"/>
      <c r="AE46"/>
      <c r="AF46"/>
      <c r="AG46" s="20"/>
      <c r="AH46" s="20"/>
      <c r="AI46" s="20"/>
      <c r="AJ46" s="20"/>
      <c r="AK46"/>
      <c r="AL46" s="20"/>
      <c r="AM46" s="20"/>
      <c r="AN46" s="20"/>
      <c r="AO46" s="20"/>
      <c r="AQ46" s="20"/>
      <c r="AR46" s="20"/>
      <c r="AS46" s="20"/>
      <c r="AT46" s="20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</row>
    <row r="47" spans="1:131" ht="12.75">
      <c r="A47"/>
      <c r="C47"/>
      <c r="D47"/>
      <c r="E47"/>
      <c r="F47"/>
      <c r="G47"/>
      <c r="H47"/>
      <c r="I47"/>
      <c r="J47"/>
      <c r="K47"/>
      <c r="L47"/>
      <c r="Q47"/>
      <c r="R47" s="20"/>
      <c r="S47" s="20"/>
      <c r="T47" s="20"/>
      <c r="U47" s="20"/>
      <c r="V47"/>
      <c r="W47" s="20"/>
      <c r="X47" s="20"/>
      <c r="Y47" s="20"/>
      <c r="Z47" s="20"/>
      <c r="AA47"/>
      <c r="AB47"/>
      <c r="AC47"/>
      <c r="AD47"/>
      <c r="AE47"/>
      <c r="AF47"/>
      <c r="AG47" s="20"/>
      <c r="AH47" s="20"/>
      <c r="AI47" s="20"/>
      <c r="AJ47" s="20"/>
      <c r="AK47"/>
      <c r="AL47" s="20"/>
      <c r="AM47" s="20"/>
      <c r="AN47" s="20"/>
      <c r="AO47" s="20"/>
      <c r="AQ47" s="20"/>
      <c r="AR47" s="20"/>
      <c r="AS47" s="20"/>
      <c r="AT47" s="20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</row>
    <row r="48" spans="1:131" ht="12.75">
      <c r="A48"/>
      <c r="C48"/>
      <c r="D48"/>
      <c r="E48"/>
      <c r="F48"/>
      <c r="G48"/>
      <c r="H48"/>
      <c r="I48"/>
      <c r="J48"/>
      <c r="K48"/>
      <c r="L48"/>
      <c r="Q48"/>
      <c r="R48" s="20"/>
      <c r="S48" s="20"/>
      <c r="T48" s="20"/>
      <c r="U48" s="20"/>
      <c r="V48"/>
      <c r="W48" s="20"/>
      <c r="X48" s="20"/>
      <c r="Y48" s="20"/>
      <c r="Z48" s="20"/>
      <c r="AA48"/>
      <c r="AB48"/>
      <c r="AC48"/>
      <c r="AD48"/>
      <c r="AE48"/>
      <c r="AF48"/>
      <c r="AG48" s="20"/>
      <c r="AH48" s="20"/>
      <c r="AI48" s="20"/>
      <c r="AJ48" s="20"/>
      <c r="AK48"/>
      <c r="AL48" s="20"/>
      <c r="AM48" s="20"/>
      <c r="AN48" s="20"/>
      <c r="AO48" s="20"/>
      <c r="AQ48" s="20"/>
      <c r="AR48" s="20"/>
      <c r="AS48" s="20"/>
      <c r="AT48" s="20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</row>
    <row r="49" spans="1:131" ht="12.75">
      <c r="A49"/>
      <c r="C49"/>
      <c r="D49"/>
      <c r="E49"/>
      <c r="F49"/>
      <c r="G49"/>
      <c r="H49"/>
      <c r="I49"/>
      <c r="J49"/>
      <c r="K49"/>
      <c r="L49"/>
      <c r="Q49"/>
      <c r="R49" s="20"/>
      <c r="S49" s="20"/>
      <c r="T49" s="20"/>
      <c r="U49" s="20"/>
      <c r="V49"/>
      <c r="W49" s="20"/>
      <c r="X49" s="20"/>
      <c r="Y49" s="20"/>
      <c r="Z49" s="20"/>
      <c r="AA49"/>
      <c r="AB49"/>
      <c r="AC49"/>
      <c r="AD49"/>
      <c r="AE49"/>
      <c r="AF49"/>
      <c r="AG49" s="20"/>
      <c r="AH49" s="20"/>
      <c r="AI49" s="20"/>
      <c r="AJ49" s="20"/>
      <c r="AK49"/>
      <c r="AL49" s="20"/>
      <c r="AM49" s="20"/>
      <c r="AN49" s="20"/>
      <c r="AO49" s="20"/>
      <c r="AQ49" s="20"/>
      <c r="AR49" s="20"/>
      <c r="AS49" s="20"/>
      <c r="AT49" s="20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</row>
    <row r="50" spans="1:131" ht="12.75">
      <c r="A50"/>
      <c r="C50"/>
      <c r="D50"/>
      <c r="E50"/>
      <c r="F50"/>
      <c r="G50"/>
      <c r="H50"/>
      <c r="I50"/>
      <c r="J50"/>
      <c r="K50"/>
      <c r="L50"/>
      <c r="Q50"/>
      <c r="R50" s="20"/>
      <c r="S50" s="20"/>
      <c r="T50" s="20"/>
      <c r="U50" s="20"/>
      <c r="V50"/>
      <c r="W50" s="20"/>
      <c r="X50" s="20"/>
      <c r="Y50" s="20"/>
      <c r="Z50" s="20"/>
      <c r="AA50"/>
      <c r="AB50"/>
      <c r="AC50"/>
      <c r="AD50"/>
      <c r="AE50"/>
      <c r="AF50"/>
      <c r="AG50" s="20"/>
      <c r="AH50" s="20"/>
      <c r="AI50" s="20"/>
      <c r="AJ50" s="20"/>
      <c r="AK50"/>
      <c r="AL50" s="20"/>
      <c r="AM50" s="20"/>
      <c r="AN50" s="20"/>
      <c r="AO50" s="20"/>
      <c r="AQ50" s="20"/>
      <c r="AR50" s="20"/>
      <c r="AS50" s="20"/>
      <c r="AT50" s="2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</row>
    <row r="51" spans="1:131" ht="12.75">
      <c r="A51"/>
      <c r="C51"/>
      <c r="D51"/>
      <c r="E51"/>
      <c r="F51"/>
      <c r="G51"/>
      <c r="H51"/>
      <c r="I51"/>
      <c r="J51"/>
      <c r="K51"/>
      <c r="L51"/>
      <c r="Q51"/>
      <c r="R51" s="20"/>
      <c r="S51" s="20"/>
      <c r="T51" s="20"/>
      <c r="U51" s="20"/>
      <c r="V51"/>
      <c r="W51" s="20"/>
      <c r="X51" s="20"/>
      <c r="Y51" s="20"/>
      <c r="Z51" s="20"/>
      <c r="AA51"/>
      <c r="AB51"/>
      <c r="AC51"/>
      <c r="AD51"/>
      <c r="AE51"/>
      <c r="AF51"/>
      <c r="AG51" s="20"/>
      <c r="AH51" s="20"/>
      <c r="AI51" s="20"/>
      <c r="AJ51" s="20"/>
      <c r="AK51"/>
      <c r="AL51" s="20"/>
      <c r="AM51" s="20"/>
      <c r="AN51" s="20"/>
      <c r="AO51" s="20"/>
      <c r="AQ51" s="20"/>
      <c r="AR51" s="20"/>
      <c r="AS51" s="20"/>
      <c r="AT51" s="20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</row>
    <row r="52" spans="1:131" ht="12.75">
      <c r="A52"/>
      <c r="C52"/>
      <c r="D52"/>
      <c r="E52"/>
      <c r="F52"/>
      <c r="G52"/>
      <c r="H52"/>
      <c r="I52"/>
      <c r="J52"/>
      <c r="K52"/>
      <c r="L52"/>
      <c r="Q52"/>
      <c r="R52" s="20"/>
      <c r="S52" s="20"/>
      <c r="T52" s="20"/>
      <c r="U52" s="20"/>
      <c r="V52"/>
      <c r="W52" s="20"/>
      <c r="X52" s="20"/>
      <c r="Y52" s="20"/>
      <c r="Z52" s="20"/>
      <c r="AA52"/>
      <c r="AB52"/>
      <c r="AC52"/>
      <c r="AD52"/>
      <c r="AE52"/>
      <c r="AF52"/>
      <c r="AG52" s="20"/>
      <c r="AH52" s="20"/>
      <c r="AI52" s="20"/>
      <c r="AJ52" s="20"/>
      <c r="AK52"/>
      <c r="AL52" s="20"/>
      <c r="AM52" s="20"/>
      <c r="AN52" s="20"/>
      <c r="AO52" s="20"/>
      <c r="AQ52" s="20"/>
      <c r="AR52" s="20"/>
      <c r="AS52" s="20"/>
      <c r="AT52" s="20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</row>
    <row r="53" spans="1:131" ht="12.75">
      <c r="A53"/>
      <c r="C53"/>
      <c r="D53"/>
      <c r="E53"/>
      <c r="F53"/>
      <c r="G53"/>
      <c r="H53"/>
      <c r="I53"/>
      <c r="J53"/>
      <c r="K53"/>
      <c r="L53"/>
      <c r="Q53"/>
      <c r="R53" s="20"/>
      <c r="S53" s="20"/>
      <c r="T53" s="20"/>
      <c r="U53" s="20"/>
      <c r="V53"/>
      <c r="W53" s="20"/>
      <c r="X53" s="20"/>
      <c r="Y53" s="20"/>
      <c r="Z53" s="20"/>
      <c r="AA53"/>
      <c r="AB53"/>
      <c r="AC53"/>
      <c r="AD53"/>
      <c r="AE53"/>
      <c r="AF53"/>
      <c r="AG53" s="20"/>
      <c r="AH53" s="20"/>
      <c r="AI53" s="20"/>
      <c r="AJ53" s="20"/>
      <c r="AK53"/>
      <c r="AL53" s="20"/>
      <c r="AM53" s="20"/>
      <c r="AN53" s="20"/>
      <c r="AO53" s="20"/>
      <c r="AQ53" s="20"/>
      <c r="AR53" s="20"/>
      <c r="AS53" s="20"/>
      <c r="AT53" s="20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</row>
    <row r="54" spans="1:131" ht="12.75">
      <c r="A54"/>
      <c r="C54"/>
      <c r="D54"/>
      <c r="E54"/>
      <c r="F54"/>
      <c r="G54"/>
      <c r="H54"/>
      <c r="I54"/>
      <c r="J54"/>
      <c r="K54"/>
      <c r="L54"/>
      <c r="Q54"/>
      <c r="R54" s="20"/>
      <c r="S54" s="20"/>
      <c r="T54" s="20"/>
      <c r="U54" s="20"/>
      <c r="V54"/>
      <c r="W54" s="20"/>
      <c r="X54" s="20"/>
      <c r="Y54" s="20"/>
      <c r="Z54" s="20"/>
      <c r="AA54"/>
      <c r="AB54"/>
      <c r="AC54"/>
      <c r="AD54"/>
      <c r="AE54"/>
      <c r="AF54"/>
      <c r="AG54" s="20"/>
      <c r="AH54" s="20"/>
      <c r="AI54" s="20"/>
      <c r="AJ54" s="20"/>
      <c r="AK54"/>
      <c r="AL54" s="20"/>
      <c r="AM54" s="20"/>
      <c r="AN54" s="20"/>
      <c r="AO54" s="20"/>
      <c r="AQ54" s="20"/>
      <c r="AR54" s="20"/>
      <c r="AS54" s="20"/>
      <c r="AT54" s="20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R55" s="20"/>
      <c r="S55" s="20"/>
      <c r="T55" s="20"/>
      <c r="U55" s="20"/>
      <c r="V55"/>
      <c r="W55" s="20"/>
      <c r="X55" s="20"/>
      <c r="Y55" s="20"/>
      <c r="Z55" s="20"/>
      <c r="AA55"/>
      <c r="AB55"/>
      <c r="AC55"/>
      <c r="AD55"/>
      <c r="AE55"/>
      <c r="AF55"/>
      <c r="AG55" s="20"/>
      <c r="AH55" s="20"/>
      <c r="AI55" s="20"/>
      <c r="AJ55" s="20"/>
      <c r="AK55"/>
      <c r="AL55" s="20"/>
      <c r="AM55" s="20"/>
      <c r="AN55" s="20"/>
      <c r="AO55" s="20"/>
      <c r="AQ55" s="20"/>
      <c r="AR55" s="20"/>
      <c r="AS55" s="20"/>
      <c r="AT55" s="20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R56" s="20"/>
      <c r="S56" s="20"/>
      <c r="T56" s="20"/>
      <c r="U56" s="20"/>
      <c r="V56"/>
      <c r="W56" s="20"/>
      <c r="X56" s="20"/>
      <c r="Y56" s="20"/>
      <c r="Z56" s="20"/>
      <c r="AA56"/>
      <c r="AB56"/>
      <c r="AC56"/>
      <c r="AD56"/>
      <c r="AE56"/>
      <c r="AF56"/>
      <c r="AG56" s="20"/>
      <c r="AH56" s="20"/>
      <c r="AI56" s="20"/>
      <c r="AJ56" s="20"/>
      <c r="AK56"/>
      <c r="AL56" s="20"/>
      <c r="AM56" s="20"/>
      <c r="AN56" s="20"/>
      <c r="AO56" s="20"/>
      <c r="AQ56" s="20"/>
      <c r="AR56" s="20"/>
      <c r="AS56" s="20"/>
      <c r="AT56" s="20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V57"/>
      <c r="AA57"/>
      <c r="AB57"/>
      <c r="AC57"/>
      <c r="AD57"/>
      <c r="AE57"/>
      <c r="AF57"/>
      <c r="AK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V58"/>
      <c r="AA58"/>
      <c r="AB58"/>
      <c r="AC58"/>
      <c r="AD58"/>
      <c r="AE58"/>
      <c r="AF58"/>
      <c r="AK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V59"/>
      <c r="AA59"/>
      <c r="AB59"/>
      <c r="AC59"/>
      <c r="AD59"/>
      <c r="AE59"/>
      <c r="AF59"/>
      <c r="AK59"/>
      <c r="AP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V60"/>
      <c r="AA60"/>
      <c r="AB60"/>
      <c r="AC60"/>
      <c r="AD60"/>
      <c r="AE60"/>
      <c r="AF60"/>
      <c r="AK60"/>
      <c r="AP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V61"/>
      <c r="AA61"/>
      <c r="AB61"/>
      <c r="AC61"/>
      <c r="AD61"/>
      <c r="AE61"/>
      <c r="AF61"/>
      <c r="AK61"/>
      <c r="AP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V62"/>
      <c r="AA62"/>
      <c r="AB62"/>
      <c r="AC62"/>
      <c r="AD62"/>
      <c r="AE62"/>
      <c r="AF62"/>
      <c r="AK62"/>
      <c r="AP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V63"/>
      <c r="AA63"/>
      <c r="AB63"/>
      <c r="AC63"/>
      <c r="AD63"/>
      <c r="AE63"/>
      <c r="AF63"/>
      <c r="AK63"/>
      <c r="AP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V64"/>
      <c r="AA64"/>
      <c r="AB64"/>
      <c r="AC64"/>
      <c r="AD64"/>
      <c r="AE64"/>
      <c r="AF64"/>
      <c r="AK64"/>
      <c r="AP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V65"/>
      <c r="AA65"/>
      <c r="AB65"/>
      <c r="AC65"/>
      <c r="AD65"/>
      <c r="AE65"/>
      <c r="AF65"/>
      <c r="AK65"/>
      <c r="AP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V66"/>
      <c r="AA66"/>
      <c r="AB66"/>
      <c r="AC66"/>
      <c r="AD66"/>
      <c r="AE66"/>
      <c r="AF66"/>
      <c r="AK66"/>
      <c r="AP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</row>
    <row r="67" spans="1:131" ht="12.75">
      <c r="A67"/>
      <c r="C67"/>
      <c r="D67"/>
      <c r="E67"/>
      <c r="F67"/>
      <c r="G67"/>
      <c r="H67"/>
      <c r="I67"/>
      <c r="J67"/>
      <c r="K67"/>
      <c r="L67"/>
      <c r="Q67"/>
      <c r="V67"/>
      <c r="AA67"/>
      <c r="AB67"/>
      <c r="AC67"/>
      <c r="AD67"/>
      <c r="AE67"/>
      <c r="AF67"/>
      <c r="AK67"/>
      <c r="AP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</row>
    <row r="68" spans="1:131" ht="12.75">
      <c r="A68"/>
      <c r="C68"/>
      <c r="D68"/>
      <c r="E68"/>
      <c r="F68"/>
      <c r="G68"/>
      <c r="H68"/>
      <c r="I68"/>
      <c r="J68"/>
      <c r="K68"/>
      <c r="L68"/>
      <c r="Q68"/>
      <c r="V68"/>
      <c r="AA68"/>
      <c r="AB68"/>
      <c r="AC68"/>
      <c r="AD68"/>
      <c r="AE68"/>
      <c r="AF68"/>
      <c r="AK68"/>
      <c r="AP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</row>
    <row r="69" spans="1:131" ht="12.75">
      <c r="A69"/>
      <c r="G69"/>
      <c r="L69"/>
      <c r="Q69"/>
      <c r="V69"/>
      <c r="AA69"/>
      <c r="AB69"/>
      <c r="AC69"/>
      <c r="AD69"/>
      <c r="AE69"/>
      <c r="AF69"/>
      <c r="AK69"/>
      <c r="AP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</row>
  </sheetData>
  <sheetProtection/>
  <printOptions/>
  <pageMargins left="0.25" right="0" top="0" bottom="0.25" header="0.5" footer="0"/>
  <pageSetup horizontalDpi="600" verticalDpi="600" orientation="landscape" scale="84"/>
  <headerFooter alignWithMargins="0">
    <oddFooter>&amp;CPage &amp;P of &amp;N&amp;R&amp;D</oddFooter>
  </headerFooter>
  <colBreaks count="9" manualBreakCount="9">
    <brk id="12" max="65535" man="1"/>
    <brk id="27" max="65535" man="1"/>
    <brk id="42" max="65535" man="1"/>
    <brk id="57" max="65535" man="1"/>
    <brk id="72" max="65535" man="1"/>
    <brk id="87" max="65535" man="1"/>
    <brk id="102" max="65535" man="1"/>
    <brk id="117" max="65535" man="1"/>
    <brk id="1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T70"/>
  <sheetViews>
    <sheetView zoomScale="150" zoomScaleNormal="1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9" sqref="H19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6" width="12.7109375" style="34" hidden="1" customWidth="1"/>
    <col min="7" max="7" width="3.7109375" style="32" hidden="1" customWidth="1"/>
    <col min="8" max="11" width="13.7109375" style="32" customWidth="1"/>
    <col min="12" max="12" width="3.7109375" style="32" customWidth="1"/>
    <col min="13" max="16" width="13.7109375" style="32" customWidth="1"/>
    <col min="17" max="17" width="3.7109375" style="32" customWidth="1"/>
    <col min="18" max="21" width="13.7109375" style="32" customWidth="1"/>
    <col min="22" max="22" width="3.7109375" style="32" customWidth="1"/>
    <col min="23" max="26" width="13.7109375" style="32" customWidth="1"/>
    <col min="27" max="27" width="3.7109375" style="32" customWidth="1"/>
    <col min="28" max="31" width="13.7109375" style="32" customWidth="1"/>
    <col min="32" max="32" width="3.7109375" style="32" customWidth="1"/>
    <col min="33" max="36" width="13.7109375" style="32" customWidth="1"/>
    <col min="37" max="37" width="3.7109375" style="32" customWidth="1"/>
    <col min="38" max="41" width="13.7109375" style="32" customWidth="1"/>
    <col min="42" max="42" width="3.7109375" style="32" customWidth="1"/>
    <col min="43" max="46" width="13.7109375" style="32" customWidth="1"/>
    <col min="47" max="47" width="3.7109375" style="32" customWidth="1"/>
    <col min="48" max="51" width="13.7109375" style="32" customWidth="1"/>
    <col min="52" max="52" width="3.7109375" style="32" customWidth="1"/>
    <col min="53" max="56" width="13.7109375" style="32" customWidth="1"/>
    <col min="57" max="57" width="3.7109375" style="32" customWidth="1"/>
    <col min="58" max="61" width="13.7109375" style="32" customWidth="1"/>
    <col min="62" max="62" width="3.7109375" style="32" customWidth="1"/>
    <col min="63" max="66" width="13.7109375" style="32" customWidth="1"/>
    <col min="67" max="67" width="3.7109375" style="32" customWidth="1"/>
    <col min="68" max="71" width="13.7109375" style="32" customWidth="1"/>
    <col min="72" max="72" width="3.7109375" style="32" customWidth="1"/>
    <col min="73" max="76" width="13.7109375" style="32" customWidth="1"/>
    <col min="77" max="77" width="3.7109375" style="32" customWidth="1"/>
    <col min="78" max="81" width="13.7109375" style="32" customWidth="1"/>
    <col min="82" max="82" width="3.7109375" style="32" customWidth="1"/>
    <col min="83" max="86" width="13.7109375" style="32" customWidth="1"/>
    <col min="87" max="87" width="3.7109375" style="32" customWidth="1"/>
    <col min="88" max="91" width="13.7109375" style="32" customWidth="1"/>
    <col min="92" max="92" width="3.7109375" style="32" customWidth="1"/>
    <col min="93" max="96" width="13.7109375" style="32" customWidth="1"/>
    <col min="97" max="97" width="3.7109375" style="32" customWidth="1"/>
    <col min="98" max="101" width="13.7109375" style="32" customWidth="1"/>
    <col min="102" max="102" width="3.7109375" style="32" customWidth="1"/>
    <col min="103" max="106" width="13.7109375" style="32" customWidth="1"/>
    <col min="107" max="107" width="3.7109375" style="32" customWidth="1"/>
    <col min="108" max="111" width="13.7109375" style="32" customWidth="1"/>
    <col min="112" max="112" width="3.7109375" style="32" customWidth="1"/>
    <col min="113" max="116" width="13.7109375" style="32" customWidth="1"/>
    <col min="117" max="117" width="3.7109375" style="32" customWidth="1"/>
    <col min="118" max="121" width="13.7109375" style="32" customWidth="1"/>
    <col min="122" max="122" width="3.7109375" style="0" customWidth="1"/>
  </cols>
  <sheetData>
    <row r="1" spans="1:124" ht="12.75">
      <c r="A1" s="40"/>
      <c r="B1" s="29"/>
      <c r="C1" s="41"/>
      <c r="M1" s="41"/>
      <c r="W1" s="34"/>
      <c r="X1" s="41" t="s">
        <v>14</v>
      </c>
      <c r="AB1" s="41"/>
      <c r="AG1" s="41"/>
      <c r="AR1" s="34"/>
      <c r="AS1" s="41" t="s">
        <v>14</v>
      </c>
      <c r="AT1" s="41"/>
      <c r="BA1" s="41"/>
      <c r="BK1" s="34"/>
      <c r="BL1" s="41" t="s">
        <v>14</v>
      </c>
      <c r="BP1" s="41"/>
      <c r="BZ1" s="34"/>
      <c r="CA1" s="41" t="s">
        <v>14</v>
      </c>
      <c r="CE1" s="41"/>
      <c r="CJ1" s="41"/>
      <c r="CO1" s="34"/>
      <c r="CP1" s="41" t="s">
        <v>14</v>
      </c>
      <c r="CT1" s="41"/>
      <c r="DD1" s="34"/>
      <c r="DE1" s="41" t="s">
        <v>14</v>
      </c>
      <c r="DI1" s="41"/>
      <c r="DS1" s="34"/>
      <c r="DT1" s="41" t="s">
        <v>14</v>
      </c>
    </row>
    <row r="2" spans="1:124" ht="12.75">
      <c r="A2" s="40"/>
      <c r="B2" s="29"/>
      <c r="C2" s="32"/>
      <c r="D2" s="32"/>
      <c r="M2" s="41"/>
      <c r="W2" s="41" t="s">
        <v>136</v>
      </c>
      <c r="AB2" s="41"/>
      <c r="AG2" s="41"/>
      <c r="AR2" s="41" t="s">
        <v>136</v>
      </c>
      <c r="BA2" s="41"/>
      <c r="BK2" s="41" t="s">
        <v>136</v>
      </c>
      <c r="BP2" s="41"/>
      <c r="BZ2" s="41" t="s">
        <v>136</v>
      </c>
      <c r="CE2" s="41"/>
      <c r="CJ2" s="41"/>
      <c r="CO2" s="41" t="s">
        <v>136</v>
      </c>
      <c r="CT2" s="41"/>
      <c r="DD2" s="41" t="s">
        <v>136</v>
      </c>
      <c r="DI2" s="41"/>
      <c r="DS2" s="41" t="s">
        <v>136</v>
      </c>
      <c r="DT2" s="32"/>
    </row>
    <row r="3" spans="1:124" ht="12.75">
      <c r="A3" s="40"/>
      <c r="B3" s="29"/>
      <c r="C3" s="41"/>
      <c r="M3" s="41"/>
      <c r="W3" s="34"/>
      <c r="X3" s="41" t="s">
        <v>60</v>
      </c>
      <c r="AB3" s="41"/>
      <c r="AG3" s="41"/>
      <c r="AR3" s="34"/>
      <c r="AS3" s="41" t="s">
        <v>60</v>
      </c>
      <c r="AT3" s="41"/>
      <c r="BA3" s="41"/>
      <c r="BK3" s="34"/>
      <c r="BL3" s="41" t="s">
        <v>60</v>
      </c>
      <c r="BP3" s="41"/>
      <c r="BZ3" s="34"/>
      <c r="CA3" s="41" t="s">
        <v>60</v>
      </c>
      <c r="CE3" s="41"/>
      <c r="CJ3" s="41"/>
      <c r="CO3" s="34"/>
      <c r="CP3" s="41" t="s">
        <v>60</v>
      </c>
      <c r="CT3" s="41"/>
      <c r="DD3" s="34"/>
      <c r="DE3" s="41" t="s">
        <v>60</v>
      </c>
      <c r="DI3" s="41"/>
      <c r="DS3" s="34"/>
      <c r="DT3" s="41" t="s">
        <v>60</v>
      </c>
    </row>
    <row r="4" spans="1:4" ht="12.75">
      <c r="A4" s="40"/>
      <c r="B4" s="29"/>
      <c r="C4" s="41"/>
      <c r="D4" s="41"/>
    </row>
    <row r="5" spans="1:121" ht="12.75">
      <c r="A5" s="21" t="s">
        <v>9</v>
      </c>
      <c r="C5" s="74" t="s">
        <v>143</v>
      </c>
      <c r="D5" s="44"/>
      <c r="E5" s="45"/>
      <c r="F5" s="82"/>
      <c r="H5" s="35" t="s">
        <v>61</v>
      </c>
      <c r="I5" s="36"/>
      <c r="J5" s="37"/>
      <c r="K5" s="39"/>
      <c r="M5" s="35" t="s">
        <v>32</v>
      </c>
      <c r="N5" s="66"/>
      <c r="O5" s="37"/>
      <c r="P5" s="39"/>
      <c r="R5" s="78" t="s">
        <v>148</v>
      </c>
      <c r="S5" s="66"/>
      <c r="T5" s="37"/>
      <c r="U5" s="39"/>
      <c r="W5" s="57" t="s">
        <v>44</v>
      </c>
      <c r="X5" s="66"/>
      <c r="Y5" s="37"/>
      <c r="Z5" s="39"/>
      <c r="AB5" s="57" t="s">
        <v>45</v>
      </c>
      <c r="AC5" s="36"/>
      <c r="AD5" s="37"/>
      <c r="AE5" s="39"/>
      <c r="AG5" s="35" t="s">
        <v>33</v>
      </c>
      <c r="AH5" s="36"/>
      <c r="AI5" s="37"/>
      <c r="AJ5" s="39"/>
      <c r="AL5" s="57" t="s">
        <v>120</v>
      </c>
      <c r="AM5" s="36"/>
      <c r="AN5" s="37"/>
      <c r="AO5" s="39"/>
      <c r="AQ5" s="35" t="s">
        <v>46</v>
      </c>
      <c r="AR5" s="66"/>
      <c r="AS5" s="37"/>
      <c r="AT5" s="39"/>
      <c r="AV5" s="78" t="s">
        <v>149</v>
      </c>
      <c r="AW5" s="66"/>
      <c r="AX5" s="37"/>
      <c r="AY5" s="39"/>
      <c r="BA5" s="35" t="s">
        <v>47</v>
      </c>
      <c r="BB5" s="66"/>
      <c r="BC5" s="37"/>
      <c r="BD5" s="84"/>
      <c r="BE5" s="58"/>
      <c r="BF5" s="35" t="s">
        <v>76</v>
      </c>
      <c r="BG5" s="66"/>
      <c r="BH5" s="37"/>
      <c r="BI5" s="39"/>
      <c r="BK5" s="57" t="s">
        <v>121</v>
      </c>
      <c r="BL5" s="66"/>
      <c r="BM5" s="37"/>
      <c r="BN5" s="39"/>
      <c r="BP5" s="35" t="s">
        <v>97</v>
      </c>
      <c r="BQ5" s="66"/>
      <c r="BR5" s="37"/>
      <c r="BS5" s="39"/>
      <c r="BU5" s="35" t="s">
        <v>37</v>
      </c>
      <c r="BV5" s="66"/>
      <c r="BW5" s="37"/>
      <c r="BX5" s="39"/>
      <c r="BZ5" s="35" t="s">
        <v>132</v>
      </c>
      <c r="CA5" s="66"/>
      <c r="CB5" s="37"/>
      <c r="CC5" s="39"/>
      <c r="CE5" s="35" t="s">
        <v>38</v>
      </c>
      <c r="CF5" s="66"/>
      <c r="CG5" s="37"/>
      <c r="CH5" s="39"/>
      <c r="CJ5" s="35" t="s">
        <v>129</v>
      </c>
      <c r="CK5" s="66"/>
      <c r="CL5" s="37"/>
      <c r="CM5" s="39"/>
      <c r="CO5" s="35" t="s">
        <v>39</v>
      </c>
      <c r="CP5" s="66"/>
      <c r="CQ5" s="37"/>
      <c r="CR5" s="39"/>
      <c r="CT5" s="35" t="s">
        <v>122</v>
      </c>
      <c r="CU5" s="66"/>
      <c r="CV5" s="37"/>
      <c r="CW5" s="39"/>
      <c r="CY5" s="35" t="s">
        <v>98</v>
      </c>
      <c r="CZ5" s="66"/>
      <c r="DA5" s="37"/>
      <c r="DB5" s="39"/>
      <c r="DD5" s="35" t="s">
        <v>48</v>
      </c>
      <c r="DE5" s="66"/>
      <c r="DF5" s="37"/>
      <c r="DG5" s="39"/>
      <c r="DI5" s="35" t="s">
        <v>123</v>
      </c>
      <c r="DJ5" s="66"/>
      <c r="DK5" s="37"/>
      <c r="DL5" s="39"/>
      <c r="DN5" s="35" t="s">
        <v>49</v>
      </c>
      <c r="DO5" s="66"/>
      <c r="DP5" s="37"/>
      <c r="DQ5" s="39"/>
    </row>
    <row r="6" spans="1:121" s="12" customFormat="1" ht="12.75">
      <c r="A6" s="42" t="s">
        <v>10</v>
      </c>
      <c r="C6" s="57" t="s">
        <v>144</v>
      </c>
      <c r="D6" s="36"/>
      <c r="E6" s="37"/>
      <c r="F6" s="39"/>
      <c r="G6" s="32"/>
      <c r="H6" s="57"/>
      <c r="I6" s="60"/>
      <c r="J6" s="70"/>
      <c r="K6" s="83"/>
      <c r="L6" s="32"/>
      <c r="M6" s="64">
        <v>0.0050554</v>
      </c>
      <c r="N6" s="12">
        <v>0.0129875</v>
      </c>
      <c r="O6" s="70">
        <v>0.0129875</v>
      </c>
      <c r="P6" s="83"/>
      <c r="Q6" s="32"/>
      <c r="R6" s="64"/>
      <c r="T6" s="70"/>
      <c r="U6" s="83"/>
      <c r="V6" s="32"/>
      <c r="W6" s="64">
        <v>0.0017391</v>
      </c>
      <c r="X6" s="12">
        <v>0.0224122</v>
      </c>
      <c r="Y6" s="70">
        <v>0.0242687</v>
      </c>
      <c r="Z6" s="83"/>
      <c r="AA6" s="32"/>
      <c r="AB6" s="64">
        <v>0.002279</v>
      </c>
      <c r="AC6" s="60">
        <v>0.0341615</v>
      </c>
      <c r="AD6" s="70">
        <v>0.0341834</v>
      </c>
      <c r="AE6" s="83"/>
      <c r="AF6" s="32"/>
      <c r="AG6" s="64">
        <v>0.0072632</v>
      </c>
      <c r="AH6" s="60">
        <v>0.0101094</v>
      </c>
      <c r="AI6" s="70">
        <v>0.0117721</v>
      </c>
      <c r="AJ6" s="83"/>
      <c r="AK6" s="32"/>
      <c r="AL6" s="64">
        <v>0</v>
      </c>
      <c r="AM6" s="60">
        <v>0</v>
      </c>
      <c r="AN6" s="70">
        <v>3.1E-06</v>
      </c>
      <c r="AO6" s="83"/>
      <c r="AP6" s="32"/>
      <c r="AQ6" s="64">
        <v>0.0035691</v>
      </c>
      <c r="AR6" s="12">
        <v>0.0050165</v>
      </c>
      <c r="AS6" s="70">
        <v>0.0064936</v>
      </c>
      <c r="AT6" s="83"/>
      <c r="AU6" s="32"/>
      <c r="AV6" s="64"/>
      <c r="AX6" s="70"/>
      <c r="AY6" s="83"/>
      <c r="AZ6" s="32"/>
      <c r="BA6" s="64">
        <v>0.0007543</v>
      </c>
      <c r="BB6" s="12">
        <v>0.0026034</v>
      </c>
      <c r="BC6" s="70">
        <v>0.0026034</v>
      </c>
      <c r="BD6" s="85"/>
      <c r="BE6" s="58"/>
      <c r="BF6" s="50">
        <v>3.88E-05</v>
      </c>
      <c r="BG6" s="12">
        <v>0.0010297</v>
      </c>
      <c r="BH6" s="70">
        <v>0.0011157</v>
      </c>
      <c r="BI6" s="83"/>
      <c r="BJ6" s="32"/>
      <c r="BK6" s="64">
        <v>0</v>
      </c>
      <c r="BL6" s="12">
        <v>0</v>
      </c>
      <c r="BM6" s="70">
        <v>0.0061982</v>
      </c>
      <c r="BN6" s="83"/>
      <c r="BO6" s="32"/>
      <c r="BP6" s="64">
        <v>0</v>
      </c>
      <c r="BQ6" s="12">
        <v>0.0005335</v>
      </c>
      <c r="BR6" s="70">
        <v>0.0005536</v>
      </c>
      <c r="BS6" s="83"/>
      <c r="BT6" s="32"/>
      <c r="BU6" s="64">
        <v>0.0006764</v>
      </c>
      <c r="BV6" s="12">
        <v>0.0018919</v>
      </c>
      <c r="BW6" s="70">
        <v>0.0036801</v>
      </c>
      <c r="BX6" s="83"/>
      <c r="BY6" s="32"/>
      <c r="BZ6" s="64">
        <v>0</v>
      </c>
      <c r="CA6" s="12">
        <v>0.0020634</v>
      </c>
      <c r="CB6" s="70">
        <v>0.0023949</v>
      </c>
      <c r="CC6" s="83"/>
      <c r="CD6" s="32"/>
      <c r="CE6" s="64">
        <v>0.0018592</v>
      </c>
      <c r="CF6" s="12">
        <v>0.0031439</v>
      </c>
      <c r="CG6" s="70">
        <v>0.0031439</v>
      </c>
      <c r="CH6" s="83"/>
      <c r="CI6" s="32"/>
      <c r="CJ6" s="64">
        <v>0</v>
      </c>
      <c r="CK6" s="12">
        <v>0</v>
      </c>
      <c r="CL6" s="70">
        <v>0</v>
      </c>
      <c r="CM6" s="83"/>
      <c r="CN6" s="32"/>
      <c r="CO6" s="64">
        <v>0.0003125</v>
      </c>
      <c r="CP6" s="12">
        <v>0.0018856</v>
      </c>
      <c r="CQ6" s="70">
        <v>0.0088974</v>
      </c>
      <c r="CR6" s="83"/>
      <c r="CS6" s="32"/>
      <c r="CT6" s="64">
        <v>0</v>
      </c>
      <c r="CU6" s="12">
        <v>0</v>
      </c>
      <c r="CV6" s="70">
        <v>0.0013925</v>
      </c>
      <c r="CW6" s="83"/>
      <c r="CX6" s="32"/>
      <c r="CY6" s="64">
        <v>0</v>
      </c>
      <c r="CZ6" s="12">
        <v>4.02E-05</v>
      </c>
      <c r="DA6" s="70">
        <v>4.02E-05</v>
      </c>
      <c r="DB6" s="83"/>
      <c r="DC6" s="32"/>
      <c r="DD6" s="64">
        <v>0.0011507</v>
      </c>
      <c r="DE6" s="12">
        <v>0.0073167</v>
      </c>
      <c r="DF6" s="70">
        <v>0.0171596</v>
      </c>
      <c r="DG6" s="83"/>
      <c r="DH6" s="32"/>
      <c r="DI6" s="64">
        <v>0</v>
      </c>
      <c r="DJ6" s="12">
        <v>0</v>
      </c>
      <c r="DK6" s="70">
        <v>4.52E-05</v>
      </c>
      <c r="DL6" s="83"/>
      <c r="DM6" s="32"/>
      <c r="DN6" s="64">
        <v>0.0007744</v>
      </c>
      <c r="DO6" s="12">
        <v>0.000906</v>
      </c>
      <c r="DP6" s="70">
        <v>0.0013209</v>
      </c>
      <c r="DQ6" s="83"/>
    </row>
    <row r="7" spans="1:121" s="12" customFormat="1" ht="12.75">
      <c r="A7" s="42"/>
      <c r="C7" s="72"/>
      <c r="D7" s="36"/>
      <c r="E7" s="37"/>
      <c r="F7" s="38" t="s">
        <v>138</v>
      </c>
      <c r="G7" s="32"/>
      <c r="H7" s="65"/>
      <c r="I7" s="60">
        <f>N7+X7+AC7+AH7+AM7+AR7+BB7+BG7+BL7+BQ7+BV7+CA7+CF7+CK7+CP7+CU7+CZ7+DE7+DJ7+DO7+S7+AW7</f>
        <v>0.16845700000000002</v>
      </c>
      <c r="J7" s="70">
        <f>O7+Y7+AD7+AI7+AN7+AS7+BC7+BH7+BM7+BR7+BW7+CB7+CG7+CL7+CQ7+CV7+DA7+DF7+DK7+DP7+T7+AX7</f>
        <v>0.1684319</v>
      </c>
      <c r="K7" s="38" t="s">
        <v>138</v>
      </c>
      <c r="L7" s="32"/>
      <c r="M7" s="64"/>
      <c r="N7" s="60">
        <v>0.0129875</v>
      </c>
      <c r="O7" s="70">
        <v>0.0129855</v>
      </c>
      <c r="P7" s="38" t="s">
        <v>138</v>
      </c>
      <c r="Q7" s="32"/>
      <c r="R7" s="64"/>
      <c r="S7" s="60">
        <v>0.004128783054132632</v>
      </c>
      <c r="T7" s="70">
        <v>0.0041282</v>
      </c>
      <c r="U7" s="38" t="s">
        <v>138</v>
      </c>
      <c r="V7" s="32"/>
      <c r="W7" s="64"/>
      <c r="X7" s="60">
        <v>0.0279195</v>
      </c>
      <c r="Y7" s="70">
        <v>0.0279154</v>
      </c>
      <c r="Z7" s="38" t="s">
        <v>138</v>
      </c>
      <c r="AA7" s="32"/>
      <c r="AB7" s="64"/>
      <c r="AC7" s="60">
        <v>0.0280726</v>
      </c>
      <c r="AD7" s="70">
        <v>0.0280686</v>
      </c>
      <c r="AE7" s="38" t="s">
        <v>138</v>
      </c>
      <c r="AF7" s="32"/>
      <c r="AG7" s="64"/>
      <c r="AH7" s="60">
        <v>0.0127388</v>
      </c>
      <c r="AI7" s="70">
        <v>0.0127369</v>
      </c>
      <c r="AJ7" s="38" t="s">
        <v>138</v>
      </c>
      <c r="AK7" s="32"/>
      <c r="AL7" s="64"/>
      <c r="AM7" s="60">
        <v>2.04E-05</v>
      </c>
      <c r="AN7" s="70">
        <v>2.04E-05</v>
      </c>
      <c r="AO7" s="38" t="s">
        <v>138</v>
      </c>
      <c r="AP7" s="32"/>
      <c r="AQ7" s="64"/>
      <c r="AR7" s="60">
        <v>0.0077099</v>
      </c>
      <c r="AS7" s="70">
        <v>0.0077087</v>
      </c>
      <c r="AT7" s="38" t="s">
        <v>138</v>
      </c>
      <c r="AU7" s="32"/>
      <c r="AV7" s="64"/>
      <c r="AW7" s="60">
        <v>0.004723816945867368</v>
      </c>
      <c r="AX7" s="70">
        <v>0.0047231</v>
      </c>
      <c r="AY7" s="38" t="s">
        <v>138</v>
      </c>
      <c r="AZ7" s="32"/>
      <c r="BA7" s="64"/>
      <c r="BB7" s="60">
        <v>0.0026034</v>
      </c>
      <c r="BC7" s="70">
        <v>0.002603</v>
      </c>
      <c r="BD7" s="38" t="s">
        <v>138</v>
      </c>
      <c r="BE7" s="58"/>
      <c r="BF7" s="50"/>
      <c r="BG7" s="60">
        <v>0.0020582</v>
      </c>
      <c r="BH7" s="70">
        <v>0.0020579</v>
      </c>
      <c r="BI7" s="38" t="s">
        <v>138</v>
      </c>
      <c r="BJ7" s="32"/>
      <c r="BK7" s="64"/>
      <c r="BL7" s="60">
        <v>0.0107919</v>
      </c>
      <c r="BM7" s="70">
        <v>0.0107903</v>
      </c>
      <c r="BN7" s="38" t="s">
        <v>138</v>
      </c>
      <c r="BO7" s="32"/>
      <c r="BP7" s="64"/>
      <c r="BQ7" s="60">
        <v>0.0007297</v>
      </c>
      <c r="BR7" s="70">
        <v>0.0007296</v>
      </c>
      <c r="BS7" s="38" t="s">
        <v>138</v>
      </c>
      <c r="BT7" s="32"/>
      <c r="BU7" s="64"/>
      <c r="BV7" s="60">
        <v>0.0043342</v>
      </c>
      <c r="BW7" s="70">
        <v>0.0043336</v>
      </c>
      <c r="BX7" s="38" t="s">
        <v>138</v>
      </c>
      <c r="BY7" s="32"/>
      <c r="BZ7" s="64"/>
      <c r="CA7" s="60">
        <v>0.0037319</v>
      </c>
      <c r="CB7" s="70">
        <v>0.0037314</v>
      </c>
      <c r="CC7" s="38" t="s">
        <v>138</v>
      </c>
      <c r="CD7" s="32"/>
      <c r="CE7" s="64"/>
      <c r="CF7" s="60">
        <v>0.0038705</v>
      </c>
      <c r="CG7" s="70">
        <v>0.0038699</v>
      </c>
      <c r="CH7" s="38" t="s">
        <v>138</v>
      </c>
      <c r="CI7" s="32"/>
      <c r="CJ7" s="64"/>
      <c r="CK7" s="60">
        <v>0.0018571</v>
      </c>
      <c r="CL7" s="70">
        <v>0.0018568</v>
      </c>
      <c r="CM7" s="38" t="s">
        <v>138</v>
      </c>
      <c r="CN7" s="32"/>
      <c r="CO7" s="64"/>
      <c r="CP7" s="60">
        <v>0.0126382</v>
      </c>
      <c r="CQ7" s="70">
        <v>0.0126363</v>
      </c>
      <c r="CR7" s="38" t="s">
        <v>138</v>
      </c>
      <c r="CS7" s="32"/>
      <c r="CT7" s="64"/>
      <c r="CU7" s="60">
        <v>0.0076602</v>
      </c>
      <c r="CV7" s="70">
        <v>0.007659</v>
      </c>
      <c r="CW7" s="38" t="s">
        <v>138</v>
      </c>
      <c r="CX7" s="32"/>
      <c r="CY7" s="64"/>
      <c r="CZ7" s="60">
        <v>0.0001002</v>
      </c>
      <c r="DA7" s="70">
        <v>0.0001001</v>
      </c>
      <c r="DB7" s="38" t="s">
        <v>138</v>
      </c>
      <c r="DC7" s="32"/>
      <c r="DD7" s="64"/>
      <c r="DE7" s="60">
        <v>0.0183211</v>
      </c>
      <c r="DF7" s="70">
        <v>0.0183184</v>
      </c>
      <c r="DG7" s="38" t="s">
        <v>138</v>
      </c>
      <c r="DH7" s="32"/>
      <c r="DI7" s="64"/>
      <c r="DJ7" s="60">
        <v>6.02E-05</v>
      </c>
      <c r="DK7" s="70">
        <v>6.02E-05</v>
      </c>
      <c r="DL7" s="38" t="s">
        <v>138</v>
      </c>
      <c r="DM7" s="32"/>
      <c r="DN7" s="64"/>
      <c r="DO7" s="60">
        <v>0.0013989</v>
      </c>
      <c r="DP7" s="70">
        <v>0.0013986</v>
      </c>
      <c r="DQ7" s="38" t="s">
        <v>138</v>
      </c>
    </row>
    <row r="8" spans="1:121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H8" s="38" t="s">
        <v>11</v>
      </c>
      <c r="I8" s="38" t="s">
        <v>12</v>
      </c>
      <c r="J8" s="38" t="s">
        <v>4</v>
      </c>
      <c r="K8" s="38" t="s">
        <v>139</v>
      </c>
      <c r="M8" s="38" t="s">
        <v>11</v>
      </c>
      <c r="N8" s="38" t="s">
        <v>12</v>
      </c>
      <c r="O8" s="38" t="s">
        <v>4</v>
      </c>
      <c r="P8" s="38" t="s">
        <v>139</v>
      </c>
      <c r="R8" s="38" t="s">
        <v>11</v>
      </c>
      <c r="S8" s="38" t="s">
        <v>12</v>
      </c>
      <c r="T8" s="38" t="s">
        <v>4</v>
      </c>
      <c r="U8" s="38" t="s">
        <v>139</v>
      </c>
      <c r="W8" s="38" t="s">
        <v>11</v>
      </c>
      <c r="X8" s="38" t="s">
        <v>12</v>
      </c>
      <c r="Y8" s="38" t="s">
        <v>4</v>
      </c>
      <c r="Z8" s="38" t="s">
        <v>139</v>
      </c>
      <c r="AB8" s="38" t="s">
        <v>11</v>
      </c>
      <c r="AC8" s="38" t="s">
        <v>12</v>
      </c>
      <c r="AD8" s="38" t="s">
        <v>4</v>
      </c>
      <c r="AE8" s="38" t="s">
        <v>139</v>
      </c>
      <c r="AG8" s="38" t="s">
        <v>11</v>
      </c>
      <c r="AH8" s="38" t="s">
        <v>12</v>
      </c>
      <c r="AI8" s="38" t="s">
        <v>4</v>
      </c>
      <c r="AJ8" s="38" t="s">
        <v>139</v>
      </c>
      <c r="AL8" s="38" t="s">
        <v>11</v>
      </c>
      <c r="AM8" s="38" t="s">
        <v>12</v>
      </c>
      <c r="AN8" s="38" t="s">
        <v>4</v>
      </c>
      <c r="AO8" s="38" t="s">
        <v>139</v>
      </c>
      <c r="AQ8" s="38" t="s">
        <v>11</v>
      </c>
      <c r="AR8" s="38" t="s">
        <v>12</v>
      </c>
      <c r="AS8" s="38" t="s">
        <v>4</v>
      </c>
      <c r="AT8" s="38" t="s">
        <v>139</v>
      </c>
      <c r="AV8" s="38" t="s">
        <v>11</v>
      </c>
      <c r="AW8" s="38" t="s">
        <v>12</v>
      </c>
      <c r="AX8" s="38" t="s">
        <v>4</v>
      </c>
      <c r="AY8" s="38" t="s">
        <v>139</v>
      </c>
      <c r="BA8" s="38" t="s">
        <v>11</v>
      </c>
      <c r="BB8" s="38" t="s">
        <v>12</v>
      </c>
      <c r="BC8" s="38" t="s">
        <v>4</v>
      </c>
      <c r="BD8" s="38" t="s">
        <v>139</v>
      </c>
      <c r="BE8" s="59"/>
      <c r="BF8" s="38" t="s">
        <v>11</v>
      </c>
      <c r="BG8" s="38" t="s">
        <v>12</v>
      </c>
      <c r="BH8" s="38" t="s">
        <v>4</v>
      </c>
      <c r="BI8" s="38" t="s">
        <v>139</v>
      </c>
      <c r="BK8" s="38" t="s">
        <v>11</v>
      </c>
      <c r="BL8" s="38" t="s">
        <v>12</v>
      </c>
      <c r="BM8" s="38" t="s">
        <v>4</v>
      </c>
      <c r="BN8" s="38" t="s">
        <v>139</v>
      </c>
      <c r="BP8" s="38" t="s">
        <v>11</v>
      </c>
      <c r="BQ8" s="38" t="s">
        <v>12</v>
      </c>
      <c r="BR8" s="38" t="s">
        <v>4</v>
      </c>
      <c r="BS8" s="38" t="s">
        <v>139</v>
      </c>
      <c r="BU8" s="38" t="s">
        <v>11</v>
      </c>
      <c r="BV8" s="38" t="s">
        <v>12</v>
      </c>
      <c r="BW8" s="38" t="s">
        <v>4</v>
      </c>
      <c r="BX8" s="38" t="s">
        <v>139</v>
      </c>
      <c r="BZ8" s="38" t="s">
        <v>11</v>
      </c>
      <c r="CA8" s="38" t="s">
        <v>12</v>
      </c>
      <c r="CB8" s="38" t="s">
        <v>4</v>
      </c>
      <c r="CC8" s="38" t="s">
        <v>139</v>
      </c>
      <c r="CE8" s="38" t="s">
        <v>11</v>
      </c>
      <c r="CF8" s="38" t="s">
        <v>12</v>
      </c>
      <c r="CG8" s="38" t="s">
        <v>4</v>
      </c>
      <c r="CH8" s="38" t="s">
        <v>139</v>
      </c>
      <c r="CJ8" s="38" t="s">
        <v>11</v>
      </c>
      <c r="CK8" s="38" t="s">
        <v>12</v>
      </c>
      <c r="CL8" s="38" t="s">
        <v>4</v>
      </c>
      <c r="CM8" s="38" t="s">
        <v>139</v>
      </c>
      <c r="CO8" s="38" t="s">
        <v>11</v>
      </c>
      <c r="CP8" s="38" t="s">
        <v>12</v>
      </c>
      <c r="CQ8" s="38" t="s">
        <v>4</v>
      </c>
      <c r="CR8" s="38" t="s">
        <v>139</v>
      </c>
      <c r="CT8" s="38" t="s">
        <v>11</v>
      </c>
      <c r="CU8" s="38" t="s">
        <v>12</v>
      </c>
      <c r="CV8" s="38" t="s">
        <v>4</v>
      </c>
      <c r="CW8" s="38" t="s">
        <v>139</v>
      </c>
      <c r="CY8" s="38" t="s">
        <v>11</v>
      </c>
      <c r="CZ8" s="38" t="s">
        <v>12</v>
      </c>
      <c r="DA8" s="38" t="s">
        <v>4</v>
      </c>
      <c r="DB8" s="38" t="s">
        <v>139</v>
      </c>
      <c r="DD8" s="38" t="s">
        <v>11</v>
      </c>
      <c r="DE8" s="38" t="s">
        <v>12</v>
      </c>
      <c r="DF8" s="38" t="s">
        <v>4</v>
      </c>
      <c r="DG8" s="38" t="s">
        <v>139</v>
      </c>
      <c r="DI8" s="38" t="s">
        <v>11</v>
      </c>
      <c r="DJ8" s="38" t="s">
        <v>12</v>
      </c>
      <c r="DK8" s="38" t="s">
        <v>4</v>
      </c>
      <c r="DL8" s="38" t="s">
        <v>139</v>
      </c>
      <c r="DN8" s="38" t="s">
        <v>11</v>
      </c>
      <c r="DO8" s="38" t="s">
        <v>12</v>
      </c>
      <c r="DP8" s="38" t="s">
        <v>4</v>
      </c>
      <c r="DQ8" s="38" t="s">
        <v>139</v>
      </c>
    </row>
    <row r="9" spans="1:121" ht="12.75">
      <c r="A9" s="19">
        <v>42644</v>
      </c>
      <c r="C9" s="34">
        <f>'2006A '!C9</f>
        <v>3730000</v>
      </c>
      <c r="D9" s="34">
        <f>'2006A '!D9</f>
        <v>191250</v>
      </c>
      <c r="E9" s="34">
        <f aca="true" t="shared" si="0" ref="E9:E29">C9+D9</f>
        <v>3921250</v>
      </c>
      <c r="F9" s="34">
        <f>'2006A '!F9</f>
        <v>55859</v>
      </c>
      <c r="H9" s="67">
        <f aca="true" t="shared" si="1" ref="H9:H29">M9+W9+AB9+AG9+AL9+AQ9+BA9+BF9+BK9+BP9+BU9+BZ9+CE9+CJ9+CO9+CT9+CY9+DD9+DI9+DN9+R9+AV9</f>
        <v>628250.987</v>
      </c>
      <c r="I9" s="47">
        <f aca="true" t="shared" si="2" ref="I9:K29">N9+X9+AC9+AH9+AM9+AR9+BB9+BG9+BL9+BQ9+BV9+CA9+CF9+CK9+CP9+CU9+CZ9+DE9+DJ9+DO9+S9+AW9</f>
        <v>32212.600874999993</v>
      </c>
      <c r="J9" s="47">
        <f aca="true" t="shared" si="3" ref="J9:J28">H9+I9</f>
        <v>660463.587875</v>
      </c>
      <c r="K9" s="47">
        <f t="shared" si="2"/>
        <v>9408.437502100001</v>
      </c>
      <c r="M9" s="32">
        <f>C9*$O$7</f>
        <v>48435.915</v>
      </c>
      <c r="N9" s="47">
        <f>D9*$O$7</f>
        <v>2483.4768750000003</v>
      </c>
      <c r="O9" s="47">
        <f aca="true" t="shared" si="4" ref="O9:O29">M9+N9</f>
        <v>50919.391875</v>
      </c>
      <c r="P9" s="47">
        <f aca="true" t="shared" si="5" ref="P9:P29">$F9*O$7</f>
        <v>725.3570445</v>
      </c>
      <c r="R9" s="32">
        <f aca="true" t="shared" si="6" ref="R9:R29">$C9*T$7</f>
        <v>15398.186000000002</v>
      </c>
      <c r="S9" s="32">
        <f aca="true" t="shared" si="7" ref="S9:S29">$D9*T$7</f>
        <v>789.5182500000001</v>
      </c>
      <c r="T9" s="32">
        <f aca="true" t="shared" si="8" ref="T9:T29">R9+S9</f>
        <v>16187.704250000003</v>
      </c>
      <c r="U9" s="47">
        <f aca="true" t="shared" si="9" ref="U9:U29">$F9*T$7</f>
        <v>230.59712380000002</v>
      </c>
      <c r="W9" s="47">
        <f>C9*$Y$7</f>
        <v>104124.442</v>
      </c>
      <c r="X9" s="32">
        <f>D9*$Y$7</f>
        <v>5338.82025</v>
      </c>
      <c r="Y9" s="32">
        <f aca="true" t="shared" si="10" ref="Y9:Y29">W9+X9</f>
        <v>109463.26225</v>
      </c>
      <c r="Z9" s="47">
        <f aca="true" t="shared" si="11" ref="Z9:Z29">$F9*Y$7</f>
        <v>1559.3263286</v>
      </c>
      <c r="AB9" s="32">
        <f>AD$7*$C9</f>
        <v>104695.878</v>
      </c>
      <c r="AC9" s="32">
        <f>AD$7*$D9</f>
        <v>5368.11975</v>
      </c>
      <c r="AD9" s="32">
        <f aca="true" t="shared" si="12" ref="AD9:AD29">AB9+AC9</f>
        <v>110063.99775</v>
      </c>
      <c r="AE9" s="47">
        <f aca="true" t="shared" si="13" ref="AE9:AE29">$F9*AD$7</f>
        <v>1567.8839274</v>
      </c>
      <c r="AG9" s="32">
        <f>C9*$AI$7</f>
        <v>47508.637</v>
      </c>
      <c r="AH9" s="32">
        <f>D9*$AI$7</f>
        <v>2435.9321250000003</v>
      </c>
      <c r="AI9" s="32">
        <f aca="true" t="shared" si="14" ref="AI9:AI29">AG9+AH9</f>
        <v>49944.569125</v>
      </c>
      <c r="AJ9" s="47">
        <f aca="true" t="shared" si="15" ref="AJ9:AJ29">$F9*AI$7</f>
        <v>711.4704971</v>
      </c>
      <c r="AL9" s="32">
        <f>C9*$AN$7</f>
        <v>76.092</v>
      </c>
      <c r="AM9" s="32">
        <f>D9*$AN$7</f>
        <v>3.9015000000000004</v>
      </c>
      <c r="AN9" s="32">
        <f aca="true" t="shared" si="16" ref="AN9:AN29">AL9+AM9</f>
        <v>79.9935</v>
      </c>
      <c r="AO9" s="47">
        <f aca="true" t="shared" si="17" ref="AO9:AO29">$F9*AN$7</f>
        <v>1.1395236</v>
      </c>
      <c r="AQ9" s="32">
        <f>C9*$AS$7</f>
        <v>28753.450999999997</v>
      </c>
      <c r="AR9" s="32">
        <f>D9*$AS$7</f>
        <v>1474.288875</v>
      </c>
      <c r="AS9" s="32">
        <f aca="true" t="shared" si="18" ref="AS9:AS29">AQ9+AR9</f>
        <v>30227.739874999996</v>
      </c>
      <c r="AT9" s="47">
        <f aca="true" t="shared" si="19" ref="AT9:AT29">$F9*AS$7</f>
        <v>430.60027329999997</v>
      </c>
      <c r="AV9" s="32">
        <f>$C9*AX$7</f>
        <v>17617.163</v>
      </c>
      <c r="AW9" s="32">
        <f aca="true" t="shared" si="20" ref="AW9:AW29">$D9*AX$7</f>
        <v>903.292875</v>
      </c>
      <c r="AX9" s="32">
        <f aca="true" t="shared" si="21" ref="AX9:AX29">AV9+AW9</f>
        <v>18520.455875</v>
      </c>
      <c r="AY9" s="47">
        <f aca="true" t="shared" si="22" ref="AY9:AY29">$F9*AX$7</f>
        <v>263.8276429</v>
      </c>
      <c r="BA9" s="32">
        <f>C9*$BC$7</f>
        <v>9709.189999999999</v>
      </c>
      <c r="BB9" s="32">
        <f>D9*$BC$7</f>
        <v>497.82374999999996</v>
      </c>
      <c r="BC9" s="32">
        <f aca="true" t="shared" si="23" ref="BC9:BC29">BA9+BB9</f>
        <v>10207.013749999998</v>
      </c>
      <c r="BD9" s="47">
        <f aca="true" t="shared" si="24" ref="BD9:BD29">$F9*BC$7</f>
        <v>145.40097699999998</v>
      </c>
      <c r="BF9" s="32">
        <f>C9*$BH$7</f>
        <v>7675.967000000001</v>
      </c>
      <c r="BG9" s="32">
        <f>D9*$BH$7</f>
        <v>393.573375</v>
      </c>
      <c r="BH9" s="32">
        <f aca="true" t="shared" si="25" ref="BH9:BH29">BF9+BG9</f>
        <v>8069.5403750000005</v>
      </c>
      <c r="BI9" s="47">
        <f aca="true" t="shared" si="26" ref="BI9:BI29">$F9*BH$7</f>
        <v>114.95223610000001</v>
      </c>
      <c r="BK9" s="32">
        <f>C9*$BM$7</f>
        <v>40247.818999999996</v>
      </c>
      <c r="BL9" s="32">
        <f>D9*$BM$7</f>
        <v>2063.644875</v>
      </c>
      <c r="BM9" s="32">
        <f aca="true" t="shared" si="27" ref="BM9:BM29">BK9+BL9</f>
        <v>42311.463874999994</v>
      </c>
      <c r="BN9" s="47">
        <f aca="true" t="shared" si="28" ref="BN9:BN29">$F9*BM$7</f>
        <v>602.7353677</v>
      </c>
      <c r="BP9" s="32">
        <f>C9*$BR$7</f>
        <v>2721.408</v>
      </c>
      <c r="BQ9" s="32">
        <f>D9*$BR$7</f>
        <v>139.536</v>
      </c>
      <c r="BR9" s="32">
        <f aca="true" t="shared" si="29" ref="BR9:BR29">BP9+BQ9</f>
        <v>2860.944</v>
      </c>
      <c r="BS9" s="47">
        <f aca="true" t="shared" si="30" ref="BS9:BS29">$F9*BR$7</f>
        <v>40.754726399999996</v>
      </c>
      <c r="BU9" s="32">
        <f>C9*$BW$7</f>
        <v>16164.328</v>
      </c>
      <c r="BV9" s="32">
        <f>D9*$BW$7</f>
        <v>828.801</v>
      </c>
      <c r="BW9" s="32">
        <f aca="true" t="shared" si="31" ref="BW9:BW29">BU9+BV9</f>
        <v>16993.129</v>
      </c>
      <c r="BX9" s="47">
        <f aca="true" t="shared" si="32" ref="BX9:BX29">$F9*BW$7</f>
        <v>242.0705624</v>
      </c>
      <c r="BZ9" s="32">
        <f>C9*$CB$7</f>
        <v>13918.122000000001</v>
      </c>
      <c r="CA9" s="32">
        <f>D9*$CB$7</f>
        <v>713.63025</v>
      </c>
      <c r="CB9" s="32">
        <f aca="true" t="shared" si="33" ref="CB9:CB29">BZ9+CA9</f>
        <v>14631.752250000001</v>
      </c>
      <c r="CC9" s="47">
        <f aca="true" t="shared" si="34" ref="CC9:CC29">$F9*CB$7</f>
        <v>208.4322726</v>
      </c>
      <c r="CE9" s="32">
        <f>C9*$CG$7</f>
        <v>14434.726999999999</v>
      </c>
      <c r="CF9" s="32">
        <f>D9*$CG$7</f>
        <v>740.118375</v>
      </c>
      <c r="CG9" s="32">
        <f aca="true" t="shared" si="35" ref="CG9:CG29">CE9+CF9</f>
        <v>15174.845374999999</v>
      </c>
      <c r="CH9" s="47">
        <f aca="true" t="shared" si="36" ref="CH9:CH29">$F9*CG$7</f>
        <v>216.1687441</v>
      </c>
      <c r="CJ9" s="32">
        <f>C9*$CL$7</f>
        <v>6925.8640000000005</v>
      </c>
      <c r="CK9" s="32">
        <f>D9*$CL$7</f>
        <v>355.113</v>
      </c>
      <c r="CL9" s="32">
        <f aca="true" t="shared" si="37" ref="CL9:CL29">CJ9+CK9</f>
        <v>7280.977000000001</v>
      </c>
      <c r="CM9" s="47">
        <f aca="true" t="shared" si="38" ref="CM9:CM29">$F9*CL$7</f>
        <v>103.7189912</v>
      </c>
      <c r="CO9" s="32">
        <f>C9*$CQ$7</f>
        <v>47133.399</v>
      </c>
      <c r="CP9" s="32">
        <f>D9*$CQ$7</f>
        <v>2416.692375</v>
      </c>
      <c r="CQ9" s="32">
        <f aca="true" t="shared" si="39" ref="CQ9:CQ29">CO9+CP9</f>
        <v>49550.091374999996</v>
      </c>
      <c r="CR9" s="47">
        <f aca="true" t="shared" si="40" ref="CR9:CR29">$F9*CQ$7</f>
        <v>705.8510817</v>
      </c>
      <c r="CT9" s="32">
        <f>C9*$CV$7</f>
        <v>28568.07</v>
      </c>
      <c r="CU9" s="32">
        <f>D9*$CV$7</f>
        <v>1464.78375</v>
      </c>
      <c r="CV9" s="32">
        <f aca="true" t="shared" si="41" ref="CV9:CV29">CT9+CU9</f>
        <v>30032.85375</v>
      </c>
      <c r="CW9" s="47">
        <f aca="true" t="shared" si="42" ref="CW9:CW29">$F9*CV$7</f>
        <v>427.824081</v>
      </c>
      <c r="CY9" s="32">
        <f>C9*$DA$7</f>
        <v>373.373</v>
      </c>
      <c r="CZ9" s="47">
        <f>D9*$DA$7</f>
        <v>19.144125</v>
      </c>
      <c r="DA9" s="32">
        <f aca="true" t="shared" si="43" ref="DA9:DA29">CY9+CZ9</f>
        <v>392.51712499999996</v>
      </c>
      <c r="DB9" s="47">
        <f aca="true" t="shared" si="44" ref="DB9:DB29">$F9*DA$7</f>
        <v>5.5914858999999995</v>
      </c>
      <c r="DD9" s="32">
        <f>C9*$DF$7</f>
        <v>68327.632</v>
      </c>
      <c r="DE9" s="47">
        <f>D9*$DF$7</f>
        <v>3503.394</v>
      </c>
      <c r="DF9" s="32">
        <f aca="true" t="shared" si="45" ref="DF9:DF29">DD9+DE9</f>
        <v>71831.026</v>
      </c>
      <c r="DG9" s="47">
        <f aca="true" t="shared" si="46" ref="DG9:DG29">$F9*DF$7</f>
        <v>1023.2475056</v>
      </c>
      <c r="DI9" s="32">
        <f>C9*$DK$7</f>
        <v>224.546</v>
      </c>
      <c r="DJ9" s="32">
        <f>D9*$DK$7</f>
        <v>11.51325</v>
      </c>
      <c r="DK9" s="32">
        <f aca="true" t="shared" si="47" ref="DK9:DK29">DI9+DJ9</f>
        <v>236.05925</v>
      </c>
      <c r="DL9" s="47">
        <f aca="true" t="shared" si="48" ref="DL9:DL29">$F9*DK$7</f>
        <v>3.3627118</v>
      </c>
      <c r="DN9" s="32">
        <f>C9*$DP$7</f>
        <v>5216.778</v>
      </c>
      <c r="DO9" s="32">
        <f>D9*$DP$7</f>
        <v>267.48225</v>
      </c>
      <c r="DP9" s="32">
        <f aca="true" t="shared" si="49" ref="DP9:DP29">DN9+DO9</f>
        <v>5484.26025</v>
      </c>
      <c r="DQ9" s="47">
        <f aca="true" t="shared" si="50" ref="DQ9:DQ29">$F9*DP$7</f>
        <v>78.1243974</v>
      </c>
    </row>
    <row r="10" spans="1:121" ht="12.75">
      <c r="A10" s="19">
        <v>42826</v>
      </c>
      <c r="D10" s="34">
        <f>'2006A '!D10</f>
        <v>98000</v>
      </c>
      <c r="E10" s="34">
        <f t="shared" si="0"/>
        <v>98000</v>
      </c>
      <c r="F10" s="34">
        <f>'2006A '!F10</f>
        <v>55859</v>
      </c>
      <c r="H10" s="67"/>
      <c r="I10" s="47">
        <f t="shared" si="2"/>
        <v>16506.3262</v>
      </c>
      <c r="J10" s="47">
        <f t="shared" si="3"/>
        <v>16506.3262</v>
      </c>
      <c r="K10" s="47">
        <f t="shared" si="2"/>
        <v>9408.437502100001</v>
      </c>
      <c r="N10" s="47">
        <f>D10*$O$7</f>
        <v>1272.579</v>
      </c>
      <c r="O10" s="47">
        <f t="shared" si="4"/>
        <v>1272.579</v>
      </c>
      <c r="P10" s="47">
        <f t="shared" si="5"/>
        <v>725.3570445</v>
      </c>
      <c r="S10" s="32">
        <f t="shared" si="7"/>
        <v>404.5636</v>
      </c>
      <c r="T10" s="32">
        <f t="shared" si="8"/>
        <v>404.5636</v>
      </c>
      <c r="U10" s="47">
        <f t="shared" si="9"/>
        <v>230.59712380000002</v>
      </c>
      <c r="W10" s="47"/>
      <c r="X10" s="32">
        <f>D10*$Y$7</f>
        <v>2735.7092</v>
      </c>
      <c r="Y10" s="32">
        <f t="shared" si="10"/>
        <v>2735.7092</v>
      </c>
      <c r="Z10" s="47">
        <f t="shared" si="11"/>
        <v>1559.3263286</v>
      </c>
      <c r="AB10" s="32">
        <f>AD$7*$C10</f>
        <v>0</v>
      </c>
      <c r="AC10" s="32">
        <f>AD$7*$D10</f>
        <v>2750.7228</v>
      </c>
      <c r="AD10" s="32">
        <f t="shared" si="12"/>
        <v>2750.7228</v>
      </c>
      <c r="AE10" s="47">
        <f t="shared" si="13"/>
        <v>1567.8839274</v>
      </c>
      <c r="AH10" s="32">
        <f>D10*$AI$7</f>
        <v>1248.2162</v>
      </c>
      <c r="AI10" s="32">
        <f t="shared" si="14"/>
        <v>1248.2162</v>
      </c>
      <c r="AJ10" s="47">
        <f t="shared" si="15"/>
        <v>711.4704971</v>
      </c>
      <c r="AM10" s="32">
        <f>D10*$AN$7</f>
        <v>1.9992</v>
      </c>
      <c r="AN10" s="32">
        <f t="shared" si="16"/>
        <v>1.9992</v>
      </c>
      <c r="AO10" s="47">
        <f t="shared" si="17"/>
        <v>1.1395236</v>
      </c>
      <c r="AR10" s="32">
        <f>D10*$AS$7</f>
        <v>755.4526</v>
      </c>
      <c r="AS10" s="32">
        <f t="shared" si="18"/>
        <v>755.4526</v>
      </c>
      <c r="AT10" s="47">
        <f t="shared" si="19"/>
        <v>430.60027329999997</v>
      </c>
      <c r="AW10" s="32">
        <f t="shared" si="20"/>
        <v>462.8638</v>
      </c>
      <c r="AX10" s="32">
        <f t="shared" si="21"/>
        <v>462.8638</v>
      </c>
      <c r="AY10" s="47">
        <f t="shared" si="22"/>
        <v>263.8276429</v>
      </c>
      <c r="BB10" s="32">
        <f>D10*$BC$7</f>
        <v>255.094</v>
      </c>
      <c r="BC10" s="32">
        <f t="shared" si="23"/>
        <v>255.094</v>
      </c>
      <c r="BD10" s="47">
        <f t="shared" si="24"/>
        <v>145.40097699999998</v>
      </c>
      <c r="BG10" s="32">
        <f>D10*$BH$7</f>
        <v>201.6742</v>
      </c>
      <c r="BH10" s="32">
        <f t="shared" si="25"/>
        <v>201.6742</v>
      </c>
      <c r="BI10" s="47">
        <f t="shared" si="26"/>
        <v>114.95223610000001</v>
      </c>
      <c r="BL10" s="32">
        <f>D10*$BM$7</f>
        <v>1057.4494</v>
      </c>
      <c r="BM10" s="32">
        <f t="shared" si="27"/>
        <v>1057.4494</v>
      </c>
      <c r="BN10" s="47">
        <f t="shared" si="28"/>
        <v>602.7353677</v>
      </c>
      <c r="BQ10" s="32">
        <f>D10*$BR$7</f>
        <v>71.5008</v>
      </c>
      <c r="BR10" s="32">
        <f t="shared" si="29"/>
        <v>71.5008</v>
      </c>
      <c r="BS10" s="47">
        <f t="shared" si="30"/>
        <v>40.754726399999996</v>
      </c>
      <c r="BV10" s="32">
        <f>D10*$BW$7</f>
        <v>424.6928</v>
      </c>
      <c r="BW10" s="32">
        <f t="shared" si="31"/>
        <v>424.6928</v>
      </c>
      <c r="BX10" s="47">
        <f t="shared" si="32"/>
        <v>242.0705624</v>
      </c>
      <c r="CA10" s="32">
        <f>D10*$CB$7</f>
        <v>365.6772</v>
      </c>
      <c r="CB10" s="32">
        <f t="shared" si="33"/>
        <v>365.6772</v>
      </c>
      <c r="CC10" s="47">
        <f t="shared" si="34"/>
        <v>208.4322726</v>
      </c>
      <c r="CF10" s="32">
        <f>D10*$CG$7</f>
        <v>379.2502</v>
      </c>
      <c r="CG10" s="32">
        <f t="shared" si="35"/>
        <v>379.2502</v>
      </c>
      <c r="CH10" s="47">
        <f t="shared" si="36"/>
        <v>216.1687441</v>
      </c>
      <c r="CK10" s="32">
        <f>D10*$CL$7</f>
        <v>181.9664</v>
      </c>
      <c r="CL10" s="32">
        <f t="shared" si="37"/>
        <v>181.9664</v>
      </c>
      <c r="CM10" s="47">
        <f t="shared" si="38"/>
        <v>103.7189912</v>
      </c>
      <c r="CP10" s="32">
        <f>D10*$CQ$7</f>
        <v>1238.3573999999999</v>
      </c>
      <c r="CQ10" s="32">
        <f t="shared" si="39"/>
        <v>1238.3573999999999</v>
      </c>
      <c r="CR10" s="47">
        <f t="shared" si="40"/>
        <v>705.8510817</v>
      </c>
      <c r="CU10" s="32">
        <f>D10*$CV$7</f>
        <v>750.582</v>
      </c>
      <c r="CV10" s="32">
        <f t="shared" si="41"/>
        <v>750.582</v>
      </c>
      <c r="CW10" s="47">
        <f t="shared" si="42"/>
        <v>427.824081</v>
      </c>
      <c r="CZ10" s="47">
        <f>D10*$DA$7</f>
        <v>9.8098</v>
      </c>
      <c r="DA10" s="32">
        <f t="shared" si="43"/>
        <v>9.8098</v>
      </c>
      <c r="DB10" s="47">
        <f t="shared" si="44"/>
        <v>5.5914858999999995</v>
      </c>
      <c r="DE10" s="47">
        <f>D10*$DF$7</f>
        <v>1795.2032</v>
      </c>
      <c r="DF10" s="32">
        <f t="shared" si="45"/>
        <v>1795.2032</v>
      </c>
      <c r="DG10" s="47">
        <f t="shared" si="46"/>
        <v>1023.2475056</v>
      </c>
      <c r="DJ10" s="32">
        <f>D10*$DK$7</f>
        <v>5.8996</v>
      </c>
      <c r="DK10" s="32">
        <f t="shared" si="47"/>
        <v>5.8996</v>
      </c>
      <c r="DL10" s="47">
        <f t="shared" si="48"/>
        <v>3.3627118</v>
      </c>
      <c r="DO10" s="32">
        <f>D10*$DP$7</f>
        <v>137.0628</v>
      </c>
      <c r="DP10" s="32">
        <f t="shared" si="49"/>
        <v>137.0628</v>
      </c>
      <c r="DQ10" s="47">
        <f t="shared" si="50"/>
        <v>78.1243974</v>
      </c>
    </row>
    <row r="11" spans="1:121" ht="12.75">
      <c r="A11" s="19">
        <v>43009</v>
      </c>
      <c r="C11" s="34">
        <f>'2006A '!C11</f>
        <v>3920000</v>
      </c>
      <c r="D11" s="34">
        <f>'2006A '!D11</f>
        <v>98000</v>
      </c>
      <c r="E11" s="34">
        <f t="shared" si="0"/>
        <v>4018000</v>
      </c>
      <c r="F11" s="34">
        <f>'2006A '!F11</f>
        <v>55859</v>
      </c>
      <c r="H11" s="67">
        <f t="shared" si="1"/>
        <v>660253.0480000001</v>
      </c>
      <c r="I11" s="47">
        <f t="shared" si="2"/>
        <v>16506.3262</v>
      </c>
      <c r="J11" s="47">
        <f t="shared" si="3"/>
        <v>676759.3742000001</v>
      </c>
      <c r="K11" s="47">
        <f t="shared" si="2"/>
        <v>9408.437502100001</v>
      </c>
      <c r="M11" s="32">
        <f>$C11*O$7</f>
        <v>50903.16</v>
      </c>
      <c r="N11" s="47">
        <f>$D11*O$7</f>
        <v>1272.579</v>
      </c>
      <c r="O11" s="47">
        <f t="shared" si="4"/>
        <v>52175.739</v>
      </c>
      <c r="P11" s="47">
        <f t="shared" si="5"/>
        <v>725.3570445</v>
      </c>
      <c r="R11" s="32">
        <f t="shared" si="6"/>
        <v>16182.544000000002</v>
      </c>
      <c r="S11" s="32">
        <f t="shared" si="7"/>
        <v>404.5636</v>
      </c>
      <c r="T11" s="32">
        <f t="shared" si="8"/>
        <v>16587.107600000003</v>
      </c>
      <c r="U11" s="47">
        <f t="shared" si="9"/>
        <v>230.59712380000002</v>
      </c>
      <c r="W11" s="47">
        <f>C11*$Y$7</f>
        <v>109428.368</v>
      </c>
      <c r="X11" s="32">
        <f>D11*$Y$7</f>
        <v>2735.7092</v>
      </c>
      <c r="Y11" s="32">
        <f t="shared" si="10"/>
        <v>112164.0772</v>
      </c>
      <c r="Z11" s="47">
        <f t="shared" si="11"/>
        <v>1559.3263286</v>
      </c>
      <c r="AB11" s="32">
        <f>AD$7*$C11</f>
        <v>110028.912</v>
      </c>
      <c r="AC11" s="32">
        <f>AD$7*$D11</f>
        <v>2750.7228</v>
      </c>
      <c r="AD11" s="32">
        <f t="shared" si="12"/>
        <v>112779.6348</v>
      </c>
      <c r="AE11" s="47">
        <f t="shared" si="13"/>
        <v>1567.8839274</v>
      </c>
      <c r="AG11" s="32">
        <f>C11*$AI$7</f>
        <v>49928.648</v>
      </c>
      <c r="AH11" s="32">
        <f>D11*$AI$7</f>
        <v>1248.2162</v>
      </c>
      <c r="AI11" s="32">
        <f t="shared" si="14"/>
        <v>51176.8642</v>
      </c>
      <c r="AJ11" s="47">
        <f t="shared" si="15"/>
        <v>711.4704971</v>
      </c>
      <c r="AL11" s="32">
        <f>C11*$AN$7</f>
        <v>79.968</v>
      </c>
      <c r="AM11" s="32">
        <f>D11*$AN$7</f>
        <v>1.9992</v>
      </c>
      <c r="AN11" s="32">
        <f t="shared" si="16"/>
        <v>81.9672</v>
      </c>
      <c r="AO11" s="47">
        <f t="shared" si="17"/>
        <v>1.1395236</v>
      </c>
      <c r="AQ11" s="32">
        <f>C11*$AS$7</f>
        <v>30218.104</v>
      </c>
      <c r="AR11" s="32">
        <f>D11*$AS$7</f>
        <v>755.4526</v>
      </c>
      <c r="AS11" s="32">
        <f t="shared" si="18"/>
        <v>30973.5566</v>
      </c>
      <c r="AT11" s="47">
        <f t="shared" si="19"/>
        <v>430.60027329999997</v>
      </c>
      <c r="AV11" s="32">
        <f>$C11*AX$7</f>
        <v>18514.552</v>
      </c>
      <c r="AW11" s="32">
        <f t="shared" si="20"/>
        <v>462.8638</v>
      </c>
      <c r="AX11" s="32">
        <f t="shared" si="21"/>
        <v>18977.4158</v>
      </c>
      <c r="AY11" s="47">
        <f t="shared" si="22"/>
        <v>263.8276429</v>
      </c>
      <c r="BA11" s="32">
        <f>C11*$BC$7</f>
        <v>10203.76</v>
      </c>
      <c r="BB11" s="32">
        <f>D11*$BC$7</f>
        <v>255.094</v>
      </c>
      <c r="BC11" s="32">
        <f t="shared" si="23"/>
        <v>10458.854</v>
      </c>
      <c r="BD11" s="47">
        <f t="shared" si="24"/>
        <v>145.40097699999998</v>
      </c>
      <c r="BF11" s="32">
        <f>C11*$BH$7</f>
        <v>8066.968000000001</v>
      </c>
      <c r="BG11" s="32">
        <f>D11*$BH$7</f>
        <v>201.6742</v>
      </c>
      <c r="BH11" s="32">
        <f t="shared" si="25"/>
        <v>8268.6422</v>
      </c>
      <c r="BI11" s="47">
        <f t="shared" si="26"/>
        <v>114.95223610000001</v>
      </c>
      <c r="BK11" s="32">
        <f>C11*$BM$7</f>
        <v>42297.975999999995</v>
      </c>
      <c r="BL11" s="32">
        <f>D11*$BM$7</f>
        <v>1057.4494</v>
      </c>
      <c r="BM11" s="32">
        <f t="shared" si="27"/>
        <v>43355.42539999999</v>
      </c>
      <c r="BN11" s="47">
        <f t="shared" si="28"/>
        <v>602.7353677</v>
      </c>
      <c r="BP11" s="32">
        <f>C11*$BR$7</f>
        <v>2860.0319999999997</v>
      </c>
      <c r="BQ11" s="32">
        <f>D11*$BR$7</f>
        <v>71.5008</v>
      </c>
      <c r="BR11" s="32">
        <f t="shared" si="29"/>
        <v>2931.5327999999995</v>
      </c>
      <c r="BS11" s="47">
        <f t="shared" si="30"/>
        <v>40.754726399999996</v>
      </c>
      <c r="BU11" s="32">
        <f>C11*$BW$7</f>
        <v>16987.712</v>
      </c>
      <c r="BV11" s="32">
        <f>D11*$BW$7</f>
        <v>424.6928</v>
      </c>
      <c r="BW11" s="32">
        <f t="shared" si="31"/>
        <v>17412.4048</v>
      </c>
      <c r="BX11" s="47">
        <f t="shared" si="32"/>
        <v>242.0705624</v>
      </c>
      <c r="BZ11" s="32">
        <f>C11*$CB$7</f>
        <v>14627.088000000002</v>
      </c>
      <c r="CA11" s="32">
        <f>D11*$CB$7</f>
        <v>365.6772</v>
      </c>
      <c r="CB11" s="32">
        <f t="shared" si="33"/>
        <v>14992.765200000002</v>
      </c>
      <c r="CC11" s="47">
        <f t="shared" si="34"/>
        <v>208.4322726</v>
      </c>
      <c r="CE11" s="32">
        <f>C11*$CG$7</f>
        <v>15170.008</v>
      </c>
      <c r="CF11" s="32">
        <f>D11*$CG$7</f>
        <v>379.2502</v>
      </c>
      <c r="CG11" s="32">
        <f t="shared" si="35"/>
        <v>15549.2582</v>
      </c>
      <c r="CH11" s="47">
        <f t="shared" si="36"/>
        <v>216.1687441</v>
      </c>
      <c r="CJ11" s="32">
        <f>C11*$CL$7</f>
        <v>7278.656</v>
      </c>
      <c r="CK11" s="32">
        <f>D11*$CL$7</f>
        <v>181.9664</v>
      </c>
      <c r="CL11" s="32">
        <f t="shared" si="37"/>
        <v>7460.6224</v>
      </c>
      <c r="CM11" s="47">
        <f t="shared" si="38"/>
        <v>103.7189912</v>
      </c>
      <c r="CO11" s="32">
        <f>C11*$CQ$7</f>
        <v>49534.296</v>
      </c>
      <c r="CP11" s="32">
        <f>D11*$CQ$7</f>
        <v>1238.3573999999999</v>
      </c>
      <c r="CQ11" s="32">
        <f t="shared" si="39"/>
        <v>50772.6534</v>
      </c>
      <c r="CR11" s="47">
        <f t="shared" si="40"/>
        <v>705.8510817</v>
      </c>
      <c r="CT11" s="32">
        <f>C11*$CV$7</f>
        <v>30023.28</v>
      </c>
      <c r="CU11" s="32">
        <f>D11*$CV$7</f>
        <v>750.582</v>
      </c>
      <c r="CV11" s="32">
        <f t="shared" si="41"/>
        <v>30773.861999999997</v>
      </c>
      <c r="CW11" s="47">
        <f t="shared" si="42"/>
        <v>427.824081</v>
      </c>
      <c r="CY11" s="32">
        <f>C11*$DA$7</f>
        <v>392.392</v>
      </c>
      <c r="CZ11" s="47">
        <f>D11*$DA$7</f>
        <v>9.8098</v>
      </c>
      <c r="DA11" s="32">
        <f t="shared" si="43"/>
        <v>402.2018</v>
      </c>
      <c r="DB11" s="47">
        <f t="shared" si="44"/>
        <v>5.5914858999999995</v>
      </c>
      <c r="DD11" s="32">
        <f>C11*$DF$7</f>
        <v>71808.128</v>
      </c>
      <c r="DE11" s="47">
        <f>D11*$DF$7</f>
        <v>1795.2032</v>
      </c>
      <c r="DF11" s="32">
        <f t="shared" si="45"/>
        <v>73603.3312</v>
      </c>
      <c r="DG11" s="47">
        <f t="shared" si="46"/>
        <v>1023.2475056</v>
      </c>
      <c r="DI11" s="32">
        <f>C11*$DK$7</f>
        <v>235.984</v>
      </c>
      <c r="DJ11" s="32">
        <f>D11*$DK$7</f>
        <v>5.8996</v>
      </c>
      <c r="DK11" s="32">
        <f t="shared" si="47"/>
        <v>241.8836</v>
      </c>
      <c r="DL11" s="47">
        <f t="shared" si="48"/>
        <v>3.3627118</v>
      </c>
      <c r="DN11" s="32">
        <f>C11*$DP$7</f>
        <v>5482.512000000001</v>
      </c>
      <c r="DO11" s="32">
        <f>D11*$DP$7</f>
        <v>137.0628</v>
      </c>
      <c r="DP11" s="32">
        <f t="shared" si="49"/>
        <v>5619.5748</v>
      </c>
      <c r="DQ11" s="47">
        <f t="shared" si="50"/>
        <v>78.1243974</v>
      </c>
    </row>
    <row r="12" spans="1:121" ht="12.75">
      <c r="A12" s="48">
        <v>43191</v>
      </c>
      <c r="D12" s="34">
        <f>'2006A '!D12</f>
        <v>0</v>
      </c>
      <c r="E12" s="34">
        <f t="shared" si="0"/>
        <v>0</v>
      </c>
      <c r="F12" s="34">
        <f>'2006A '!F12</f>
        <v>0</v>
      </c>
      <c r="H12" s="67"/>
      <c r="I12" s="47">
        <f t="shared" si="2"/>
        <v>0</v>
      </c>
      <c r="J12" s="47">
        <f t="shared" si="3"/>
        <v>0</v>
      </c>
      <c r="K12" s="47">
        <f t="shared" si="2"/>
        <v>0</v>
      </c>
      <c r="N12" s="47">
        <f aca="true" t="shared" si="51" ref="N12:N29">$D12*O$7</f>
        <v>0</v>
      </c>
      <c r="O12" s="47">
        <f t="shared" si="4"/>
        <v>0</v>
      </c>
      <c r="P12" s="47">
        <f t="shared" si="5"/>
        <v>0</v>
      </c>
      <c r="S12" s="32">
        <f t="shared" si="7"/>
        <v>0</v>
      </c>
      <c r="T12" s="32">
        <f t="shared" si="8"/>
        <v>0</v>
      </c>
      <c r="U12" s="47">
        <f t="shared" si="9"/>
        <v>0</v>
      </c>
      <c r="X12" s="47">
        <f aca="true" t="shared" si="52" ref="X12:X29">$D12*Y$7</f>
        <v>0</v>
      </c>
      <c r="Y12" s="32">
        <f t="shared" si="10"/>
        <v>0</v>
      </c>
      <c r="Z12" s="47">
        <f t="shared" si="11"/>
        <v>0</v>
      </c>
      <c r="AC12" s="47">
        <f aca="true" t="shared" si="53" ref="AC12:AC29">$D12*AD$7</f>
        <v>0</v>
      </c>
      <c r="AD12" s="32">
        <f t="shared" si="12"/>
        <v>0</v>
      </c>
      <c r="AE12" s="47">
        <f t="shared" si="13"/>
        <v>0</v>
      </c>
      <c r="AH12" s="47">
        <f aca="true" t="shared" si="54" ref="AH12:AH29">$D12*AI$7</f>
        <v>0</v>
      </c>
      <c r="AI12" s="32">
        <f t="shared" si="14"/>
        <v>0</v>
      </c>
      <c r="AJ12" s="47">
        <f t="shared" si="15"/>
        <v>0</v>
      </c>
      <c r="AM12" s="47">
        <f aca="true" t="shared" si="55" ref="AM12:AM29">$D12*AN$7</f>
        <v>0</v>
      </c>
      <c r="AN12" s="32">
        <f t="shared" si="16"/>
        <v>0</v>
      </c>
      <c r="AO12" s="47">
        <f t="shared" si="17"/>
        <v>0</v>
      </c>
      <c r="AR12" s="47">
        <f aca="true" t="shared" si="56" ref="AR12:AR29">$D12*AS$7</f>
        <v>0</v>
      </c>
      <c r="AS12" s="32">
        <f t="shared" si="18"/>
        <v>0</v>
      </c>
      <c r="AT12" s="47">
        <f t="shared" si="19"/>
        <v>0</v>
      </c>
      <c r="AW12" s="32">
        <f t="shared" si="20"/>
        <v>0</v>
      </c>
      <c r="AX12" s="32">
        <f t="shared" si="21"/>
        <v>0</v>
      </c>
      <c r="AY12" s="47">
        <f t="shared" si="22"/>
        <v>0</v>
      </c>
      <c r="BB12" s="47">
        <f aca="true" t="shared" si="57" ref="BB12:BB29">$D12*BC$7</f>
        <v>0</v>
      </c>
      <c r="BC12" s="32">
        <f t="shared" si="23"/>
        <v>0</v>
      </c>
      <c r="BD12" s="47">
        <f t="shared" si="24"/>
        <v>0</v>
      </c>
      <c r="BG12" s="47">
        <f aca="true" t="shared" si="58" ref="BG12:BG29">$D12*BH$7</f>
        <v>0</v>
      </c>
      <c r="BH12" s="32">
        <f t="shared" si="25"/>
        <v>0</v>
      </c>
      <c r="BI12" s="47">
        <f t="shared" si="26"/>
        <v>0</v>
      </c>
      <c r="BL12" s="47">
        <f aca="true" t="shared" si="59" ref="BL12:BL29">$D12*BM$7</f>
        <v>0</v>
      </c>
      <c r="BM12" s="32">
        <f t="shared" si="27"/>
        <v>0</v>
      </c>
      <c r="BN12" s="47">
        <f t="shared" si="28"/>
        <v>0</v>
      </c>
      <c r="BQ12" s="47">
        <f aca="true" t="shared" si="60" ref="BQ12:BQ29">$D12*BR$7</f>
        <v>0</v>
      </c>
      <c r="BR12" s="32">
        <f t="shared" si="29"/>
        <v>0</v>
      </c>
      <c r="BS12" s="47">
        <f t="shared" si="30"/>
        <v>0</v>
      </c>
      <c r="BV12" s="47">
        <f aca="true" t="shared" si="61" ref="BV12:BV29">$D12*BW$7</f>
        <v>0</v>
      </c>
      <c r="BW12" s="32">
        <f t="shared" si="31"/>
        <v>0</v>
      </c>
      <c r="BX12" s="47">
        <f t="shared" si="32"/>
        <v>0</v>
      </c>
      <c r="CA12" s="47">
        <f aca="true" t="shared" si="62" ref="CA12:CA29">$D12*CB$7</f>
        <v>0</v>
      </c>
      <c r="CB12" s="32">
        <f t="shared" si="33"/>
        <v>0</v>
      </c>
      <c r="CC12" s="47">
        <f t="shared" si="34"/>
        <v>0</v>
      </c>
      <c r="CF12" s="47">
        <f aca="true" t="shared" si="63" ref="CF12:CF29">$D12*CG$7</f>
        <v>0</v>
      </c>
      <c r="CG12" s="32">
        <f t="shared" si="35"/>
        <v>0</v>
      </c>
      <c r="CH12" s="47">
        <f t="shared" si="36"/>
        <v>0</v>
      </c>
      <c r="CK12" s="47">
        <f aca="true" t="shared" si="64" ref="CK12:CK29">$D12*CL$7</f>
        <v>0</v>
      </c>
      <c r="CL12" s="32">
        <f t="shared" si="37"/>
        <v>0</v>
      </c>
      <c r="CM12" s="47">
        <f t="shared" si="38"/>
        <v>0</v>
      </c>
      <c r="CP12" s="47">
        <f aca="true" t="shared" si="65" ref="CP12:CP29">$D12*CQ$7</f>
        <v>0</v>
      </c>
      <c r="CQ12" s="32">
        <f t="shared" si="39"/>
        <v>0</v>
      </c>
      <c r="CR12" s="47">
        <f t="shared" si="40"/>
        <v>0</v>
      </c>
      <c r="CU12" s="47">
        <f aca="true" t="shared" si="66" ref="CU12:CU29">$D12*CV$7</f>
        <v>0</v>
      </c>
      <c r="CV12" s="32">
        <f t="shared" si="41"/>
        <v>0</v>
      </c>
      <c r="CW12" s="47">
        <f t="shared" si="42"/>
        <v>0</v>
      </c>
      <c r="CZ12" s="47">
        <f aca="true" t="shared" si="67" ref="CZ12:CZ29">$D12*DA$7</f>
        <v>0</v>
      </c>
      <c r="DA12" s="32">
        <f t="shared" si="43"/>
        <v>0</v>
      </c>
      <c r="DB12" s="47">
        <f t="shared" si="44"/>
        <v>0</v>
      </c>
      <c r="DE12" s="47">
        <f aca="true" t="shared" si="68" ref="DE12:DE29">$D12*DF$7</f>
        <v>0</v>
      </c>
      <c r="DF12" s="32">
        <f t="shared" si="45"/>
        <v>0</v>
      </c>
      <c r="DG12" s="47">
        <f t="shared" si="46"/>
        <v>0</v>
      </c>
      <c r="DJ12" s="47">
        <f aca="true" t="shared" si="69" ref="DJ12:DJ29">$D12*DK$7</f>
        <v>0</v>
      </c>
      <c r="DK12" s="32">
        <f t="shared" si="47"/>
        <v>0</v>
      </c>
      <c r="DL12" s="47">
        <f t="shared" si="48"/>
        <v>0</v>
      </c>
      <c r="DO12" s="47">
        <f aca="true" t="shared" si="70" ref="DO12:DO29">$D12*DP$7</f>
        <v>0</v>
      </c>
      <c r="DP12" s="32">
        <f t="shared" si="49"/>
        <v>0</v>
      </c>
      <c r="DQ12" s="47">
        <f t="shared" si="50"/>
        <v>0</v>
      </c>
    </row>
    <row r="13" spans="1:121" ht="12.75">
      <c r="A13" s="48">
        <v>43374</v>
      </c>
      <c r="C13" s="34">
        <f>'2006A '!C13</f>
        <v>0</v>
      </c>
      <c r="D13" s="34">
        <f>'2006A '!D13</f>
        <v>0</v>
      </c>
      <c r="E13" s="34">
        <f t="shared" si="0"/>
        <v>0</v>
      </c>
      <c r="F13" s="34">
        <f>'2006A '!F13</f>
        <v>0</v>
      </c>
      <c r="H13" s="67">
        <f t="shared" si="1"/>
        <v>0</v>
      </c>
      <c r="I13" s="47">
        <f t="shared" si="2"/>
        <v>0</v>
      </c>
      <c r="J13" s="47">
        <f t="shared" si="3"/>
        <v>0</v>
      </c>
      <c r="K13" s="47">
        <f t="shared" si="2"/>
        <v>0</v>
      </c>
      <c r="M13" s="32">
        <f aca="true" t="shared" si="71" ref="M13:M29">$C13*O$7</f>
        <v>0</v>
      </c>
      <c r="N13" s="47">
        <f t="shared" si="51"/>
        <v>0</v>
      </c>
      <c r="O13" s="47">
        <f t="shared" si="4"/>
        <v>0</v>
      </c>
      <c r="P13" s="47">
        <f t="shared" si="5"/>
        <v>0</v>
      </c>
      <c r="R13" s="32">
        <f t="shared" si="6"/>
        <v>0</v>
      </c>
      <c r="S13" s="32">
        <f t="shared" si="7"/>
        <v>0</v>
      </c>
      <c r="T13" s="32">
        <f t="shared" si="8"/>
        <v>0</v>
      </c>
      <c r="U13" s="47">
        <f t="shared" si="9"/>
        <v>0</v>
      </c>
      <c r="W13" s="32">
        <f>$C13*Y$7</f>
        <v>0</v>
      </c>
      <c r="X13" s="47">
        <f t="shared" si="52"/>
        <v>0</v>
      </c>
      <c r="Y13" s="32">
        <f t="shared" si="10"/>
        <v>0</v>
      </c>
      <c r="Z13" s="47">
        <f t="shared" si="11"/>
        <v>0</v>
      </c>
      <c r="AB13" s="32">
        <f>$C13*AD$7</f>
        <v>0</v>
      </c>
      <c r="AC13" s="47">
        <f t="shared" si="53"/>
        <v>0</v>
      </c>
      <c r="AD13" s="32">
        <f t="shared" si="12"/>
        <v>0</v>
      </c>
      <c r="AE13" s="47">
        <f t="shared" si="13"/>
        <v>0</v>
      </c>
      <c r="AG13" s="32">
        <f>$C13*AI$7</f>
        <v>0</v>
      </c>
      <c r="AH13" s="47">
        <f t="shared" si="54"/>
        <v>0</v>
      </c>
      <c r="AI13" s="32">
        <f t="shared" si="14"/>
        <v>0</v>
      </c>
      <c r="AJ13" s="47">
        <f t="shared" si="15"/>
        <v>0</v>
      </c>
      <c r="AL13" s="32">
        <f>$C13*AN$7</f>
        <v>0</v>
      </c>
      <c r="AM13" s="47">
        <f t="shared" si="55"/>
        <v>0</v>
      </c>
      <c r="AN13" s="32">
        <f t="shared" si="16"/>
        <v>0</v>
      </c>
      <c r="AO13" s="47">
        <f t="shared" si="17"/>
        <v>0</v>
      </c>
      <c r="AQ13" s="32">
        <f>$C13*AS$7</f>
        <v>0</v>
      </c>
      <c r="AR13" s="47">
        <f t="shared" si="56"/>
        <v>0</v>
      </c>
      <c r="AS13" s="32">
        <f t="shared" si="18"/>
        <v>0</v>
      </c>
      <c r="AT13" s="47">
        <f t="shared" si="19"/>
        <v>0</v>
      </c>
      <c r="AV13" s="32">
        <f>$C13*AX$7</f>
        <v>0</v>
      </c>
      <c r="AW13" s="32">
        <f t="shared" si="20"/>
        <v>0</v>
      </c>
      <c r="AX13" s="32">
        <f t="shared" si="21"/>
        <v>0</v>
      </c>
      <c r="AY13" s="47">
        <f t="shared" si="22"/>
        <v>0</v>
      </c>
      <c r="BA13" s="32">
        <f>$C13*BC$7</f>
        <v>0</v>
      </c>
      <c r="BB13" s="47">
        <f t="shared" si="57"/>
        <v>0</v>
      </c>
      <c r="BC13" s="32">
        <f t="shared" si="23"/>
        <v>0</v>
      </c>
      <c r="BD13" s="47">
        <f t="shared" si="24"/>
        <v>0</v>
      </c>
      <c r="BF13" s="32">
        <f>$C13*BH$7</f>
        <v>0</v>
      </c>
      <c r="BG13" s="47">
        <f t="shared" si="58"/>
        <v>0</v>
      </c>
      <c r="BH13" s="32">
        <f t="shared" si="25"/>
        <v>0</v>
      </c>
      <c r="BI13" s="47">
        <f t="shared" si="26"/>
        <v>0</v>
      </c>
      <c r="BK13" s="32">
        <f>$C13*BM$7</f>
        <v>0</v>
      </c>
      <c r="BL13" s="47">
        <f t="shared" si="59"/>
        <v>0</v>
      </c>
      <c r="BM13" s="32">
        <f t="shared" si="27"/>
        <v>0</v>
      </c>
      <c r="BN13" s="47">
        <f t="shared" si="28"/>
        <v>0</v>
      </c>
      <c r="BP13" s="32">
        <f>$C13*BR$7</f>
        <v>0</v>
      </c>
      <c r="BQ13" s="47">
        <f t="shared" si="60"/>
        <v>0</v>
      </c>
      <c r="BR13" s="32">
        <f t="shared" si="29"/>
        <v>0</v>
      </c>
      <c r="BS13" s="47">
        <f t="shared" si="30"/>
        <v>0</v>
      </c>
      <c r="BU13" s="32">
        <f>$C13*BW$7</f>
        <v>0</v>
      </c>
      <c r="BV13" s="47">
        <f t="shared" si="61"/>
        <v>0</v>
      </c>
      <c r="BW13" s="32">
        <f t="shared" si="31"/>
        <v>0</v>
      </c>
      <c r="BX13" s="47">
        <f t="shared" si="32"/>
        <v>0</v>
      </c>
      <c r="BZ13" s="32">
        <f>$C13*CB$7</f>
        <v>0</v>
      </c>
      <c r="CA13" s="47">
        <f t="shared" si="62"/>
        <v>0</v>
      </c>
      <c r="CB13" s="32">
        <f t="shared" si="33"/>
        <v>0</v>
      </c>
      <c r="CC13" s="47">
        <f t="shared" si="34"/>
        <v>0</v>
      </c>
      <c r="CE13" s="32">
        <f>$C13*CG$7</f>
        <v>0</v>
      </c>
      <c r="CF13" s="47">
        <f t="shared" si="63"/>
        <v>0</v>
      </c>
      <c r="CG13" s="32">
        <f t="shared" si="35"/>
        <v>0</v>
      </c>
      <c r="CH13" s="47">
        <f t="shared" si="36"/>
        <v>0</v>
      </c>
      <c r="CJ13" s="32">
        <f>$C13*CL$7</f>
        <v>0</v>
      </c>
      <c r="CK13" s="47">
        <f t="shared" si="64"/>
        <v>0</v>
      </c>
      <c r="CL13" s="32">
        <f t="shared" si="37"/>
        <v>0</v>
      </c>
      <c r="CM13" s="47">
        <f t="shared" si="38"/>
        <v>0</v>
      </c>
      <c r="CO13" s="32">
        <f>$C13*CQ$7</f>
        <v>0</v>
      </c>
      <c r="CP13" s="47">
        <f t="shared" si="65"/>
        <v>0</v>
      </c>
      <c r="CQ13" s="32">
        <f t="shared" si="39"/>
        <v>0</v>
      </c>
      <c r="CR13" s="47">
        <f t="shared" si="40"/>
        <v>0</v>
      </c>
      <c r="CT13" s="32">
        <f>$C13*CV$7</f>
        <v>0</v>
      </c>
      <c r="CU13" s="47">
        <f t="shared" si="66"/>
        <v>0</v>
      </c>
      <c r="CV13" s="32">
        <f t="shared" si="41"/>
        <v>0</v>
      </c>
      <c r="CW13" s="47">
        <f t="shared" si="42"/>
        <v>0</v>
      </c>
      <c r="CY13" s="32">
        <f>$C13*DA$7</f>
        <v>0</v>
      </c>
      <c r="CZ13" s="47">
        <f t="shared" si="67"/>
        <v>0</v>
      </c>
      <c r="DA13" s="32">
        <f t="shared" si="43"/>
        <v>0</v>
      </c>
      <c r="DB13" s="47">
        <f t="shared" si="44"/>
        <v>0</v>
      </c>
      <c r="DD13" s="32">
        <f>$C13*DF$7</f>
        <v>0</v>
      </c>
      <c r="DE13" s="47">
        <f t="shared" si="68"/>
        <v>0</v>
      </c>
      <c r="DF13" s="32">
        <f t="shared" si="45"/>
        <v>0</v>
      </c>
      <c r="DG13" s="47">
        <f t="shared" si="46"/>
        <v>0</v>
      </c>
      <c r="DI13" s="32">
        <f>$C13*DK$7</f>
        <v>0</v>
      </c>
      <c r="DJ13" s="47">
        <f t="shared" si="69"/>
        <v>0</v>
      </c>
      <c r="DK13" s="32">
        <f t="shared" si="47"/>
        <v>0</v>
      </c>
      <c r="DL13" s="47">
        <f t="shared" si="48"/>
        <v>0</v>
      </c>
      <c r="DN13" s="32">
        <f>$C13*DP$7</f>
        <v>0</v>
      </c>
      <c r="DO13" s="47">
        <f t="shared" si="70"/>
        <v>0</v>
      </c>
      <c r="DP13" s="32">
        <f t="shared" si="49"/>
        <v>0</v>
      </c>
      <c r="DQ13" s="47">
        <f t="shared" si="50"/>
        <v>0</v>
      </c>
    </row>
    <row r="14" spans="1:121" ht="12.75">
      <c r="A14" s="48">
        <v>43556</v>
      </c>
      <c r="D14" s="34">
        <f>'2006A '!D14</f>
        <v>0</v>
      </c>
      <c r="E14" s="34">
        <f t="shared" si="0"/>
        <v>0</v>
      </c>
      <c r="F14" s="34">
        <f>'2006A '!F14</f>
        <v>0</v>
      </c>
      <c r="H14" s="67"/>
      <c r="I14" s="47">
        <f t="shared" si="2"/>
        <v>0</v>
      </c>
      <c r="J14" s="47">
        <f t="shared" si="3"/>
        <v>0</v>
      </c>
      <c r="K14" s="47">
        <f t="shared" si="2"/>
        <v>0</v>
      </c>
      <c r="N14" s="47">
        <f t="shared" si="51"/>
        <v>0</v>
      </c>
      <c r="O14" s="47">
        <f t="shared" si="4"/>
        <v>0</v>
      </c>
      <c r="P14" s="47">
        <f t="shared" si="5"/>
        <v>0</v>
      </c>
      <c r="S14" s="32">
        <f t="shared" si="7"/>
        <v>0</v>
      </c>
      <c r="T14" s="32">
        <f t="shared" si="8"/>
        <v>0</v>
      </c>
      <c r="U14" s="47">
        <f t="shared" si="9"/>
        <v>0</v>
      </c>
      <c r="X14" s="47">
        <f t="shared" si="52"/>
        <v>0</v>
      </c>
      <c r="Y14" s="32">
        <f t="shared" si="10"/>
        <v>0</v>
      </c>
      <c r="Z14" s="47">
        <f t="shared" si="11"/>
        <v>0</v>
      </c>
      <c r="AC14" s="47">
        <f t="shared" si="53"/>
        <v>0</v>
      </c>
      <c r="AD14" s="32">
        <f t="shared" si="12"/>
        <v>0</v>
      </c>
      <c r="AE14" s="47">
        <f t="shared" si="13"/>
        <v>0</v>
      </c>
      <c r="AH14" s="47">
        <f t="shared" si="54"/>
        <v>0</v>
      </c>
      <c r="AI14" s="32">
        <f t="shared" si="14"/>
        <v>0</v>
      </c>
      <c r="AJ14" s="47">
        <f t="shared" si="15"/>
        <v>0</v>
      </c>
      <c r="AM14" s="47">
        <f t="shared" si="55"/>
        <v>0</v>
      </c>
      <c r="AN14" s="32">
        <f t="shared" si="16"/>
        <v>0</v>
      </c>
      <c r="AO14" s="47">
        <f t="shared" si="17"/>
        <v>0</v>
      </c>
      <c r="AR14" s="47">
        <f t="shared" si="56"/>
        <v>0</v>
      </c>
      <c r="AS14" s="32">
        <f t="shared" si="18"/>
        <v>0</v>
      </c>
      <c r="AT14" s="47">
        <f t="shared" si="19"/>
        <v>0</v>
      </c>
      <c r="AW14" s="32">
        <f t="shared" si="20"/>
        <v>0</v>
      </c>
      <c r="AX14" s="32">
        <f t="shared" si="21"/>
        <v>0</v>
      </c>
      <c r="AY14" s="47">
        <f t="shared" si="22"/>
        <v>0</v>
      </c>
      <c r="BB14" s="47">
        <f t="shared" si="57"/>
        <v>0</v>
      </c>
      <c r="BC14" s="32">
        <f t="shared" si="23"/>
        <v>0</v>
      </c>
      <c r="BD14" s="47">
        <f t="shared" si="24"/>
        <v>0</v>
      </c>
      <c r="BG14" s="47">
        <f t="shared" si="58"/>
        <v>0</v>
      </c>
      <c r="BH14" s="32">
        <f t="shared" si="25"/>
        <v>0</v>
      </c>
      <c r="BI14" s="47">
        <f t="shared" si="26"/>
        <v>0</v>
      </c>
      <c r="BL14" s="47">
        <f t="shared" si="59"/>
        <v>0</v>
      </c>
      <c r="BM14" s="32">
        <f t="shared" si="27"/>
        <v>0</v>
      </c>
      <c r="BN14" s="47">
        <f t="shared" si="28"/>
        <v>0</v>
      </c>
      <c r="BQ14" s="47">
        <f t="shared" si="60"/>
        <v>0</v>
      </c>
      <c r="BR14" s="32">
        <f t="shared" si="29"/>
        <v>0</v>
      </c>
      <c r="BS14" s="47">
        <f t="shared" si="30"/>
        <v>0</v>
      </c>
      <c r="BV14" s="47">
        <f t="shared" si="61"/>
        <v>0</v>
      </c>
      <c r="BW14" s="32">
        <f t="shared" si="31"/>
        <v>0</v>
      </c>
      <c r="BX14" s="47">
        <f t="shared" si="32"/>
        <v>0</v>
      </c>
      <c r="CA14" s="47">
        <f t="shared" si="62"/>
        <v>0</v>
      </c>
      <c r="CB14" s="32">
        <f t="shared" si="33"/>
        <v>0</v>
      </c>
      <c r="CC14" s="47">
        <f t="shared" si="34"/>
        <v>0</v>
      </c>
      <c r="CF14" s="47">
        <f t="shared" si="63"/>
        <v>0</v>
      </c>
      <c r="CG14" s="32">
        <f t="shared" si="35"/>
        <v>0</v>
      </c>
      <c r="CH14" s="47">
        <f t="shared" si="36"/>
        <v>0</v>
      </c>
      <c r="CK14" s="47">
        <f t="shared" si="64"/>
        <v>0</v>
      </c>
      <c r="CL14" s="32">
        <f t="shared" si="37"/>
        <v>0</v>
      </c>
      <c r="CM14" s="47">
        <f t="shared" si="38"/>
        <v>0</v>
      </c>
      <c r="CP14" s="47">
        <f t="shared" si="65"/>
        <v>0</v>
      </c>
      <c r="CQ14" s="32">
        <f t="shared" si="39"/>
        <v>0</v>
      </c>
      <c r="CR14" s="47">
        <f t="shared" si="40"/>
        <v>0</v>
      </c>
      <c r="CU14" s="47">
        <f t="shared" si="66"/>
        <v>0</v>
      </c>
      <c r="CV14" s="32">
        <f t="shared" si="41"/>
        <v>0</v>
      </c>
      <c r="CW14" s="47">
        <f t="shared" si="42"/>
        <v>0</v>
      </c>
      <c r="CZ14" s="47">
        <f t="shared" si="67"/>
        <v>0</v>
      </c>
      <c r="DA14" s="32">
        <f t="shared" si="43"/>
        <v>0</v>
      </c>
      <c r="DB14" s="47">
        <f t="shared" si="44"/>
        <v>0</v>
      </c>
      <c r="DE14" s="47">
        <f t="shared" si="68"/>
        <v>0</v>
      </c>
      <c r="DF14" s="32">
        <f t="shared" si="45"/>
        <v>0</v>
      </c>
      <c r="DG14" s="47">
        <f t="shared" si="46"/>
        <v>0</v>
      </c>
      <c r="DJ14" s="47">
        <f t="shared" si="69"/>
        <v>0</v>
      </c>
      <c r="DK14" s="32">
        <f t="shared" si="47"/>
        <v>0</v>
      </c>
      <c r="DL14" s="47">
        <f t="shared" si="48"/>
        <v>0</v>
      </c>
      <c r="DO14" s="47">
        <f t="shared" si="70"/>
        <v>0</v>
      </c>
      <c r="DP14" s="32">
        <f t="shared" si="49"/>
        <v>0</v>
      </c>
      <c r="DQ14" s="47">
        <f t="shared" si="50"/>
        <v>0</v>
      </c>
    </row>
    <row r="15" spans="1:121" ht="12.75">
      <c r="A15" s="48">
        <v>43739</v>
      </c>
      <c r="C15" s="34">
        <f>'2006A '!C15</f>
        <v>0</v>
      </c>
      <c r="D15" s="34">
        <f>'2006A '!D15</f>
        <v>0</v>
      </c>
      <c r="E15" s="34">
        <f t="shared" si="0"/>
        <v>0</v>
      </c>
      <c r="F15" s="34">
        <f>'2006A '!F15</f>
        <v>0</v>
      </c>
      <c r="H15" s="67">
        <f t="shared" si="1"/>
        <v>0</v>
      </c>
      <c r="I15" s="47">
        <f t="shared" si="2"/>
        <v>0</v>
      </c>
      <c r="J15" s="47">
        <f t="shared" si="3"/>
        <v>0</v>
      </c>
      <c r="K15" s="47">
        <f t="shared" si="2"/>
        <v>0</v>
      </c>
      <c r="M15" s="32">
        <f t="shared" si="71"/>
        <v>0</v>
      </c>
      <c r="N15" s="47">
        <f t="shared" si="51"/>
        <v>0</v>
      </c>
      <c r="O15" s="47">
        <f t="shared" si="4"/>
        <v>0</v>
      </c>
      <c r="P15" s="47">
        <f t="shared" si="5"/>
        <v>0</v>
      </c>
      <c r="R15" s="32">
        <f t="shared" si="6"/>
        <v>0</v>
      </c>
      <c r="S15" s="32">
        <f t="shared" si="7"/>
        <v>0</v>
      </c>
      <c r="T15" s="32">
        <f t="shared" si="8"/>
        <v>0</v>
      </c>
      <c r="U15" s="47">
        <f t="shared" si="9"/>
        <v>0</v>
      </c>
      <c r="W15" s="32">
        <f>$C15*Y$7</f>
        <v>0</v>
      </c>
      <c r="X15" s="47">
        <f t="shared" si="52"/>
        <v>0</v>
      </c>
      <c r="Y15" s="32">
        <f t="shared" si="10"/>
        <v>0</v>
      </c>
      <c r="Z15" s="47">
        <f t="shared" si="11"/>
        <v>0</v>
      </c>
      <c r="AB15" s="32">
        <f>$C15*AD$7</f>
        <v>0</v>
      </c>
      <c r="AC15" s="47">
        <f t="shared" si="53"/>
        <v>0</v>
      </c>
      <c r="AD15" s="32">
        <f t="shared" si="12"/>
        <v>0</v>
      </c>
      <c r="AE15" s="47">
        <f t="shared" si="13"/>
        <v>0</v>
      </c>
      <c r="AG15" s="32">
        <f>$C15*AI$7</f>
        <v>0</v>
      </c>
      <c r="AH15" s="47">
        <f t="shared" si="54"/>
        <v>0</v>
      </c>
      <c r="AI15" s="32">
        <f t="shared" si="14"/>
        <v>0</v>
      </c>
      <c r="AJ15" s="47">
        <f t="shared" si="15"/>
        <v>0</v>
      </c>
      <c r="AL15" s="32">
        <f>$C15*AN$7</f>
        <v>0</v>
      </c>
      <c r="AM15" s="47">
        <f t="shared" si="55"/>
        <v>0</v>
      </c>
      <c r="AN15" s="32">
        <f t="shared" si="16"/>
        <v>0</v>
      </c>
      <c r="AO15" s="47">
        <f t="shared" si="17"/>
        <v>0</v>
      </c>
      <c r="AQ15" s="32">
        <f>$C15*AS$7</f>
        <v>0</v>
      </c>
      <c r="AR15" s="47">
        <f t="shared" si="56"/>
        <v>0</v>
      </c>
      <c r="AS15" s="32">
        <f t="shared" si="18"/>
        <v>0</v>
      </c>
      <c r="AT15" s="47">
        <f t="shared" si="19"/>
        <v>0</v>
      </c>
      <c r="AV15" s="32">
        <f>$C15*AX$7</f>
        <v>0</v>
      </c>
      <c r="AW15" s="32">
        <f t="shared" si="20"/>
        <v>0</v>
      </c>
      <c r="AX15" s="32">
        <f t="shared" si="21"/>
        <v>0</v>
      </c>
      <c r="AY15" s="47">
        <f t="shared" si="22"/>
        <v>0</v>
      </c>
      <c r="BA15" s="32">
        <f>$C15*BC$7</f>
        <v>0</v>
      </c>
      <c r="BB15" s="47">
        <f t="shared" si="57"/>
        <v>0</v>
      </c>
      <c r="BC15" s="32">
        <f t="shared" si="23"/>
        <v>0</v>
      </c>
      <c r="BD15" s="47">
        <f t="shared" si="24"/>
        <v>0</v>
      </c>
      <c r="BF15" s="32">
        <f>$C15*BH$7</f>
        <v>0</v>
      </c>
      <c r="BG15" s="47">
        <f t="shared" si="58"/>
        <v>0</v>
      </c>
      <c r="BH15" s="32">
        <f t="shared" si="25"/>
        <v>0</v>
      </c>
      <c r="BI15" s="47">
        <f t="shared" si="26"/>
        <v>0</v>
      </c>
      <c r="BK15" s="32">
        <f>$C15*BM$7</f>
        <v>0</v>
      </c>
      <c r="BL15" s="47">
        <f t="shared" si="59"/>
        <v>0</v>
      </c>
      <c r="BM15" s="32">
        <f t="shared" si="27"/>
        <v>0</v>
      </c>
      <c r="BN15" s="47">
        <f t="shared" si="28"/>
        <v>0</v>
      </c>
      <c r="BP15" s="32">
        <f>$C15*BR$7</f>
        <v>0</v>
      </c>
      <c r="BQ15" s="47">
        <f t="shared" si="60"/>
        <v>0</v>
      </c>
      <c r="BR15" s="32">
        <f t="shared" si="29"/>
        <v>0</v>
      </c>
      <c r="BS15" s="47">
        <f t="shared" si="30"/>
        <v>0</v>
      </c>
      <c r="BU15" s="32">
        <f>$C15*BW$7</f>
        <v>0</v>
      </c>
      <c r="BV15" s="47">
        <f t="shared" si="61"/>
        <v>0</v>
      </c>
      <c r="BW15" s="32">
        <f t="shared" si="31"/>
        <v>0</v>
      </c>
      <c r="BX15" s="47">
        <f t="shared" si="32"/>
        <v>0</v>
      </c>
      <c r="BZ15" s="32">
        <f>$C15*CB$7</f>
        <v>0</v>
      </c>
      <c r="CA15" s="47">
        <f t="shared" si="62"/>
        <v>0</v>
      </c>
      <c r="CB15" s="32">
        <f t="shared" si="33"/>
        <v>0</v>
      </c>
      <c r="CC15" s="47">
        <f t="shared" si="34"/>
        <v>0</v>
      </c>
      <c r="CE15" s="32">
        <f>$C15*CG$7</f>
        <v>0</v>
      </c>
      <c r="CF15" s="47">
        <f t="shared" si="63"/>
        <v>0</v>
      </c>
      <c r="CG15" s="32">
        <f t="shared" si="35"/>
        <v>0</v>
      </c>
      <c r="CH15" s="47">
        <f t="shared" si="36"/>
        <v>0</v>
      </c>
      <c r="CJ15" s="32">
        <f>$C15*CL$7</f>
        <v>0</v>
      </c>
      <c r="CK15" s="47">
        <f t="shared" si="64"/>
        <v>0</v>
      </c>
      <c r="CL15" s="32">
        <f t="shared" si="37"/>
        <v>0</v>
      </c>
      <c r="CM15" s="47">
        <f t="shared" si="38"/>
        <v>0</v>
      </c>
      <c r="CO15" s="32">
        <f>$C15*CQ$7</f>
        <v>0</v>
      </c>
      <c r="CP15" s="47">
        <f t="shared" si="65"/>
        <v>0</v>
      </c>
      <c r="CQ15" s="32">
        <f t="shared" si="39"/>
        <v>0</v>
      </c>
      <c r="CR15" s="47">
        <f t="shared" si="40"/>
        <v>0</v>
      </c>
      <c r="CT15" s="32">
        <f>$C15*CV$7</f>
        <v>0</v>
      </c>
      <c r="CU15" s="47">
        <f t="shared" si="66"/>
        <v>0</v>
      </c>
      <c r="CV15" s="32">
        <f t="shared" si="41"/>
        <v>0</v>
      </c>
      <c r="CW15" s="47">
        <f t="shared" si="42"/>
        <v>0</v>
      </c>
      <c r="CY15" s="32">
        <f>$C15*DA$7</f>
        <v>0</v>
      </c>
      <c r="CZ15" s="47">
        <f t="shared" si="67"/>
        <v>0</v>
      </c>
      <c r="DA15" s="32">
        <f t="shared" si="43"/>
        <v>0</v>
      </c>
      <c r="DB15" s="47">
        <f t="shared" si="44"/>
        <v>0</v>
      </c>
      <c r="DD15" s="32">
        <f>$C15*DF$7</f>
        <v>0</v>
      </c>
      <c r="DE15" s="47">
        <f t="shared" si="68"/>
        <v>0</v>
      </c>
      <c r="DF15" s="32">
        <f t="shared" si="45"/>
        <v>0</v>
      </c>
      <c r="DG15" s="47">
        <f t="shared" si="46"/>
        <v>0</v>
      </c>
      <c r="DI15" s="32">
        <f>$C15*DK$7</f>
        <v>0</v>
      </c>
      <c r="DJ15" s="47">
        <f t="shared" si="69"/>
        <v>0</v>
      </c>
      <c r="DK15" s="32">
        <f t="shared" si="47"/>
        <v>0</v>
      </c>
      <c r="DL15" s="47">
        <f t="shared" si="48"/>
        <v>0</v>
      </c>
      <c r="DN15" s="32">
        <f>$C15*DP$7</f>
        <v>0</v>
      </c>
      <c r="DO15" s="47">
        <f t="shared" si="70"/>
        <v>0</v>
      </c>
      <c r="DP15" s="32">
        <f t="shared" si="49"/>
        <v>0</v>
      </c>
      <c r="DQ15" s="47">
        <f t="shared" si="50"/>
        <v>0</v>
      </c>
    </row>
    <row r="16" spans="1:121" ht="12.75">
      <c r="A16" s="48">
        <v>43922</v>
      </c>
      <c r="B16" s="49"/>
      <c r="D16" s="34">
        <f>'2006A '!D16</f>
        <v>0</v>
      </c>
      <c r="E16" s="34">
        <f t="shared" si="0"/>
        <v>0</v>
      </c>
      <c r="F16" s="34">
        <f>'2006A '!F16</f>
        <v>0</v>
      </c>
      <c r="H16" s="67"/>
      <c r="I16" s="47">
        <f t="shared" si="2"/>
        <v>0</v>
      </c>
      <c r="J16" s="47">
        <f t="shared" si="3"/>
        <v>0</v>
      </c>
      <c r="K16" s="47">
        <f t="shared" si="2"/>
        <v>0</v>
      </c>
      <c r="N16" s="47">
        <f t="shared" si="51"/>
        <v>0</v>
      </c>
      <c r="O16" s="47">
        <f t="shared" si="4"/>
        <v>0</v>
      </c>
      <c r="P16" s="47">
        <f t="shared" si="5"/>
        <v>0</v>
      </c>
      <c r="S16" s="32">
        <f t="shared" si="7"/>
        <v>0</v>
      </c>
      <c r="T16" s="32">
        <f t="shared" si="8"/>
        <v>0</v>
      </c>
      <c r="U16" s="47">
        <f t="shared" si="9"/>
        <v>0</v>
      </c>
      <c r="X16" s="47">
        <f t="shared" si="52"/>
        <v>0</v>
      </c>
      <c r="Y16" s="32">
        <f t="shared" si="10"/>
        <v>0</v>
      </c>
      <c r="Z16" s="47">
        <f t="shared" si="11"/>
        <v>0</v>
      </c>
      <c r="AC16" s="47">
        <f t="shared" si="53"/>
        <v>0</v>
      </c>
      <c r="AD16" s="32">
        <f t="shared" si="12"/>
        <v>0</v>
      </c>
      <c r="AE16" s="47">
        <f t="shared" si="13"/>
        <v>0</v>
      </c>
      <c r="AH16" s="47">
        <f t="shared" si="54"/>
        <v>0</v>
      </c>
      <c r="AI16" s="32">
        <f t="shared" si="14"/>
        <v>0</v>
      </c>
      <c r="AJ16" s="47">
        <f t="shared" si="15"/>
        <v>0</v>
      </c>
      <c r="AM16" s="47">
        <f t="shared" si="55"/>
        <v>0</v>
      </c>
      <c r="AN16" s="32">
        <f t="shared" si="16"/>
        <v>0</v>
      </c>
      <c r="AO16" s="47">
        <f t="shared" si="17"/>
        <v>0</v>
      </c>
      <c r="AR16" s="47">
        <f t="shared" si="56"/>
        <v>0</v>
      </c>
      <c r="AS16" s="32">
        <f t="shared" si="18"/>
        <v>0</v>
      </c>
      <c r="AT16" s="47">
        <f t="shared" si="19"/>
        <v>0</v>
      </c>
      <c r="AW16" s="32">
        <f t="shared" si="20"/>
        <v>0</v>
      </c>
      <c r="AX16" s="32">
        <f t="shared" si="21"/>
        <v>0</v>
      </c>
      <c r="AY16" s="47">
        <f t="shared" si="22"/>
        <v>0</v>
      </c>
      <c r="BB16" s="47">
        <f t="shared" si="57"/>
        <v>0</v>
      </c>
      <c r="BC16" s="32">
        <f t="shared" si="23"/>
        <v>0</v>
      </c>
      <c r="BD16" s="47">
        <f t="shared" si="24"/>
        <v>0</v>
      </c>
      <c r="BG16" s="47">
        <f t="shared" si="58"/>
        <v>0</v>
      </c>
      <c r="BH16" s="32">
        <f t="shared" si="25"/>
        <v>0</v>
      </c>
      <c r="BI16" s="47">
        <f t="shared" si="26"/>
        <v>0</v>
      </c>
      <c r="BL16" s="47">
        <f t="shared" si="59"/>
        <v>0</v>
      </c>
      <c r="BM16" s="32">
        <f t="shared" si="27"/>
        <v>0</v>
      </c>
      <c r="BN16" s="47">
        <f t="shared" si="28"/>
        <v>0</v>
      </c>
      <c r="BQ16" s="47">
        <f t="shared" si="60"/>
        <v>0</v>
      </c>
      <c r="BR16" s="32">
        <f t="shared" si="29"/>
        <v>0</v>
      </c>
      <c r="BS16" s="47">
        <f t="shared" si="30"/>
        <v>0</v>
      </c>
      <c r="BV16" s="47">
        <f t="shared" si="61"/>
        <v>0</v>
      </c>
      <c r="BW16" s="32">
        <f t="shared" si="31"/>
        <v>0</v>
      </c>
      <c r="BX16" s="47">
        <f t="shared" si="32"/>
        <v>0</v>
      </c>
      <c r="CA16" s="47">
        <f t="shared" si="62"/>
        <v>0</v>
      </c>
      <c r="CB16" s="32">
        <f t="shared" si="33"/>
        <v>0</v>
      </c>
      <c r="CC16" s="47">
        <f t="shared" si="34"/>
        <v>0</v>
      </c>
      <c r="CF16" s="47">
        <f t="shared" si="63"/>
        <v>0</v>
      </c>
      <c r="CG16" s="32">
        <f t="shared" si="35"/>
        <v>0</v>
      </c>
      <c r="CH16" s="47">
        <f t="shared" si="36"/>
        <v>0</v>
      </c>
      <c r="CK16" s="47">
        <f t="shared" si="64"/>
        <v>0</v>
      </c>
      <c r="CL16" s="32">
        <f t="shared" si="37"/>
        <v>0</v>
      </c>
      <c r="CM16" s="47">
        <f t="shared" si="38"/>
        <v>0</v>
      </c>
      <c r="CP16" s="47">
        <f t="shared" si="65"/>
        <v>0</v>
      </c>
      <c r="CQ16" s="32">
        <f t="shared" si="39"/>
        <v>0</v>
      </c>
      <c r="CR16" s="47">
        <f t="shared" si="40"/>
        <v>0</v>
      </c>
      <c r="CU16" s="47">
        <f t="shared" si="66"/>
        <v>0</v>
      </c>
      <c r="CV16" s="32">
        <f t="shared" si="41"/>
        <v>0</v>
      </c>
      <c r="CW16" s="47">
        <f t="shared" si="42"/>
        <v>0</v>
      </c>
      <c r="CZ16" s="47">
        <f t="shared" si="67"/>
        <v>0</v>
      </c>
      <c r="DA16" s="32">
        <f t="shared" si="43"/>
        <v>0</v>
      </c>
      <c r="DB16" s="47">
        <f t="shared" si="44"/>
        <v>0</v>
      </c>
      <c r="DE16" s="47">
        <f t="shared" si="68"/>
        <v>0</v>
      </c>
      <c r="DF16" s="32">
        <f t="shared" si="45"/>
        <v>0</v>
      </c>
      <c r="DG16" s="47">
        <f t="shared" si="46"/>
        <v>0</v>
      </c>
      <c r="DJ16" s="47">
        <f t="shared" si="69"/>
        <v>0</v>
      </c>
      <c r="DK16" s="32">
        <f t="shared" si="47"/>
        <v>0</v>
      </c>
      <c r="DL16" s="47">
        <f t="shared" si="48"/>
        <v>0</v>
      </c>
      <c r="DO16" s="47">
        <f t="shared" si="70"/>
        <v>0</v>
      </c>
      <c r="DP16" s="32">
        <f t="shared" si="49"/>
        <v>0</v>
      </c>
      <c r="DQ16" s="47">
        <f t="shared" si="50"/>
        <v>0</v>
      </c>
    </row>
    <row r="17" spans="1:121" ht="12.75">
      <c r="A17" s="48">
        <v>44105</v>
      </c>
      <c r="B17" s="49"/>
      <c r="C17" s="34">
        <f>'2006A '!C17</f>
        <v>0</v>
      </c>
      <c r="D17" s="34">
        <f>'2006A '!D17</f>
        <v>0</v>
      </c>
      <c r="E17" s="34">
        <f t="shared" si="0"/>
        <v>0</v>
      </c>
      <c r="F17" s="34">
        <f>'2006A '!F17</f>
        <v>0</v>
      </c>
      <c r="H17" s="67">
        <f t="shared" si="1"/>
        <v>0</v>
      </c>
      <c r="I17" s="47">
        <f t="shared" si="2"/>
        <v>0</v>
      </c>
      <c r="J17" s="47">
        <f t="shared" si="3"/>
        <v>0</v>
      </c>
      <c r="K17" s="47">
        <f t="shared" si="2"/>
        <v>0</v>
      </c>
      <c r="M17" s="32">
        <f t="shared" si="71"/>
        <v>0</v>
      </c>
      <c r="N17" s="47">
        <f t="shared" si="51"/>
        <v>0</v>
      </c>
      <c r="O17" s="47">
        <f t="shared" si="4"/>
        <v>0</v>
      </c>
      <c r="P17" s="47">
        <f t="shared" si="5"/>
        <v>0</v>
      </c>
      <c r="R17" s="32">
        <f t="shared" si="6"/>
        <v>0</v>
      </c>
      <c r="S17" s="32">
        <f t="shared" si="7"/>
        <v>0</v>
      </c>
      <c r="T17" s="32">
        <f t="shared" si="8"/>
        <v>0</v>
      </c>
      <c r="U17" s="47">
        <f t="shared" si="9"/>
        <v>0</v>
      </c>
      <c r="W17" s="32">
        <f>$C17*Y$7</f>
        <v>0</v>
      </c>
      <c r="X17" s="47">
        <f t="shared" si="52"/>
        <v>0</v>
      </c>
      <c r="Y17" s="32">
        <f t="shared" si="10"/>
        <v>0</v>
      </c>
      <c r="Z17" s="47">
        <f t="shared" si="11"/>
        <v>0</v>
      </c>
      <c r="AB17" s="32">
        <f>$C17*AD$7</f>
        <v>0</v>
      </c>
      <c r="AC17" s="47">
        <f t="shared" si="53"/>
        <v>0</v>
      </c>
      <c r="AD17" s="32">
        <f t="shared" si="12"/>
        <v>0</v>
      </c>
      <c r="AE17" s="47">
        <f t="shared" si="13"/>
        <v>0</v>
      </c>
      <c r="AG17" s="32">
        <f>$C17*AI$7</f>
        <v>0</v>
      </c>
      <c r="AH17" s="47">
        <f t="shared" si="54"/>
        <v>0</v>
      </c>
      <c r="AI17" s="32">
        <f t="shared" si="14"/>
        <v>0</v>
      </c>
      <c r="AJ17" s="47">
        <f t="shared" si="15"/>
        <v>0</v>
      </c>
      <c r="AL17" s="32">
        <f>$C17*AN$7</f>
        <v>0</v>
      </c>
      <c r="AM17" s="47">
        <f t="shared" si="55"/>
        <v>0</v>
      </c>
      <c r="AN17" s="32">
        <f t="shared" si="16"/>
        <v>0</v>
      </c>
      <c r="AO17" s="47">
        <f t="shared" si="17"/>
        <v>0</v>
      </c>
      <c r="AQ17" s="32">
        <f>$C17*AS$7</f>
        <v>0</v>
      </c>
      <c r="AR17" s="47">
        <f t="shared" si="56"/>
        <v>0</v>
      </c>
      <c r="AS17" s="32">
        <f t="shared" si="18"/>
        <v>0</v>
      </c>
      <c r="AT17" s="47">
        <f t="shared" si="19"/>
        <v>0</v>
      </c>
      <c r="AV17" s="32">
        <f>$C17*AX$7</f>
        <v>0</v>
      </c>
      <c r="AW17" s="32">
        <f t="shared" si="20"/>
        <v>0</v>
      </c>
      <c r="AX17" s="32">
        <f t="shared" si="21"/>
        <v>0</v>
      </c>
      <c r="AY17" s="47">
        <f t="shared" si="22"/>
        <v>0</v>
      </c>
      <c r="BA17" s="32">
        <f>$C17*BC$7</f>
        <v>0</v>
      </c>
      <c r="BB17" s="47">
        <f t="shared" si="57"/>
        <v>0</v>
      </c>
      <c r="BC17" s="32">
        <f t="shared" si="23"/>
        <v>0</v>
      </c>
      <c r="BD17" s="47">
        <f t="shared" si="24"/>
        <v>0</v>
      </c>
      <c r="BF17" s="32">
        <f>$C17*BH$7</f>
        <v>0</v>
      </c>
      <c r="BG17" s="47">
        <f t="shared" si="58"/>
        <v>0</v>
      </c>
      <c r="BH17" s="32">
        <f t="shared" si="25"/>
        <v>0</v>
      </c>
      <c r="BI17" s="47">
        <f t="shared" si="26"/>
        <v>0</v>
      </c>
      <c r="BK17" s="32">
        <f>$C17*BM$7</f>
        <v>0</v>
      </c>
      <c r="BL17" s="47">
        <f t="shared" si="59"/>
        <v>0</v>
      </c>
      <c r="BM17" s="32">
        <f t="shared" si="27"/>
        <v>0</v>
      </c>
      <c r="BN17" s="47">
        <f t="shared" si="28"/>
        <v>0</v>
      </c>
      <c r="BP17" s="32">
        <f>$C17*BR$7</f>
        <v>0</v>
      </c>
      <c r="BQ17" s="47">
        <f t="shared" si="60"/>
        <v>0</v>
      </c>
      <c r="BR17" s="32">
        <f t="shared" si="29"/>
        <v>0</v>
      </c>
      <c r="BS17" s="47">
        <f t="shared" si="30"/>
        <v>0</v>
      </c>
      <c r="BU17" s="32">
        <f>$C17*BW$7</f>
        <v>0</v>
      </c>
      <c r="BV17" s="47">
        <f t="shared" si="61"/>
        <v>0</v>
      </c>
      <c r="BW17" s="32">
        <f t="shared" si="31"/>
        <v>0</v>
      </c>
      <c r="BX17" s="47">
        <f t="shared" si="32"/>
        <v>0</v>
      </c>
      <c r="BZ17" s="32">
        <f>$C17*CB$7</f>
        <v>0</v>
      </c>
      <c r="CA17" s="47">
        <f t="shared" si="62"/>
        <v>0</v>
      </c>
      <c r="CB17" s="32">
        <f t="shared" si="33"/>
        <v>0</v>
      </c>
      <c r="CC17" s="47">
        <f t="shared" si="34"/>
        <v>0</v>
      </c>
      <c r="CE17" s="32">
        <f>$C17*CG$7</f>
        <v>0</v>
      </c>
      <c r="CF17" s="47">
        <f t="shared" si="63"/>
        <v>0</v>
      </c>
      <c r="CG17" s="32">
        <f t="shared" si="35"/>
        <v>0</v>
      </c>
      <c r="CH17" s="47">
        <f t="shared" si="36"/>
        <v>0</v>
      </c>
      <c r="CJ17" s="32">
        <f>$C17*CL$7</f>
        <v>0</v>
      </c>
      <c r="CK17" s="47">
        <f t="shared" si="64"/>
        <v>0</v>
      </c>
      <c r="CL17" s="32">
        <f t="shared" si="37"/>
        <v>0</v>
      </c>
      <c r="CM17" s="47">
        <f t="shared" si="38"/>
        <v>0</v>
      </c>
      <c r="CO17" s="32">
        <f>$C17*CQ$7</f>
        <v>0</v>
      </c>
      <c r="CP17" s="47">
        <f t="shared" si="65"/>
        <v>0</v>
      </c>
      <c r="CQ17" s="32">
        <f t="shared" si="39"/>
        <v>0</v>
      </c>
      <c r="CR17" s="47">
        <f t="shared" si="40"/>
        <v>0</v>
      </c>
      <c r="CT17" s="32">
        <f>$C17*CV$7</f>
        <v>0</v>
      </c>
      <c r="CU17" s="47">
        <f t="shared" si="66"/>
        <v>0</v>
      </c>
      <c r="CV17" s="32">
        <f t="shared" si="41"/>
        <v>0</v>
      </c>
      <c r="CW17" s="47">
        <f t="shared" si="42"/>
        <v>0</v>
      </c>
      <c r="CY17" s="32">
        <f>$C17*DA$7</f>
        <v>0</v>
      </c>
      <c r="CZ17" s="47">
        <f t="shared" si="67"/>
        <v>0</v>
      </c>
      <c r="DA17" s="32">
        <f t="shared" si="43"/>
        <v>0</v>
      </c>
      <c r="DB17" s="47">
        <f t="shared" si="44"/>
        <v>0</v>
      </c>
      <c r="DD17" s="32">
        <f>$C17*DF$7</f>
        <v>0</v>
      </c>
      <c r="DE17" s="47">
        <f t="shared" si="68"/>
        <v>0</v>
      </c>
      <c r="DF17" s="32">
        <f t="shared" si="45"/>
        <v>0</v>
      </c>
      <c r="DG17" s="47">
        <f t="shared" si="46"/>
        <v>0</v>
      </c>
      <c r="DI17" s="32">
        <f>$C17*DK$7</f>
        <v>0</v>
      </c>
      <c r="DJ17" s="47">
        <f t="shared" si="69"/>
        <v>0</v>
      </c>
      <c r="DK17" s="32">
        <f t="shared" si="47"/>
        <v>0</v>
      </c>
      <c r="DL17" s="47">
        <f t="shared" si="48"/>
        <v>0</v>
      </c>
      <c r="DN17" s="32">
        <f>$C17*DP$7</f>
        <v>0</v>
      </c>
      <c r="DO17" s="47">
        <f t="shared" si="70"/>
        <v>0</v>
      </c>
      <c r="DP17" s="32">
        <f t="shared" si="49"/>
        <v>0</v>
      </c>
      <c r="DQ17" s="47">
        <f t="shared" si="50"/>
        <v>0</v>
      </c>
    </row>
    <row r="18" spans="1:121" s="49" customFormat="1" ht="12.75">
      <c r="A18" s="48">
        <v>44287</v>
      </c>
      <c r="C18" s="34"/>
      <c r="D18" s="34">
        <f>'2006A '!D18</f>
        <v>0</v>
      </c>
      <c r="E18" s="34">
        <f t="shared" si="0"/>
        <v>0</v>
      </c>
      <c r="F18" s="34">
        <f>'2006A '!F18</f>
        <v>0</v>
      </c>
      <c r="G18" s="47"/>
      <c r="H18" s="67"/>
      <c r="I18" s="47">
        <f t="shared" si="2"/>
        <v>0</v>
      </c>
      <c r="J18" s="47">
        <f t="shared" si="3"/>
        <v>0</v>
      </c>
      <c r="K18" s="47">
        <f t="shared" si="2"/>
        <v>0</v>
      </c>
      <c r="L18" s="47"/>
      <c r="M18" s="32"/>
      <c r="N18" s="47">
        <f t="shared" si="51"/>
        <v>0</v>
      </c>
      <c r="O18" s="47">
        <f t="shared" si="4"/>
        <v>0</v>
      </c>
      <c r="P18" s="47">
        <f t="shared" si="5"/>
        <v>0</v>
      </c>
      <c r="Q18" s="47"/>
      <c r="R18" s="32"/>
      <c r="S18" s="32">
        <f t="shared" si="7"/>
        <v>0</v>
      </c>
      <c r="T18" s="32">
        <f t="shared" si="8"/>
        <v>0</v>
      </c>
      <c r="U18" s="47">
        <f t="shared" si="9"/>
        <v>0</v>
      </c>
      <c r="V18" s="47"/>
      <c r="W18" s="32"/>
      <c r="X18" s="47">
        <f t="shared" si="52"/>
        <v>0</v>
      </c>
      <c r="Y18" s="32">
        <f t="shared" si="10"/>
        <v>0</v>
      </c>
      <c r="Z18" s="47">
        <f t="shared" si="11"/>
        <v>0</v>
      </c>
      <c r="AA18" s="47"/>
      <c r="AB18" s="32"/>
      <c r="AC18" s="47">
        <f t="shared" si="53"/>
        <v>0</v>
      </c>
      <c r="AD18" s="32">
        <f t="shared" si="12"/>
        <v>0</v>
      </c>
      <c r="AE18" s="47">
        <f t="shared" si="13"/>
        <v>0</v>
      </c>
      <c r="AF18" s="47"/>
      <c r="AG18" s="32"/>
      <c r="AH18" s="47">
        <f t="shared" si="54"/>
        <v>0</v>
      </c>
      <c r="AI18" s="32">
        <f t="shared" si="14"/>
        <v>0</v>
      </c>
      <c r="AJ18" s="47">
        <f t="shared" si="15"/>
        <v>0</v>
      </c>
      <c r="AK18" s="47"/>
      <c r="AL18" s="32"/>
      <c r="AM18" s="47">
        <f t="shared" si="55"/>
        <v>0</v>
      </c>
      <c r="AN18" s="32">
        <f t="shared" si="16"/>
        <v>0</v>
      </c>
      <c r="AO18" s="47">
        <f t="shared" si="17"/>
        <v>0</v>
      </c>
      <c r="AP18" s="47"/>
      <c r="AQ18" s="32"/>
      <c r="AR18" s="47">
        <f t="shared" si="56"/>
        <v>0</v>
      </c>
      <c r="AS18" s="32">
        <f t="shared" si="18"/>
        <v>0</v>
      </c>
      <c r="AT18" s="47">
        <f t="shared" si="19"/>
        <v>0</v>
      </c>
      <c r="AU18" s="47"/>
      <c r="AV18" s="32"/>
      <c r="AW18" s="32">
        <f t="shared" si="20"/>
        <v>0</v>
      </c>
      <c r="AX18" s="32">
        <f t="shared" si="21"/>
        <v>0</v>
      </c>
      <c r="AY18" s="47">
        <f t="shared" si="22"/>
        <v>0</v>
      </c>
      <c r="AZ18" s="47"/>
      <c r="BA18" s="32"/>
      <c r="BB18" s="47">
        <f t="shared" si="57"/>
        <v>0</v>
      </c>
      <c r="BC18" s="32">
        <f t="shared" si="23"/>
        <v>0</v>
      </c>
      <c r="BD18" s="47">
        <f t="shared" si="24"/>
        <v>0</v>
      </c>
      <c r="BE18" s="32"/>
      <c r="BF18" s="32"/>
      <c r="BG18" s="47">
        <f t="shared" si="58"/>
        <v>0</v>
      </c>
      <c r="BH18" s="32">
        <f t="shared" si="25"/>
        <v>0</v>
      </c>
      <c r="BI18" s="47">
        <f t="shared" si="26"/>
        <v>0</v>
      </c>
      <c r="BJ18" s="47"/>
      <c r="BK18" s="32"/>
      <c r="BL18" s="47">
        <f t="shared" si="59"/>
        <v>0</v>
      </c>
      <c r="BM18" s="32">
        <f t="shared" si="27"/>
        <v>0</v>
      </c>
      <c r="BN18" s="47">
        <f t="shared" si="28"/>
        <v>0</v>
      </c>
      <c r="BO18" s="47"/>
      <c r="BP18" s="32"/>
      <c r="BQ18" s="47">
        <f t="shared" si="60"/>
        <v>0</v>
      </c>
      <c r="BR18" s="32">
        <f t="shared" si="29"/>
        <v>0</v>
      </c>
      <c r="BS18" s="47">
        <f t="shared" si="30"/>
        <v>0</v>
      </c>
      <c r="BT18" s="47"/>
      <c r="BU18" s="32"/>
      <c r="BV18" s="47">
        <f t="shared" si="61"/>
        <v>0</v>
      </c>
      <c r="BW18" s="32">
        <f t="shared" si="31"/>
        <v>0</v>
      </c>
      <c r="BX18" s="47">
        <f t="shared" si="32"/>
        <v>0</v>
      </c>
      <c r="BY18" s="47"/>
      <c r="BZ18" s="32"/>
      <c r="CA18" s="47">
        <f t="shared" si="62"/>
        <v>0</v>
      </c>
      <c r="CB18" s="32">
        <f t="shared" si="33"/>
        <v>0</v>
      </c>
      <c r="CC18" s="47">
        <f t="shared" si="34"/>
        <v>0</v>
      </c>
      <c r="CD18" s="47"/>
      <c r="CE18" s="32"/>
      <c r="CF18" s="47">
        <f t="shared" si="63"/>
        <v>0</v>
      </c>
      <c r="CG18" s="32">
        <f t="shared" si="35"/>
        <v>0</v>
      </c>
      <c r="CH18" s="47">
        <f t="shared" si="36"/>
        <v>0</v>
      </c>
      <c r="CI18" s="47"/>
      <c r="CJ18" s="32"/>
      <c r="CK18" s="47">
        <f t="shared" si="64"/>
        <v>0</v>
      </c>
      <c r="CL18" s="32">
        <f t="shared" si="37"/>
        <v>0</v>
      </c>
      <c r="CM18" s="47">
        <f t="shared" si="38"/>
        <v>0</v>
      </c>
      <c r="CN18" s="47"/>
      <c r="CO18" s="32"/>
      <c r="CP18" s="47">
        <f t="shared" si="65"/>
        <v>0</v>
      </c>
      <c r="CQ18" s="32">
        <f t="shared" si="39"/>
        <v>0</v>
      </c>
      <c r="CR18" s="47">
        <f t="shared" si="40"/>
        <v>0</v>
      </c>
      <c r="CS18" s="47"/>
      <c r="CT18" s="32"/>
      <c r="CU18" s="47">
        <f t="shared" si="66"/>
        <v>0</v>
      </c>
      <c r="CV18" s="32">
        <f t="shared" si="41"/>
        <v>0</v>
      </c>
      <c r="CW18" s="47">
        <f t="shared" si="42"/>
        <v>0</v>
      </c>
      <c r="CX18" s="47"/>
      <c r="CY18" s="32"/>
      <c r="CZ18" s="47">
        <f t="shared" si="67"/>
        <v>0</v>
      </c>
      <c r="DA18" s="32">
        <f t="shared" si="43"/>
        <v>0</v>
      </c>
      <c r="DB18" s="47">
        <f t="shared" si="44"/>
        <v>0</v>
      </c>
      <c r="DC18" s="47"/>
      <c r="DD18" s="32"/>
      <c r="DE18" s="47">
        <f t="shared" si="68"/>
        <v>0</v>
      </c>
      <c r="DF18" s="32">
        <f t="shared" si="45"/>
        <v>0</v>
      </c>
      <c r="DG18" s="47">
        <f t="shared" si="46"/>
        <v>0</v>
      </c>
      <c r="DH18" s="47"/>
      <c r="DI18" s="32"/>
      <c r="DJ18" s="47">
        <f t="shared" si="69"/>
        <v>0</v>
      </c>
      <c r="DK18" s="32">
        <f t="shared" si="47"/>
        <v>0</v>
      </c>
      <c r="DL18" s="47">
        <f t="shared" si="48"/>
        <v>0</v>
      </c>
      <c r="DM18" s="47"/>
      <c r="DN18" s="32"/>
      <c r="DO18" s="47">
        <f t="shared" si="70"/>
        <v>0</v>
      </c>
      <c r="DP18" s="32">
        <f t="shared" si="49"/>
        <v>0</v>
      </c>
      <c r="DQ18" s="47">
        <f t="shared" si="50"/>
        <v>0</v>
      </c>
    </row>
    <row r="19" spans="1:121" s="49" customFormat="1" ht="12.75">
      <c r="A19" s="48">
        <v>44470</v>
      </c>
      <c r="C19" s="34">
        <f>'2006A '!C19</f>
        <v>0</v>
      </c>
      <c r="D19" s="34">
        <f>'2006A '!D19</f>
        <v>0</v>
      </c>
      <c r="E19" s="34">
        <f t="shared" si="0"/>
        <v>0</v>
      </c>
      <c r="F19" s="34">
        <f>'2006A '!F19</f>
        <v>0</v>
      </c>
      <c r="G19" s="47"/>
      <c r="H19" s="67">
        <f t="shared" si="1"/>
        <v>0</v>
      </c>
      <c r="I19" s="47">
        <f t="shared" si="2"/>
        <v>0</v>
      </c>
      <c r="J19" s="47">
        <f t="shared" si="3"/>
        <v>0</v>
      </c>
      <c r="K19" s="47">
        <f t="shared" si="2"/>
        <v>0</v>
      </c>
      <c r="L19" s="47"/>
      <c r="M19" s="32">
        <f t="shared" si="71"/>
        <v>0</v>
      </c>
      <c r="N19" s="47">
        <f t="shared" si="51"/>
        <v>0</v>
      </c>
      <c r="O19" s="47">
        <f t="shared" si="4"/>
        <v>0</v>
      </c>
      <c r="P19" s="47">
        <f t="shared" si="5"/>
        <v>0</v>
      </c>
      <c r="Q19" s="47"/>
      <c r="R19" s="32">
        <f t="shared" si="6"/>
        <v>0</v>
      </c>
      <c r="S19" s="32">
        <f t="shared" si="7"/>
        <v>0</v>
      </c>
      <c r="T19" s="32">
        <f t="shared" si="8"/>
        <v>0</v>
      </c>
      <c r="U19" s="47">
        <f t="shared" si="9"/>
        <v>0</v>
      </c>
      <c r="V19" s="47"/>
      <c r="W19" s="32">
        <f>$C19*Y$7</f>
        <v>0</v>
      </c>
      <c r="X19" s="47">
        <f t="shared" si="52"/>
        <v>0</v>
      </c>
      <c r="Y19" s="32">
        <f t="shared" si="10"/>
        <v>0</v>
      </c>
      <c r="Z19" s="47">
        <f t="shared" si="11"/>
        <v>0</v>
      </c>
      <c r="AA19" s="47"/>
      <c r="AB19" s="32">
        <f>$C19*AD$7</f>
        <v>0</v>
      </c>
      <c r="AC19" s="47">
        <f t="shared" si="53"/>
        <v>0</v>
      </c>
      <c r="AD19" s="32">
        <f t="shared" si="12"/>
        <v>0</v>
      </c>
      <c r="AE19" s="47">
        <f t="shared" si="13"/>
        <v>0</v>
      </c>
      <c r="AF19" s="47"/>
      <c r="AG19" s="32">
        <f>$C19*AI$7</f>
        <v>0</v>
      </c>
      <c r="AH19" s="47">
        <f t="shared" si="54"/>
        <v>0</v>
      </c>
      <c r="AI19" s="32">
        <f t="shared" si="14"/>
        <v>0</v>
      </c>
      <c r="AJ19" s="47">
        <f t="shared" si="15"/>
        <v>0</v>
      </c>
      <c r="AK19" s="47"/>
      <c r="AL19" s="32">
        <f>$C19*AN$7</f>
        <v>0</v>
      </c>
      <c r="AM19" s="47">
        <f t="shared" si="55"/>
        <v>0</v>
      </c>
      <c r="AN19" s="32">
        <f t="shared" si="16"/>
        <v>0</v>
      </c>
      <c r="AO19" s="47">
        <f t="shared" si="17"/>
        <v>0</v>
      </c>
      <c r="AP19" s="47"/>
      <c r="AQ19" s="32">
        <f>$C19*AS$7</f>
        <v>0</v>
      </c>
      <c r="AR19" s="47">
        <f t="shared" si="56"/>
        <v>0</v>
      </c>
      <c r="AS19" s="32">
        <f t="shared" si="18"/>
        <v>0</v>
      </c>
      <c r="AT19" s="47">
        <f t="shared" si="19"/>
        <v>0</v>
      </c>
      <c r="AU19" s="47"/>
      <c r="AV19" s="32">
        <f>$C19*AX$7</f>
        <v>0</v>
      </c>
      <c r="AW19" s="32">
        <f t="shared" si="20"/>
        <v>0</v>
      </c>
      <c r="AX19" s="32">
        <f t="shared" si="21"/>
        <v>0</v>
      </c>
      <c r="AY19" s="47">
        <f t="shared" si="22"/>
        <v>0</v>
      </c>
      <c r="AZ19" s="47"/>
      <c r="BA19" s="32">
        <f>$C19*BC$7</f>
        <v>0</v>
      </c>
      <c r="BB19" s="47">
        <f t="shared" si="57"/>
        <v>0</v>
      </c>
      <c r="BC19" s="32">
        <f t="shared" si="23"/>
        <v>0</v>
      </c>
      <c r="BD19" s="47">
        <f t="shared" si="24"/>
        <v>0</v>
      </c>
      <c r="BE19" s="32"/>
      <c r="BF19" s="32">
        <f>$C19*BH$7</f>
        <v>0</v>
      </c>
      <c r="BG19" s="47">
        <f t="shared" si="58"/>
        <v>0</v>
      </c>
      <c r="BH19" s="32">
        <f t="shared" si="25"/>
        <v>0</v>
      </c>
      <c r="BI19" s="47">
        <f t="shared" si="26"/>
        <v>0</v>
      </c>
      <c r="BJ19" s="47"/>
      <c r="BK19" s="32">
        <f>$C19*BM$7</f>
        <v>0</v>
      </c>
      <c r="BL19" s="47">
        <f t="shared" si="59"/>
        <v>0</v>
      </c>
      <c r="BM19" s="32">
        <f t="shared" si="27"/>
        <v>0</v>
      </c>
      <c r="BN19" s="47">
        <f t="shared" si="28"/>
        <v>0</v>
      </c>
      <c r="BO19" s="47"/>
      <c r="BP19" s="32">
        <f>$C19*BR$7</f>
        <v>0</v>
      </c>
      <c r="BQ19" s="47">
        <f t="shared" si="60"/>
        <v>0</v>
      </c>
      <c r="BR19" s="32">
        <f t="shared" si="29"/>
        <v>0</v>
      </c>
      <c r="BS19" s="47">
        <f t="shared" si="30"/>
        <v>0</v>
      </c>
      <c r="BT19" s="47"/>
      <c r="BU19" s="32">
        <f>$C19*BW$7</f>
        <v>0</v>
      </c>
      <c r="BV19" s="47">
        <f t="shared" si="61"/>
        <v>0</v>
      </c>
      <c r="BW19" s="32">
        <f t="shared" si="31"/>
        <v>0</v>
      </c>
      <c r="BX19" s="47">
        <f t="shared" si="32"/>
        <v>0</v>
      </c>
      <c r="BY19" s="47"/>
      <c r="BZ19" s="32">
        <f>$C19*CB$7</f>
        <v>0</v>
      </c>
      <c r="CA19" s="47">
        <f t="shared" si="62"/>
        <v>0</v>
      </c>
      <c r="CB19" s="32">
        <f t="shared" si="33"/>
        <v>0</v>
      </c>
      <c r="CC19" s="47">
        <f t="shared" si="34"/>
        <v>0</v>
      </c>
      <c r="CD19" s="47"/>
      <c r="CE19" s="32">
        <f>$C19*CG$7</f>
        <v>0</v>
      </c>
      <c r="CF19" s="47">
        <f t="shared" si="63"/>
        <v>0</v>
      </c>
      <c r="CG19" s="32">
        <f t="shared" si="35"/>
        <v>0</v>
      </c>
      <c r="CH19" s="47">
        <f t="shared" si="36"/>
        <v>0</v>
      </c>
      <c r="CI19" s="47"/>
      <c r="CJ19" s="32">
        <f>$C19*CL$7</f>
        <v>0</v>
      </c>
      <c r="CK19" s="47">
        <f t="shared" si="64"/>
        <v>0</v>
      </c>
      <c r="CL19" s="32">
        <f t="shared" si="37"/>
        <v>0</v>
      </c>
      <c r="CM19" s="47">
        <f t="shared" si="38"/>
        <v>0</v>
      </c>
      <c r="CN19" s="47"/>
      <c r="CO19" s="32">
        <f>$C19*CQ$7</f>
        <v>0</v>
      </c>
      <c r="CP19" s="47">
        <f t="shared" si="65"/>
        <v>0</v>
      </c>
      <c r="CQ19" s="32">
        <f t="shared" si="39"/>
        <v>0</v>
      </c>
      <c r="CR19" s="47">
        <f t="shared" si="40"/>
        <v>0</v>
      </c>
      <c r="CS19" s="47"/>
      <c r="CT19" s="32">
        <f>$C19*CV$7</f>
        <v>0</v>
      </c>
      <c r="CU19" s="47">
        <f t="shared" si="66"/>
        <v>0</v>
      </c>
      <c r="CV19" s="32">
        <f t="shared" si="41"/>
        <v>0</v>
      </c>
      <c r="CW19" s="47">
        <f t="shared" si="42"/>
        <v>0</v>
      </c>
      <c r="CX19" s="47"/>
      <c r="CY19" s="32">
        <f>$C19*DA$7</f>
        <v>0</v>
      </c>
      <c r="CZ19" s="47">
        <f t="shared" si="67"/>
        <v>0</v>
      </c>
      <c r="DA19" s="32">
        <f t="shared" si="43"/>
        <v>0</v>
      </c>
      <c r="DB19" s="47">
        <f t="shared" si="44"/>
        <v>0</v>
      </c>
      <c r="DC19" s="47"/>
      <c r="DD19" s="32">
        <f>$C19*DF$7</f>
        <v>0</v>
      </c>
      <c r="DE19" s="47">
        <f t="shared" si="68"/>
        <v>0</v>
      </c>
      <c r="DF19" s="32">
        <f t="shared" si="45"/>
        <v>0</v>
      </c>
      <c r="DG19" s="47">
        <f t="shared" si="46"/>
        <v>0</v>
      </c>
      <c r="DH19" s="47"/>
      <c r="DI19" s="32">
        <f>$C19*DK$7</f>
        <v>0</v>
      </c>
      <c r="DJ19" s="47">
        <f t="shared" si="69"/>
        <v>0</v>
      </c>
      <c r="DK19" s="32">
        <f t="shared" si="47"/>
        <v>0</v>
      </c>
      <c r="DL19" s="47">
        <f t="shared" si="48"/>
        <v>0</v>
      </c>
      <c r="DM19" s="47"/>
      <c r="DN19" s="32">
        <f>$C19*DP$7</f>
        <v>0</v>
      </c>
      <c r="DO19" s="47">
        <f t="shared" si="70"/>
        <v>0</v>
      </c>
      <c r="DP19" s="32">
        <f t="shared" si="49"/>
        <v>0</v>
      </c>
      <c r="DQ19" s="47">
        <f t="shared" si="50"/>
        <v>0</v>
      </c>
    </row>
    <row r="20" spans="1:121" s="49" customFormat="1" ht="12.75">
      <c r="A20" s="48">
        <v>44652</v>
      </c>
      <c r="C20" s="34"/>
      <c r="D20" s="34">
        <f>'2006A '!D20</f>
        <v>0</v>
      </c>
      <c r="E20" s="34">
        <f t="shared" si="0"/>
        <v>0</v>
      </c>
      <c r="F20" s="34">
        <f>'2006A '!F20</f>
        <v>0</v>
      </c>
      <c r="G20" s="47"/>
      <c r="H20" s="67"/>
      <c r="I20" s="47">
        <f t="shared" si="2"/>
        <v>0</v>
      </c>
      <c r="J20" s="47">
        <f t="shared" si="3"/>
        <v>0</v>
      </c>
      <c r="K20" s="47">
        <f t="shared" si="2"/>
        <v>0</v>
      </c>
      <c r="L20" s="47"/>
      <c r="M20" s="32"/>
      <c r="N20" s="47">
        <f t="shared" si="51"/>
        <v>0</v>
      </c>
      <c r="O20" s="47">
        <f t="shared" si="4"/>
        <v>0</v>
      </c>
      <c r="P20" s="47">
        <f t="shared" si="5"/>
        <v>0</v>
      </c>
      <c r="Q20" s="47"/>
      <c r="R20" s="32"/>
      <c r="S20" s="32">
        <f t="shared" si="7"/>
        <v>0</v>
      </c>
      <c r="T20" s="32">
        <f t="shared" si="8"/>
        <v>0</v>
      </c>
      <c r="U20" s="47">
        <f t="shared" si="9"/>
        <v>0</v>
      </c>
      <c r="V20" s="47"/>
      <c r="W20" s="32"/>
      <c r="X20" s="47">
        <f t="shared" si="52"/>
        <v>0</v>
      </c>
      <c r="Y20" s="32">
        <f t="shared" si="10"/>
        <v>0</v>
      </c>
      <c r="Z20" s="47">
        <f t="shared" si="11"/>
        <v>0</v>
      </c>
      <c r="AA20" s="47"/>
      <c r="AB20" s="32"/>
      <c r="AC20" s="47">
        <f t="shared" si="53"/>
        <v>0</v>
      </c>
      <c r="AD20" s="32">
        <f t="shared" si="12"/>
        <v>0</v>
      </c>
      <c r="AE20" s="47">
        <f t="shared" si="13"/>
        <v>0</v>
      </c>
      <c r="AF20" s="47"/>
      <c r="AG20" s="32"/>
      <c r="AH20" s="47">
        <f t="shared" si="54"/>
        <v>0</v>
      </c>
      <c r="AI20" s="32">
        <f t="shared" si="14"/>
        <v>0</v>
      </c>
      <c r="AJ20" s="47">
        <f t="shared" si="15"/>
        <v>0</v>
      </c>
      <c r="AK20" s="47"/>
      <c r="AL20" s="32"/>
      <c r="AM20" s="47">
        <f t="shared" si="55"/>
        <v>0</v>
      </c>
      <c r="AN20" s="32">
        <f t="shared" si="16"/>
        <v>0</v>
      </c>
      <c r="AO20" s="47">
        <f t="shared" si="17"/>
        <v>0</v>
      </c>
      <c r="AP20" s="47"/>
      <c r="AQ20" s="32"/>
      <c r="AR20" s="47">
        <f t="shared" si="56"/>
        <v>0</v>
      </c>
      <c r="AS20" s="32">
        <f t="shared" si="18"/>
        <v>0</v>
      </c>
      <c r="AT20" s="47">
        <f t="shared" si="19"/>
        <v>0</v>
      </c>
      <c r="AU20" s="47"/>
      <c r="AV20" s="32"/>
      <c r="AW20" s="32">
        <f t="shared" si="20"/>
        <v>0</v>
      </c>
      <c r="AX20" s="32">
        <f t="shared" si="21"/>
        <v>0</v>
      </c>
      <c r="AY20" s="47">
        <f t="shared" si="22"/>
        <v>0</v>
      </c>
      <c r="AZ20" s="47"/>
      <c r="BA20" s="32"/>
      <c r="BB20" s="47">
        <f t="shared" si="57"/>
        <v>0</v>
      </c>
      <c r="BC20" s="32">
        <f t="shared" si="23"/>
        <v>0</v>
      </c>
      <c r="BD20" s="47">
        <f t="shared" si="24"/>
        <v>0</v>
      </c>
      <c r="BE20" s="32"/>
      <c r="BF20" s="32"/>
      <c r="BG20" s="47">
        <f t="shared" si="58"/>
        <v>0</v>
      </c>
      <c r="BH20" s="32">
        <f t="shared" si="25"/>
        <v>0</v>
      </c>
      <c r="BI20" s="47">
        <f t="shared" si="26"/>
        <v>0</v>
      </c>
      <c r="BJ20" s="47"/>
      <c r="BK20" s="32"/>
      <c r="BL20" s="47">
        <f t="shared" si="59"/>
        <v>0</v>
      </c>
      <c r="BM20" s="32">
        <f t="shared" si="27"/>
        <v>0</v>
      </c>
      <c r="BN20" s="47">
        <f t="shared" si="28"/>
        <v>0</v>
      </c>
      <c r="BO20" s="47"/>
      <c r="BP20" s="32"/>
      <c r="BQ20" s="47">
        <f t="shared" si="60"/>
        <v>0</v>
      </c>
      <c r="BR20" s="32">
        <f t="shared" si="29"/>
        <v>0</v>
      </c>
      <c r="BS20" s="47">
        <f t="shared" si="30"/>
        <v>0</v>
      </c>
      <c r="BT20" s="47"/>
      <c r="BU20" s="32"/>
      <c r="BV20" s="47">
        <f t="shared" si="61"/>
        <v>0</v>
      </c>
      <c r="BW20" s="32">
        <f t="shared" si="31"/>
        <v>0</v>
      </c>
      <c r="BX20" s="47">
        <f t="shared" si="32"/>
        <v>0</v>
      </c>
      <c r="BY20" s="47"/>
      <c r="BZ20" s="32"/>
      <c r="CA20" s="47">
        <f t="shared" si="62"/>
        <v>0</v>
      </c>
      <c r="CB20" s="32">
        <f t="shared" si="33"/>
        <v>0</v>
      </c>
      <c r="CC20" s="47">
        <f t="shared" si="34"/>
        <v>0</v>
      </c>
      <c r="CD20" s="47"/>
      <c r="CE20" s="32"/>
      <c r="CF20" s="47">
        <f t="shared" si="63"/>
        <v>0</v>
      </c>
      <c r="CG20" s="32">
        <f t="shared" si="35"/>
        <v>0</v>
      </c>
      <c r="CH20" s="47">
        <f t="shared" si="36"/>
        <v>0</v>
      </c>
      <c r="CI20" s="47"/>
      <c r="CJ20" s="32"/>
      <c r="CK20" s="47">
        <f t="shared" si="64"/>
        <v>0</v>
      </c>
      <c r="CL20" s="32">
        <f t="shared" si="37"/>
        <v>0</v>
      </c>
      <c r="CM20" s="47">
        <f t="shared" si="38"/>
        <v>0</v>
      </c>
      <c r="CN20" s="47"/>
      <c r="CO20" s="32"/>
      <c r="CP20" s="47">
        <f t="shared" si="65"/>
        <v>0</v>
      </c>
      <c r="CQ20" s="32">
        <f t="shared" si="39"/>
        <v>0</v>
      </c>
      <c r="CR20" s="47">
        <f t="shared" si="40"/>
        <v>0</v>
      </c>
      <c r="CS20" s="47"/>
      <c r="CT20" s="32"/>
      <c r="CU20" s="47">
        <f t="shared" si="66"/>
        <v>0</v>
      </c>
      <c r="CV20" s="32">
        <f t="shared" si="41"/>
        <v>0</v>
      </c>
      <c r="CW20" s="47">
        <f t="shared" si="42"/>
        <v>0</v>
      </c>
      <c r="CX20" s="47"/>
      <c r="CY20" s="32"/>
      <c r="CZ20" s="47">
        <f t="shared" si="67"/>
        <v>0</v>
      </c>
      <c r="DA20" s="32">
        <f t="shared" si="43"/>
        <v>0</v>
      </c>
      <c r="DB20" s="47">
        <f t="shared" si="44"/>
        <v>0</v>
      </c>
      <c r="DC20" s="47"/>
      <c r="DD20" s="32"/>
      <c r="DE20" s="47">
        <f t="shared" si="68"/>
        <v>0</v>
      </c>
      <c r="DF20" s="32">
        <f t="shared" si="45"/>
        <v>0</v>
      </c>
      <c r="DG20" s="47">
        <f t="shared" si="46"/>
        <v>0</v>
      </c>
      <c r="DH20" s="47"/>
      <c r="DI20" s="32"/>
      <c r="DJ20" s="47">
        <f t="shared" si="69"/>
        <v>0</v>
      </c>
      <c r="DK20" s="32">
        <f t="shared" si="47"/>
        <v>0</v>
      </c>
      <c r="DL20" s="47">
        <f t="shared" si="48"/>
        <v>0</v>
      </c>
      <c r="DM20" s="47"/>
      <c r="DN20" s="32"/>
      <c r="DO20" s="47">
        <f t="shared" si="70"/>
        <v>0</v>
      </c>
      <c r="DP20" s="32">
        <f t="shared" si="49"/>
        <v>0</v>
      </c>
      <c r="DQ20" s="47">
        <f t="shared" si="50"/>
        <v>0</v>
      </c>
    </row>
    <row r="21" spans="1:121" s="49" customFormat="1" ht="12.75">
      <c r="A21" s="48">
        <v>44835</v>
      </c>
      <c r="C21" s="34">
        <f>'2006A '!C21</f>
        <v>0</v>
      </c>
      <c r="D21" s="34">
        <f>'2006A '!D21</f>
        <v>0</v>
      </c>
      <c r="E21" s="34">
        <f t="shared" si="0"/>
        <v>0</v>
      </c>
      <c r="F21" s="34">
        <f>'2006A '!F21</f>
        <v>0</v>
      </c>
      <c r="G21" s="47"/>
      <c r="H21" s="67">
        <f t="shared" si="1"/>
        <v>0</v>
      </c>
      <c r="I21" s="47">
        <f t="shared" si="2"/>
        <v>0</v>
      </c>
      <c r="J21" s="47">
        <f t="shared" si="3"/>
        <v>0</v>
      </c>
      <c r="K21" s="47">
        <f t="shared" si="2"/>
        <v>0</v>
      </c>
      <c r="L21" s="47"/>
      <c r="M21" s="32">
        <f t="shared" si="71"/>
        <v>0</v>
      </c>
      <c r="N21" s="47">
        <f t="shared" si="51"/>
        <v>0</v>
      </c>
      <c r="O21" s="47">
        <f t="shared" si="4"/>
        <v>0</v>
      </c>
      <c r="P21" s="47">
        <f t="shared" si="5"/>
        <v>0</v>
      </c>
      <c r="Q21" s="47"/>
      <c r="R21" s="32">
        <f t="shared" si="6"/>
        <v>0</v>
      </c>
      <c r="S21" s="32">
        <f t="shared" si="7"/>
        <v>0</v>
      </c>
      <c r="T21" s="32">
        <f t="shared" si="8"/>
        <v>0</v>
      </c>
      <c r="U21" s="47">
        <f t="shared" si="9"/>
        <v>0</v>
      </c>
      <c r="V21" s="47"/>
      <c r="W21" s="32">
        <f>$C21*Y$7</f>
        <v>0</v>
      </c>
      <c r="X21" s="47">
        <f t="shared" si="52"/>
        <v>0</v>
      </c>
      <c r="Y21" s="32">
        <f t="shared" si="10"/>
        <v>0</v>
      </c>
      <c r="Z21" s="47">
        <f t="shared" si="11"/>
        <v>0</v>
      </c>
      <c r="AA21" s="47"/>
      <c r="AB21" s="32">
        <f>$C21*AD$7</f>
        <v>0</v>
      </c>
      <c r="AC21" s="47">
        <f t="shared" si="53"/>
        <v>0</v>
      </c>
      <c r="AD21" s="32">
        <f t="shared" si="12"/>
        <v>0</v>
      </c>
      <c r="AE21" s="47">
        <f t="shared" si="13"/>
        <v>0</v>
      </c>
      <c r="AF21" s="47"/>
      <c r="AG21" s="32">
        <f>$C21*AI$7</f>
        <v>0</v>
      </c>
      <c r="AH21" s="47">
        <f t="shared" si="54"/>
        <v>0</v>
      </c>
      <c r="AI21" s="32">
        <f t="shared" si="14"/>
        <v>0</v>
      </c>
      <c r="AJ21" s="47">
        <f t="shared" si="15"/>
        <v>0</v>
      </c>
      <c r="AK21" s="47"/>
      <c r="AL21" s="32">
        <f>$C21*AN$7</f>
        <v>0</v>
      </c>
      <c r="AM21" s="47">
        <f t="shared" si="55"/>
        <v>0</v>
      </c>
      <c r="AN21" s="32">
        <f t="shared" si="16"/>
        <v>0</v>
      </c>
      <c r="AO21" s="47">
        <f t="shared" si="17"/>
        <v>0</v>
      </c>
      <c r="AP21" s="47"/>
      <c r="AQ21" s="32">
        <f>$C21*AS$7</f>
        <v>0</v>
      </c>
      <c r="AR21" s="47">
        <f t="shared" si="56"/>
        <v>0</v>
      </c>
      <c r="AS21" s="32">
        <f t="shared" si="18"/>
        <v>0</v>
      </c>
      <c r="AT21" s="47">
        <f t="shared" si="19"/>
        <v>0</v>
      </c>
      <c r="AU21" s="47"/>
      <c r="AV21" s="32">
        <f>$C21*AX$7</f>
        <v>0</v>
      </c>
      <c r="AW21" s="32">
        <f t="shared" si="20"/>
        <v>0</v>
      </c>
      <c r="AX21" s="32">
        <f t="shared" si="21"/>
        <v>0</v>
      </c>
      <c r="AY21" s="47">
        <f t="shared" si="22"/>
        <v>0</v>
      </c>
      <c r="AZ21" s="47"/>
      <c r="BA21" s="32">
        <f>$C21*BC$7</f>
        <v>0</v>
      </c>
      <c r="BB21" s="47">
        <f t="shared" si="57"/>
        <v>0</v>
      </c>
      <c r="BC21" s="32">
        <f t="shared" si="23"/>
        <v>0</v>
      </c>
      <c r="BD21" s="47">
        <f t="shared" si="24"/>
        <v>0</v>
      </c>
      <c r="BE21" s="32"/>
      <c r="BF21" s="32">
        <f>$C21*BH$7</f>
        <v>0</v>
      </c>
      <c r="BG21" s="47">
        <f t="shared" si="58"/>
        <v>0</v>
      </c>
      <c r="BH21" s="32">
        <f t="shared" si="25"/>
        <v>0</v>
      </c>
      <c r="BI21" s="47">
        <f t="shared" si="26"/>
        <v>0</v>
      </c>
      <c r="BJ21" s="47"/>
      <c r="BK21" s="32">
        <f>$C21*BM$7</f>
        <v>0</v>
      </c>
      <c r="BL21" s="47">
        <f t="shared" si="59"/>
        <v>0</v>
      </c>
      <c r="BM21" s="32">
        <f t="shared" si="27"/>
        <v>0</v>
      </c>
      <c r="BN21" s="47">
        <f t="shared" si="28"/>
        <v>0</v>
      </c>
      <c r="BO21" s="47"/>
      <c r="BP21" s="32">
        <f>$C21*BR$7</f>
        <v>0</v>
      </c>
      <c r="BQ21" s="47">
        <f t="shared" si="60"/>
        <v>0</v>
      </c>
      <c r="BR21" s="32">
        <f t="shared" si="29"/>
        <v>0</v>
      </c>
      <c r="BS21" s="47">
        <f t="shared" si="30"/>
        <v>0</v>
      </c>
      <c r="BT21" s="47"/>
      <c r="BU21" s="32">
        <f>$C21*BW$7</f>
        <v>0</v>
      </c>
      <c r="BV21" s="47">
        <f t="shared" si="61"/>
        <v>0</v>
      </c>
      <c r="BW21" s="32">
        <f t="shared" si="31"/>
        <v>0</v>
      </c>
      <c r="BX21" s="47">
        <f t="shared" si="32"/>
        <v>0</v>
      </c>
      <c r="BY21" s="47"/>
      <c r="BZ21" s="32">
        <f>$C21*CB$7</f>
        <v>0</v>
      </c>
      <c r="CA21" s="47">
        <f t="shared" si="62"/>
        <v>0</v>
      </c>
      <c r="CB21" s="32">
        <f t="shared" si="33"/>
        <v>0</v>
      </c>
      <c r="CC21" s="47">
        <f t="shared" si="34"/>
        <v>0</v>
      </c>
      <c r="CD21" s="47"/>
      <c r="CE21" s="32">
        <f>$C21*CG$7</f>
        <v>0</v>
      </c>
      <c r="CF21" s="47">
        <f t="shared" si="63"/>
        <v>0</v>
      </c>
      <c r="CG21" s="32">
        <f t="shared" si="35"/>
        <v>0</v>
      </c>
      <c r="CH21" s="47">
        <f t="shared" si="36"/>
        <v>0</v>
      </c>
      <c r="CI21" s="47"/>
      <c r="CJ21" s="32">
        <f>$C21*CL$7</f>
        <v>0</v>
      </c>
      <c r="CK21" s="47">
        <f t="shared" si="64"/>
        <v>0</v>
      </c>
      <c r="CL21" s="32">
        <f t="shared" si="37"/>
        <v>0</v>
      </c>
      <c r="CM21" s="47">
        <f t="shared" si="38"/>
        <v>0</v>
      </c>
      <c r="CN21" s="47"/>
      <c r="CO21" s="32">
        <f>$C21*CQ$7</f>
        <v>0</v>
      </c>
      <c r="CP21" s="47">
        <f t="shared" si="65"/>
        <v>0</v>
      </c>
      <c r="CQ21" s="32">
        <f t="shared" si="39"/>
        <v>0</v>
      </c>
      <c r="CR21" s="47">
        <f t="shared" si="40"/>
        <v>0</v>
      </c>
      <c r="CS21" s="47"/>
      <c r="CT21" s="32">
        <f>$C21*CV$7</f>
        <v>0</v>
      </c>
      <c r="CU21" s="47">
        <f t="shared" si="66"/>
        <v>0</v>
      </c>
      <c r="CV21" s="32">
        <f t="shared" si="41"/>
        <v>0</v>
      </c>
      <c r="CW21" s="47">
        <f t="shared" si="42"/>
        <v>0</v>
      </c>
      <c r="CX21" s="47"/>
      <c r="CY21" s="32">
        <f>$C21*DA$7</f>
        <v>0</v>
      </c>
      <c r="CZ21" s="47">
        <f t="shared" si="67"/>
        <v>0</v>
      </c>
      <c r="DA21" s="32">
        <f t="shared" si="43"/>
        <v>0</v>
      </c>
      <c r="DB21" s="47">
        <f t="shared" si="44"/>
        <v>0</v>
      </c>
      <c r="DC21" s="47"/>
      <c r="DD21" s="32">
        <f>$C21*DF$7</f>
        <v>0</v>
      </c>
      <c r="DE21" s="47">
        <f t="shared" si="68"/>
        <v>0</v>
      </c>
      <c r="DF21" s="32">
        <f t="shared" si="45"/>
        <v>0</v>
      </c>
      <c r="DG21" s="47">
        <f t="shared" si="46"/>
        <v>0</v>
      </c>
      <c r="DH21" s="47"/>
      <c r="DI21" s="32">
        <f>$C21*DK$7</f>
        <v>0</v>
      </c>
      <c r="DJ21" s="47">
        <f t="shared" si="69"/>
        <v>0</v>
      </c>
      <c r="DK21" s="32">
        <f t="shared" si="47"/>
        <v>0</v>
      </c>
      <c r="DL21" s="47">
        <f t="shared" si="48"/>
        <v>0</v>
      </c>
      <c r="DM21" s="47"/>
      <c r="DN21" s="32">
        <f>$C21*DP$7</f>
        <v>0</v>
      </c>
      <c r="DO21" s="47">
        <f t="shared" si="70"/>
        <v>0</v>
      </c>
      <c r="DP21" s="32">
        <f t="shared" si="49"/>
        <v>0</v>
      </c>
      <c r="DQ21" s="47">
        <f t="shared" si="50"/>
        <v>0</v>
      </c>
    </row>
    <row r="22" spans="1:121" s="49" customFormat="1" ht="12.75">
      <c r="A22" s="48">
        <v>45017</v>
      </c>
      <c r="C22" s="34"/>
      <c r="D22" s="34">
        <f>'2006A '!D22</f>
        <v>0</v>
      </c>
      <c r="E22" s="34">
        <f t="shared" si="0"/>
        <v>0</v>
      </c>
      <c r="F22" s="34">
        <f>'2006A '!F22</f>
        <v>0</v>
      </c>
      <c r="G22" s="47"/>
      <c r="H22" s="67"/>
      <c r="I22" s="47">
        <f t="shared" si="2"/>
        <v>0</v>
      </c>
      <c r="J22" s="47">
        <f t="shared" si="3"/>
        <v>0</v>
      </c>
      <c r="K22" s="47">
        <f t="shared" si="2"/>
        <v>0</v>
      </c>
      <c r="L22" s="47"/>
      <c r="M22" s="32"/>
      <c r="N22" s="47">
        <f t="shared" si="51"/>
        <v>0</v>
      </c>
      <c r="O22" s="47">
        <f t="shared" si="4"/>
        <v>0</v>
      </c>
      <c r="P22" s="47">
        <f t="shared" si="5"/>
        <v>0</v>
      </c>
      <c r="Q22" s="47"/>
      <c r="R22" s="32"/>
      <c r="S22" s="32">
        <f t="shared" si="7"/>
        <v>0</v>
      </c>
      <c r="T22" s="32">
        <f t="shared" si="8"/>
        <v>0</v>
      </c>
      <c r="U22" s="47">
        <f t="shared" si="9"/>
        <v>0</v>
      </c>
      <c r="V22" s="47"/>
      <c r="W22" s="32"/>
      <c r="X22" s="47">
        <f t="shared" si="52"/>
        <v>0</v>
      </c>
      <c r="Y22" s="32">
        <f t="shared" si="10"/>
        <v>0</v>
      </c>
      <c r="Z22" s="47">
        <f t="shared" si="11"/>
        <v>0</v>
      </c>
      <c r="AA22" s="47"/>
      <c r="AB22" s="32"/>
      <c r="AC22" s="47">
        <f t="shared" si="53"/>
        <v>0</v>
      </c>
      <c r="AD22" s="32">
        <f t="shared" si="12"/>
        <v>0</v>
      </c>
      <c r="AE22" s="47">
        <f t="shared" si="13"/>
        <v>0</v>
      </c>
      <c r="AF22" s="47"/>
      <c r="AG22" s="32"/>
      <c r="AH22" s="47">
        <f t="shared" si="54"/>
        <v>0</v>
      </c>
      <c r="AI22" s="32">
        <f t="shared" si="14"/>
        <v>0</v>
      </c>
      <c r="AJ22" s="47">
        <f t="shared" si="15"/>
        <v>0</v>
      </c>
      <c r="AK22" s="47"/>
      <c r="AL22" s="32"/>
      <c r="AM22" s="47">
        <f t="shared" si="55"/>
        <v>0</v>
      </c>
      <c r="AN22" s="32">
        <f t="shared" si="16"/>
        <v>0</v>
      </c>
      <c r="AO22" s="47">
        <f t="shared" si="17"/>
        <v>0</v>
      </c>
      <c r="AP22" s="47"/>
      <c r="AQ22" s="32"/>
      <c r="AR22" s="47">
        <f t="shared" si="56"/>
        <v>0</v>
      </c>
      <c r="AS22" s="32">
        <f t="shared" si="18"/>
        <v>0</v>
      </c>
      <c r="AT22" s="47">
        <f t="shared" si="19"/>
        <v>0</v>
      </c>
      <c r="AU22" s="47"/>
      <c r="AV22" s="32"/>
      <c r="AW22" s="32">
        <f t="shared" si="20"/>
        <v>0</v>
      </c>
      <c r="AX22" s="32">
        <f t="shared" si="21"/>
        <v>0</v>
      </c>
      <c r="AY22" s="47">
        <f t="shared" si="22"/>
        <v>0</v>
      </c>
      <c r="AZ22" s="47"/>
      <c r="BA22" s="32"/>
      <c r="BB22" s="47">
        <f t="shared" si="57"/>
        <v>0</v>
      </c>
      <c r="BC22" s="32">
        <f t="shared" si="23"/>
        <v>0</v>
      </c>
      <c r="BD22" s="47">
        <f t="shared" si="24"/>
        <v>0</v>
      </c>
      <c r="BE22" s="32"/>
      <c r="BF22" s="32"/>
      <c r="BG22" s="47">
        <f t="shared" si="58"/>
        <v>0</v>
      </c>
      <c r="BH22" s="32">
        <f t="shared" si="25"/>
        <v>0</v>
      </c>
      <c r="BI22" s="47">
        <f t="shared" si="26"/>
        <v>0</v>
      </c>
      <c r="BJ22" s="47"/>
      <c r="BK22" s="32"/>
      <c r="BL22" s="47">
        <f t="shared" si="59"/>
        <v>0</v>
      </c>
      <c r="BM22" s="32">
        <f t="shared" si="27"/>
        <v>0</v>
      </c>
      <c r="BN22" s="47">
        <f t="shared" si="28"/>
        <v>0</v>
      </c>
      <c r="BO22" s="47"/>
      <c r="BP22" s="32"/>
      <c r="BQ22" s="47">
        <f t="shared" si="60"/>
        <v>0</v>
      </c>
      <c r="BR22" s="32">
        <f t="shared" si="29"/>
        <v>0</v>
      </c>
      <c r="BS22" s="47">
        <f t="shared" si="30"/>
        <v>0</v>
      </c>
      <c r="BT22" s="47"/>
      <c r="BU22" s="32"/>
      <c r="BV22" s="47">
        <f t="shared" si="61"/>
        <v>0</v>
      </c>
      <c r="BW22" s="32">
        <f t="shared" si="31"/>
        <v>0</v>
      </c>
      <c r="BX22" s="47">
        <f t="shared" si="32"/>
        <v>0</v>
      </c>
      <c r="BY22" s="47"/>
      <c r="BZ22" s="32"/>
      <c r="CA22" s="47">
        <f t="shared" si="62"/>
        <v>0</v>
      </c>
      <c r="CB22" s="32">
        <f t="shared" si="33"/>
        <v>0</v>
      </c>
      <c r="CC22" s="47">
        <f t="shared" si="34"/>
        <v>0</v>
      </c>
      <c r="CD22" s="47"/>
      <c r="CE22" s="32"/>
      <c r="CF22" s="47">
        <f t="shared" si="63"/>
        <v>0</v>
      </c>
      <c r="CG22" s="32">
        <f t="shared" si="35"/>
        <v>0</v>
      </c>
      <c r="CH22" s="47">
        <f t="shared" si="36"/>
        <v>0</v>
      </c>
      <c r="CI22" s="47"/>
      <c r="CJ22" s="32"/>
      <c r="CK22" s="47">
        <f t="shared" si="64"/>
        <v>0</v>
      </c>
      <c r="CL22" s="32">
        <f t="shared" si="37"/>
        <v>0</v>
      </c>
      <c r="CM22" s="47">
        <f t="shared" si="38"/>
        <v>0</v>
      </c>
      <c r="CN22" s="47"/>
      <c r="CO22" s="32"/>
      <c r="CP22" s="47">
        <f t="shared" si="65"/>
        <v>0</v>
      </c>
      <c r="CQ22" s="32">
        <f t="shared" si="39"/>
        <v>0</v>
      </c>
      <c r="CR22" s="47">
        <f t="shared" si="40"/>
        <v>0</v>
      </c>
      <c r="CS22" s="47"/>
      <c r="CT22" s="32"/>
      <c r="CU22" s="47">
        <f t="shared" si="66"/>
        <v>0</v>
      </c>
      <c r="CV22" s="32">
        <f t="shared" si="41"/>
        <v>0</v>
      </c>
      <c r="CW22" s="47">
        <f t="shared" si="42"/>
        <v>0</v>
      </c>
      <c r="CX22" s="47"/>
      <c r="CY22" s="32"/>
      <c r="CZ22" s="47">
        <f t="shared" si="67"/>
        <v>0</v>
      </c>
      <c r="DA22" s="32">
        <f t="shared" si="43"/>
        <v>0</v>
      </c>
      <c r="DB22" s="47">
        <f t="shared" si="44"/>
        <v>0</v>
      </c>
      <c r="DC22" s="47"/>
      <c r="DD22" s="32"/>
      <c r="DE22" s="47">
        <f t="shared" si="68"/>
        <v>0</v>
      </c>
      <c r="DF22" s="32">
        <f t="shared" si="45"/>
        <v>0</v>
      </c>
      <c r="DG22" s="47">
        <f t="shared" si="46"/>
        <v>0</v>
      </c>
      <c r="DH22" s="47"/>
      <c r="DI22" s="32"/>
      <c r="DJ22" s="47">
        <f t="shared" si="69"/>
        <v>0</v>
      </c>
      <c r="DK22" s="32">
        <f t="shared" si="47"/>
        <v>0</v>
      </c>
      <c r="DL22" s="47">
        <f t="shared" si="48"/>
        <v>0</v>
      </c>
      <c r="DM22" s="47"/>
      <c r="DN22" s="32"/>
      <c r="DO22" s="47">
        <f t="shared" si="70"/>
        <v>0</v>
      </c>
      <c r="DP22" s="32">
        <f t="shared" si="49"/>
        <v>0</v>
      </c>
      <c r="DQ22" s="47">
        <f t="shared" si="50"/>
        <v>0</v>
      </c>
    </row>
    <row r="23" spans="1:121" s="49" customFormat="1" ht="12.75">
      <c r="A23" s="48">
        <v>45200</v>
      </c>
      <c r="C23" s="34">
        <f>'2006A '!C23</f>
        <v>0</v>
      </c>
      <c r="D23" s="34">
        <f>'2006A '!D23</f>
        <v>0</v>
      </c>
      <c r="E23" s="34">
        <f t="shared" si="0"/>
        <v>0</v>
      </c>
      <c r="F23" s="34">
        <f>'2006A '!F23</f>
        <v>0</v>
      </c>
      <c r="G23" s="47"/>
      <c r="H23" s="67">
        <f t="shared" si="1"/>
        <v>0</v>
      </c>
      <c r="I23" s="47">
        <f t="shared" si="2"/>
        <v>0</v>
      </c>
      <c r="J23" s="47">
        <f t="shared" si="3"/>
        <v>0</v>
      </c>
      <c r="K23" s="47">
        <f t="shared" si="2"/>
        <v>0</v>
      </c>
      <c r="L23" s="47"/>
      <c r="M23" s="32">
        <f t="shared" si="71"/>
        <v>0</v>
      </c>
      <c r="N23" s="47">
        <f t="shared" si="51"/>
        <v>0</v>
      </c>
      <c r="O23" s="47">
        <f t="shared" si="4"/>
        <v>0</v>
      </c>
      <c r="P23" s="47">
        <f t="shared" si="5"/>
        <v>0</v>
      </c>
      <c r="Q23" s="47"/>
      <c r="R23" s="32">
        <f t="shared" si="6"/>
        <v>0</v>
      </c>
      <c r="S23" s="32">
        <f t="shared" si="7"/>
        <v>0</v>
      </c>
      <c r="T23" s="32">
        <f t="shared" si="8"/>
        <v>0</v>
      </c>
      <c r="U23" s="47">
        <f t="shared" si="9"/>
        <v>0</v>
      </c>
      <c r="V23" s="47"/>
      <c r="W23" s="32">
        <f>$C23*Y$7</f>
        <v>0</v>
      </c>
      <c r="X23" s="47">
        <f t="shared" si="52"/>
        <v>0</v>
      </c>
      <c r="Y23" s="32">
        <f t="shared" si="10"/>
        <v>0</v>
      </c>
      <c r="Z23" s="47">
        <f t="shared" si="11"/>
        <v>0</v>
      </c>
      <c r="AA23" s="47"/>
      <c r="AB23" s="32">
        <f>$C23*AD$7</f>
        <v>0</v>
      </c>
      <c r="AC23" s="47">
        <f t="shared" si="53"/>
        <v>0</v>
      </c>
      <c r="AD23" s="32">
        <f t="shared" si="12"/>
        <v>0</v>
      </c>
      <c r="AE23" s="47">
        <f t="shared" si="13"/>
        <v>0</v>
      </c>
      <c r="AF23" s="47"/>
      <c r="AG23" s="32">
        <f>$C23*AI$7</f>
        <v>0</v>
      </c>
      <c r="AH23" s="47">
        <f t="shared" si="54"/>
        <v>0</v>
      </c>
      <c r="AI23" s="32">
        <f t="shared" si="14"/>
        <v>0</v>
      </c>
      <c r="AJ23" s="47">
        <f t="shared" si="15"/>
        <v>0</v>
      </c>
      <c r="AK23" s="47"/>
      <c r="AL23" s="32">
        <f>$C23*AN$7</f>
        <v>0</v>
      </c>
      <c r="AM23" s="47">
        <f t="shared" si="55"/>
        <v>0</v>
      </c>
      <c r="AN23" s="32">
        <f t="shared" si="16"/>
        <v>0</v>
      </c>
      <c r="AO23" s="47">
        <f t="shared" si="17"/>
        <v>0</v>
      </c>
      <c r="AP23" s="47"/>
      <c r="AQ23" s="32">
        <f>$C23*AS$7</f>
        <v>0</v>
      </c>
      <c r="AR23" s="47">
        <f t="shared" si="56"/>
        <v>0</v>
      </c>
      <c r="AS23" s="32">
        <f t="shared" si="18"/>
        <v>0</v>
      </c>
      <c r="AT23" s="47">
        <f t="shared" si="19"/>
        <v>0</v>
      </c>
      <c r="AU23" s="47"/>
      <c r="AV23" s="32">
        <f>$C23*AX$7</f>
        <v>0</v>
      </c>
      <c r="AW23" s="32">
        <f t="shared" si="20"/>
        <v>0</v>
      </c>
      <c r="AX23" s="32">
        <f t="shared" si="21"/>
        <v>0</v>
      </c>
      <c r="AY23" s="47">
        <f t="shared" si="22"/>
        <v>0</v>
      </c>
      <c r="AZ23" s="47"/>
      <c r="BA23" s="32">
        <f>$C23*BC$7</f>
        <v>0</v>
      </c>
      <c r="BB23" s="47">
        <f t="shared" si="57"/>
        <v>0</v>
      </c>
      <c r="BC23" s="32">
        <f t="shared" si="23"/>
        <v>0</v>
      </c>
      <c r="BD23" s="47">
        <f t="shared" si="24"/>
        <v>0</v>
      </c>
      <c r="BE23" s="32"/>
      <c r="BF23" s="32">
        <f>$C23*BH$7</f>
        <v>0</v>
      </c>
      <c r="BG23" s="47">
        <f t="shared" si="58"/>
        <v>0</v>
      </c>
      <c r="BH23" s="32">
        <f t="shared" si="25"/>
        <v>0</v>
      </c>
      <c r="BI23" s="47">
        <f t="shared" si="26"/>
        <v>0</v>
      </c>
      <c r="BJ23" s="47"/>
      <c r="BK23" s="32">
        <f>$C23*BM$7</f>
        <v>0</v>
      </c>
      <c r="BL23" s="47">
        <f t="shared" si="59"/>
        <v>0</v>
      </c>
      <c r="BM23" s="32">
        <f t="shared" si="27"/>
        <v>0</v>
      </c>
      <c r="BN23" s="47">
        <f t="shared" si="28"/>
        <v>0</v>
      </c>
      <c r="BO23" s="47"/>
      <c r="BP23" s="32">
        <f>$C23*BR$7</f>
        <v>0</v>
      </c>
      <c r="BQ23" s="47">
        <f t="shared" si="60"/>
        <v>0</v>
      </c>
      <c r="BR23" s="32">
        <f t="shared" si="29"/>
        <v>0</v>
      </c>
      <c r="BS23" s="47">
        <f t="shared" si="30"/>
        <v>0</v>
      </c>
      <c r="BT23" s="47"/>
      <c r="BU23" s="32">
        <f>$C23*BW$7</f>
        <v>0</v>
      </c>
      <c r="BV23" s="47">
        <f t="shared" si="61"/>
        <v>0</v>
      </c>
      <c r="BW23" s="32">
        <f t="shared" si="31"/>
        <v>0</v>
      </c>
      <c r="BX23" s="47">
        <f t="shared" si="32"/>
        <v>0</v>
      </c>
      <c r="BY23" s="47"/>
      <c r="BZ23" s="32">
        <f>$C23*CB$7</f>
        <v>0</v>
      </c>
      <c r="CA23" s="47">
        <f t="shared" si="62"/>
        <v>0</v>
      </c>
      <c r="CB23" s="32">
        <f t="shared" si="33"/>
        <v>0</v>
      </c>
      <c r="CC23" s="47">
        <f t="shared" si="34"/>
        <v>0</v>
      </c>
      <c r="CD23" s="47"/>
      <c r="CE23" s="32">
        <f>$C23*CG$7</f>
        <v>0</v>
      </c>
      <c r="CF23" s="47">
        <f t="shared" si="63"/>
        <v>0</v>
      </c>
      <c r="CG23" s="32">
        <f t="shared" si="35"/>
        <v>0</v>
      </c>
      <c r="CH23" s="47">
        <f t="shared" si="36"/>
        <v>0</v>
      </c>
      <c r="CI23" s="47"/>
      <c r="CJ23" s="32">
        <f>$C23*CL$7</f>
        <v>0</v>
      </c>
      <c r="CK23" s="47">
        <f t="shared" si="64"/>
        <v>0</v>
      </c>
      <c r="CL23" s="32">
        <f t="shared" si="37"/>
        <v>0</v>
      </c>
      <c r="CM23" s="47">
        <f t="shared" si="38"/>
        <v>0</v>
      </c>
      <c r="CN23" s="47"/>
      <c r="CO23" s="32">
        <f>$C23*CQ$7</f>
        <v>0</v>
      </c>
      <c r="CP23" s="47">
        <f t="shared" si="65"/>
        <v>0</v>
      </c>
      <c r="CQ23" s="32">
        <f t="shared" si="39"/>
        <v>0</v>
      </c>
      <c r="CR23" s="47">
        <f t="shared" si="40"/>
        <v>0</v>
      </c>
      <c r="CS23" s="47"/>
      <c r="CT23" s="32">
        <f>$C23*CV$7</f>
        <v>0</v>
      </c>
      <c r="CU23" s="47">
        <f t="shared" si="66"/>
        <v>0</v>
      </c>
      <c r="CV23" s="32">
        <f t="shared" si="41"/>
        <v>0</v>
      </c>
      <c r="CW23" s="47">
        <f t="shared" si="42"/>
        <v>0</v>
      </c>
      <c r="CX23" s="47"/>
      <c r="CY23" s="32">
        <f>$C23*DA$7</f>
        <v>0</v>
      </c>
      <c r="CZ23" s="47">
        <f t="shared" si="67"/>
        <v>0</v>
      </c>
      <c r="DA23" s="32">
        <f t="shared" si="43"/>
        <v>0</v>
      </c>
      <c r="DB23" s="47">
        <f t="shared" si="44"/>
        <v>0</v>
      </c>
      <c r="DC23" s="47"/>
      <c r="DD23" s="32">
        <f>$C23*DF$7</f>
        <v>0</v>
      </c>
      <c r="DE23" s="47">
        <f t="shared" si="68"/>
        <v>0</v>
      </c>
      <c r="DF23" s="32">
        <f t="shared" si="45"/>
        <v>0</v>
      </c>
      <c r="DG23" s="47">
        <f t="shared" si="46"/>
        <v>0</v>
      </c>
      <c r="DH23" s="47"/>
      <c r="DI23" s="32">
        <f>$C23*DK$7</f>
        <v>0</v>
      </c>
      <c r="DJ23" s="47">
        <f t="shared" si="69"/>
        <v>0</v>
      </c>
      <c r="DK23" s="32">
        <f t="shared" si="47"/>
        <v>0</v>
      </c>
      <c r="DL23" s="47">
        <f t="shared" si="48"/>
        <v>0</v>
      </c>
      <c r="DM23" s="47"/>
      <c r="DN23" s="32">
        <f>$C23*DP$7</f>
        <v>0</v>
      </c>
      <c r="DO23" s="47">
        <f t="shared" si="70"/>
        <v>0</v>
      </c>
      <c r="DP23" s="32">
        <f t="shared" si="49"/>
        <v>0</v>
      </c>
      <c r="DQ23" s="47">
        <f t="shared" si="50"/>
        <v>0</v>
      </c>
    </row>
    <row r="24" spans="1:121" s="49" customFormat="1" ht="12.75">
      <c r="A24" s="48">
        <v>45383</v>
      </c>
      <c r="C24" s="34"/>
      <c r="D24" s="34">
        <f>'2006A '!D24</f>
        <v>0</v>
      </c>
      <c r="E24" s="34">
        <f t="shared" si="0"/>
        <v>0</v>
      </c>
      <c r="F24" s="34">
        <f>'2006A '!F24</f>
        <v>0</v>
      </c>
      <c r="G24" s="47"/>
      <c r="H24" s="67"/>
      <c r="I24" s="47">
        <f t="shared" si="2"/>
        <v>0</v>
      </c>
      <c r="J24" s="47">
        <f t="shared" si="3"/>
        <v>0</v>
      </c>
      <c r="K24" s="47">
        <f t="shared" si="2"/>
        <v>0</v>
      </c>
      <c r="L24" s="47"/>
      <c r="M24" s="32"/>
      <c r="N24" s="47">
        <f t="shared" si="51"/>
        <v>0</v>
      </c>
      <c r="O24" s="47">
        <f t="shared" si="4"/>
        <v>0</v>
      </c>
      <c r="P24" s="47">
        <f t="shared" si="5"/>
        <v>0</v>
      </c>
      <c r="Q24" s="47"/>
      <c r="R24" s="32"/>
      <c r="S24" s="32">
        <f t="shared" si="7"/>
        <v>0</v>
      </c>
      <c r="T24" s="32">
        <f t="shared" si="8"/>
        <v>0</v>
      </c>
      <c r="U24" s="47">
        <f t="shared" si="9"/>
        <v>0</v>
      </c>
      <c r="V24" s="47"/>
      <c r="W24" s="32"/>
      <c r="X24" s="47">
        <f t="shared" si="52"/>
        <v>0</v>
      </c>
      <c r="Y24" s="32">
        <f t="shared" si="10"/>
        <v>0</v>
      </c>
      <c r="Z24" s="47">
        <f t="shared" si="11"/>
        <v>0</v>
      </c>
      <c r="AA24" s="47"/>
      <c r="AB24" s="32"/>
      <c r="AC24" s="47">
        <f t="shared" si="53"/>
        <v>0</v>
      </c>
      <c r="AD24" s="32">
        <f t="shared" si="12"/>
        <v>0</v>
      </c>
      <c r="AE24" s="47">
        <f t="shared" si="13"/>
        <v>0</v>
      </c>
      <c r="AF24" s="47"/>
      <c r="AG24" s="32"/>
      <c r="AH24" s="47">
        <f t="shared" si="54"/>
        <v>0</v>
      </c>
      <c r="AI24" s="32">
        <f t="shared" si="14"/>
        <v>0</v>
      </c>
      <c r="AJ24" s="47">
        <f t="shared" si="15"/>
        <v>0</v>
      </c>
      <c r="AK24" s="47"/>
      <c r="AL24" s="32"/>
      <c r="AM24" s="47">
        <f t="shared" si="55"/>
        <v>0</v>
      </c>
      <c r="AN24" s="32">
        <f t="shared" si="16"/>
        <v>0</v>
      </c>
      <c r="AO24" s="47">
        <f t="shared" si="17"/>
        <v>0</v>
      </c>
      <c r="AP24" s="47"/>
      <c r="AQ24" s="32"/>
      <c r="AR24" s="47">
        <f t="shared" si="56"/>
        <v>0</v>
      </c>
      <c r="AS24" s="32">
        <f t="shared" si="18"/>
        <v>0</v>
      </c>
      <c r="AT24" s="47">
        <f t="shared" si="19"/>
        <v>0</v>
      </c>
      <c r="AU24" s="47"/>
      <c r="AV24" s="32"/>
      <c r="AW24" s="32">
        <f t="shared" si="20"/>
        <v>0</v>
      </c>
      <c r="AX24" s="32">
        <f t="shared" si="21"/>
        <v>0</v>
      </c>
      <c r="AY24" s="47">
        <f t="shared" si="22"/>
        <v>0</v>
      </c>
      <c r="AZ24" s="47"/>
      <c r="BA24" s="32"/>
      <c r="BB24" s="47">
        <f t="shared" si="57"/>
        <v>0</v>
      </c>
      <c r="BC24" s="32">
        <f t="shared" si="23"/>
        <v>0</v>
      </c>
      <c r="BD24" s="47">
        <f t="shared" si="24"/>
        <v>0</v>
      </c>
      <c r="BE24" s="32"/>
      <c r="BF24" s="32"/>
      <c r="BG24" s="47">
        <f t="shared" si="58"/>
        <v>0</v>
      </c>
      <c r="BH24" s="32">
        <f t="shared" si="25"/>
        <v>0</v>
      </c>
      <c r="BI24" s="47">
        <f t="shared" si="26"/>
        <v>0</v>
      </c>
      <c r="BJ24" s="47"/>
      <c r="BK24" s="32"/>
      <c r="BL24" s="47">
        <f t="shared" si="59"/>
        <v>0</v>
      </c>
      <c r="BM24" s="32">
        <f t="shared" si="27"/>
        <v>0</v>
      </c>
      <c r="BN24" s="47">
        <f t="shared" si="28"/>
        <v>0</v>
      </c>
      <c r="BO24" s="47"/>
      <c r="BP24" s="32"/>
      <c r="BQ24" s="47">
        <f t="shared" si="60"/>
        <v>0</v>
      </c>
      <c r="BR24" s="32">
        <f t="shared" si="29"/>
        <v>0</v>
      </c>
      <c r="BS24" s="47">
        <f t="shared" si="30"/>
        <v>0</v>
      </c>
      <c r="BT24" s="47"/>
      <c r="BU24" s="32"/>
      <c r="BV24" s="47">
        <f t="shared" si="61"/>
        <v>0</v>
      </c>
      <c r="BW24" s="32">
        <f t="shared" si="31"/>
        <v>0</v>
      </c>
      <c r="BX24" s="47">
        <f t="shared" si="32"/>
        <v>0</v>
      </c>
      <c r="BY24" s="47"/>
      <c r="BZ24" s="32"/>
      <c r="CA24" s="47">
        <f t="shared" si="62"/>
        <v>0</v>
      </c>
      <c r="CB24" s="32">
        <f t="shared" si="33"/>
        <v>0</v>
      </c>
      <c r="CC24" s="47">
        <f t="shared" si="34"/>
        <v>0</v>
      </c>
      <c r="CD24" s="47"/>
      <c r="CE24" s="32"/>
      <c r="CF24" s="47">
        <f t="shared" si="63"/>
        <v>0</v>
      </c>
      <c r="CG24" s="32">
        <f t="shared" si="35"/>
        <v>0</v>
      </c>
      <c r="CH24" s="47">
        <f t="shared" si="36"/>
        <v>0</v>
      </c>
      <c r="CI24" s="47"/>
      <c r="CJ24" s="32"/>
      <c r="CK24" s="47">
        <f t="shared" si="64"/>
        <v>0</v>
      </c>
      <c r="CL24" s="32">
        <f t="shared" si="37"/>
        <v>0</v>
      </c>
      <c r="CM24" s="47">
        <f t="shared" si="38"/>
        <v>0</v>
      </c>
      <c r="CN24" s="47"/>
      <c r="CO24" s="32"/>
      <c r="CP24" s="47">
        <f t="shared" si="65"/>
        <v>0</v>
      </c>
      <c r="CQ24" s="32">
        <f t="shared" si="39"/>
        <v>0</v>
      </c>
      <c r="CR24" s="47">
        <f t="shared" si="40"/>
        <v>0</v>
      </c>
      <c r="CS24" s="47"/>
      <c r="CT24" s="32"/>
      <c r="CU24" s="47">
        <f t="shared" si="66"/>
        <v>0</v>
      </c>
      <c r="CV24" s="32">
        <f t="shared" si="41"/>
        <v>0</v>
      </c>
      <c r="CW24" s="47">
        <f t="shared" si="42"/>
        <v>0</v>
      </c>
      <c r="CX24" s="47"/>
      <c r="CY24" s="32"/>
      <c r="CZ24" s="47">
        <f t="shared" si="67"/>
        <v>0</v>
      </c>
      <c r="DA24" s="32">
        <f t="shared" si="43"/>
        <v>0</v>
      </c>
      <c r="DB24" s="47">
        <f t="shared" si="44"/>
        <v>0</v>
      </c>
      <c r="DC24" s="47"/>
      <c r="DD24" s="32"/>
      <c r="DE24" s="47">
        <f t="shared" si="68"/>
        <v>0</v>
      </c>
      <c r="DF24" s="32">
        <f t="shared" si="45"/>
        <v>0</v>
      </c>
      <c r="DG24" s="47">
        <f t="shared" si="46"/>
        <v>0</v>
      </c>
      <c r="DH24" s="47"/>
      <c r="DI24" s="32"/>
      <c r="DJ24" s="47">
        <f t="shared" si="69"/>
        <v>0</v>
      </c>
      <c r="DK24" s="32">
        <f t="shared" si="47"/>
        <v>0</v>
      </c>
      <c r="DL24" s="47">
        <f t="shared" si="48"/>
        <v>0</v>
      </c>
      <c r="DM24" s="47"/>
      <c r="DN24" s="32"/>
      <c r="DO24" s="47">
        <f t="shared" si="70"/>
        <v>0</v>
      </c>
      <c r="DP24" s="32">
        <f t="shared" si="49"/>
        <v>0</v>
      </c>
      <c r="DQ24" s="47">
        <f t="shared" si="50"/>
        <v>0</v>
      </c>
    </row>
    <row r="25" spans="1:121" s="49" customFormat="1" ht="12.75">
      <c r="A25" s="19">
        <v>45566</v>
      </c>
      <c r="C25" s="34">
        <f>'2006A '!C25</f>
        <v>0</v>
      </c>
      <c r="D25" s="34">
        <f>'2006A '!D25</f>
        <v>0</v>
      </c>
      <c r="E25" s="34">
        <f t="shared" si="0"/>
        <v>0</v>
      </c>
      <c r="F25" s="34">
        <f>'2006A '!F25</f>
        <v>0</v>
      </c>
      <c r="G25" s="47"/>
      <c r="H25" s="67">
        <f t="shared" si="1"/>
        <v>0</v>
      </c>
      <c r="I25" s="47">
        <f t="shared" si="2"/>
        <v>0</v>
      </c>
      <c r="J25" s="47">
        <f t="shared" si="3"/>
        <v>0</v>
      </c>
      <c r="K25" s="47">
        <f t="shared" si="2"/>
        <v>0</v>
      </c>
      <c r="L25" s="47"/>
      <c r="M25" s="32">
        <f t="shared" si="71"/>
        <v>0</v>
      </c>
      <c r="N25" s="47">
        <f t="shared" si="51"/>
        <v>0</v>
      </c>
      <c r="O25" s="47">
        <f t="shared" si="4"/>
        <v>0</v>
      </c>
      <c r="P25" s="47">
        <f t="shared" si="5"/>
        <v>0</v>
      </c>
      <c r="Q25" s="47"/>
      <c r="R25" s="32">
        <f t="shared" si="6"/>
        <v>0</v>
      </c>
      <c r="S25" s="32">
        <f t="shared" si="7"/>
        <v>0</v>
      </c>
      <c r="T25" s="32">
        <f t="shared" si="8"/>
        <v>0</v>
      </c>
      <c r="U25" s="47">
        <f t="shared" si="9"/>
        <v>0</v>
      </c>
      <c r="V25" s="47"/>
      <c r="W25" s="32">
        <f>$C25*Y$7</f>
        <v>0</v>
      </c>
      <c r="X25" s="47">
        <f t="shared" si="52"/>
        <v>0</v>
      </c>
      <c r="Y25" s="32">
        <f t="shared" si="10"/>
        <v>0</v>
      </c>
      <c r="Z25" s="47">
        <f t="shared" si="11"/>
        <v>0</v>
      </c>
      <c r="AA25" s="47"/>
      <c r="AB25" s="32">
        <f>$C25*AD$7</f>
        <v>0</v>
      </c>
      <c r="AC25" s="47">
        <f t="shared" si="53"/>
        <v>0</v>
      </c>
      <c r="AD25" s="32">
        <f t="shared" si="12"/>
        <v>0</v>
      </c>
      <c r="AE25" s="47">
        <f t="shared" si="13"/>
        <v>0</v>
      </c>
      <c r="AF25" s="47"/>
      <c r="AG25" s="32">
        <f>$C25*AI$7</f>
        <v>0</v>
      </c>
      <c r="AH25" s="47">
        <f t="shared" si="54"/>
        <v>0</v>
      </c>
      <c r="AI25" s="32">
        <f t="shared" si="14"/>
        <v>0</v>
      </c>
      <c r="AJ25" s="47">
        <f t="shared" si="15"/>
        <v>0</v>
      </c>
      <c r="AK25" s="47"/>
      <c r="AL25" s="32">
        <f>$C25*AN$7</f>
        <v>0</v>
      </c>
      <c r="AM25" s="47">
        <f t="shared" si="55"/>
        <v>0</v>
      </c>
      <c r="AN25" s="32">
        <f t="shared" si="16"/>
        <v>0</v>
      </c>
      <c r="AO25" s="47">
        <f t="shared" si="17"/>
        <v>0</v>
      </c>
      <c r="AP25" s="47"/>
      <c r="AQ25" s="32">
        <f>$C25*AS$7</f>
        <v>0</v>
      </c>
      <c r="AR25" s="47">
        <f t="shared" si="56"/>
        <v>0</v>
      </c>
      <c r="AS25" s="32">
        <f t="shared" si="18"/>
        <v>0</v>
      </c>
      <c r="AT25" s="47">
        <f t="shared" si="19"/>
        <v>0</v>
      </c>
      <c r="AU25" s="47"/>
      <c r="AV25" s="32">
        <f>$C25*AX$7</f>
        <v>0</v>
      </c>
      <c r="AW25" s="32">
        <f t="shared" si="20"/>
        <v>0</v>
      </c>
      <c r="AX25" s="32">
        <f t="shared" si="21"/>
        <v>0</v>
      </c>
      <c r="AY25" s="47">
        <f t="shared" si="22"/>
        <v>0</v>
      </c>
      <c r="AZ25" s="47"/>
      <c r="BA25" s="32">
        <f>$C25*BC$7</f>
        <v>0</v>
      </c>
      <c r="BB25" s="47">
        <f t="shared" si="57"/>
        <v>0</v>
      </c>
      <c r="BC25" s="32">
        <f t="shared" si="23"/>
        <v>0</v>
      </c>
      <c r="BD25" s="47">
        <f t="shared" si="24"/>
        <v>0</v>
      </c>
      <c r="BE25" s="32"/>
      <c r="BF25" s="32">
        <f>$C25*BH$7</f>
        <v>0</v>
      </c>
      <c r="BG25" s="47">
        <f t="shared" si="58"/>
        <v>0</v>
      </c>
      <c r="BH25" s="32">
        <f t="shared" si="25"/>
        <v>0</v>
      </c>
      <c r="BI25" s="47">
        <f t="shared" si="26"/>
        <v>0</v>
      </c>
      <c r="BJ25" s="47"/>
      <c r="BK25" s="32">
        <f>$C25*BM$7</f>
        <v>0</v>
      </c>
      <c r="BL25" s="47">
        <f t="shared" si="59"/>
        <v>0</v>
      </c>
      <c r="BM25" s="32">
        <f t="shared" si="27"/>
        <v>0</v>
      </c>
      <c r="BN25" s="47">
        <f t="shared" si="28"/>
        <v>0</v>
      </c>
      <c r="BO25" s="47"/>
      <c r="BP25" s="32">
        <f>$C25*BR$7</f>
        <v>0</v>
      </c>
      <c r="BQ25" s="47">
        <f t="shared" si="60"/>
        <v>0</v>
      </c>
      <c r="BR25" s="32">
        <f t="shared" si="29"/>
        <v>0</v>
      </c>
      <c r="BS25" s="47">
        <f t="shared" si="30"/>
        <v>0</v>
      </c>
      <c r="BT25" s="47"/>
      <c r="BU25" s="32">
        <f>$C25*BW$7</f>
        <v>0</v>
      </c>
      <c r="BV25" s="47">
        <f t="shared" si="61"/>
        <v>0</v>
      </c>
      <c r="BW25" s="32">
        <f t="shared" si="31"/>
        <v>0</v>
      </c>
      <c r="BX25" s="47">
        <f t="shared" si="32"/>
        <v>0</v>
      </c>
      <c r="BY25" s="47"/>
      <c r="BZ25" s="32">
        <f>$C25*CB$7</f>
        <v>0</v>
      </c>
      <c r="CA25" s="47">
        <f t="shared" si="62"/>
        <v>0</v>
      </c>
      <c r="CB25" s="32">
        <f t="shared" si="33"/>
        <v>0</v>
      </c>
      <c r="CC25" s="47">
        <f t="shared" si="34"/>
        <v>0</v>
      </c>
      <c r="CD25" s="47"/>
      <c r="CE25" s="32">
        <f>$C25*CG$7</f>
        <v>0</v>
      </c>
      <c r="CF25" s="47">
        <f t="shared" si="63"/>
        <v>0</v>
      </c>
      <c r="CG25" s="32">
        <f t="shared" si="35"/>
        <v>0</v>
      </c>
      <c r="CH25" s="47">
        <f t="shared" si="36"/>
        <v>0</v>
      </c>
      <c r="CI25" s="47"/>
      <c r="CJ25" s="32">
        <f>$C25*CL$7</f>
        <v>0</v>
      </c>
      <c r="CK25" s="47">
        <f t="shared" si="64"/>
        <v>0</v>
      </c>
      <c r="CL25" s="32">
        <f t="shared" si="37"/>
        <v>0</v>
      </c>
      <c r="CM25" s="47">
        <f t="shared" si="38"/>
        <v>0</v>
      </c>
      <c r="CN25" s="47"/>
      <c r="CO25" s="32">
        <f>$C25*CQ$7</f>
        <v>0</v>
      </c>
      <c r="CP25" s="47">
        <f t="shared" si="65"/>
        <v>0</v>
      </c>
      <c r="CQ25" s="32">
        <f t="shared" si="39"/>
        <v>0</v>
      </c>
      <c r="CR25" s="47">
        <f t="shared" si="40"/>
        <v>0</v>
      </c>
      <c r="CS25" s="47"/>
      <c r="CT25" s="32">
        <f>$C25*CV$7</f>
        <v>0</v>
      </c>
      <c r="CU25" s="47">
        <f t="shared" si="66"/>
        <v>0</v>
      </c>
      <c r="CV25" s="32">
        <f t="shared" si="41"/>
        <v>0</v>
      </c>
      <c r="CW25" s="47">
        <f t="shared" si="42"/>
        <v>0</v>
      </c>
      <c r="CX25" s="47"/>
      <c r="CY25" s="32">
        <f>$C25*DA$7</f>
        <v>0</v>
      </c>
      <c r="CZ25" s="47">
        <f t="shared" si="67"/>
        <v>0</v>
      </c>
      <c r="DA25" s="32">
        <f t="shared" si="43"/>
        <v>0</v>
      </c>
      <c r="DB25" s="47">
        <f t="shared" si="44"/>
        <v>0</v>
      </c>
      <c r="DC25" s="47"/>
      <c r="DD25" s="32">
        <f>$C25*DF$7</f>
        <v>0</v>
      </c>
      <c r="DE25" s="47">
        <f t="shared" si="68"/>
        <v>0</v>
      </c>
      <c r="DF25" s="32">
        <f t="shared" si="45"/>
        <v>0</v>
      </c>
      <c r="DG25" s="47">
        <f t="shared" si="46"/>
        <v>0</v>
      </c>
      <c r="DH25" s="47"/>
      <c r="DI25" s="32">
        <f>$C25*DK$7</f>
        <v>0</v>
      </c>
      <c r="DJ25" s="47">
        <f t="shared" si="69"/>
        <v>0</v>
      </c>
      <c r="DK25" s="32">
        <f t="shared" si="47"/>
        <v>0</v>
      </c>
      <c r="DL25" s="47">
        <f t="shared" si="48"/>
        <v>0</v>
      </c>
      <c r="DM25" s="47"/>
      <c r="DN25" s="32">
        <f>$C25*DP$7</f>
        <v>0</v>
      </c>
      <c r="DO25" s="47">
        <f t="shared" si="70"/>
        <v>0</v>
      </c>
      <c r="DP25" s="32">
        <f t="shared" si="49"/>
        <v>0</v>
      </c>
      <c r="DQ25" s="47">
        <f t="shared" si="50"/>
        <v>0</v>
      </c>
    </row>
    <row r="26" spans="1:121" s="49" customFormat="1" ht="12.75">
      <c r="A26" s="19">
        <v>45748</v>
      </c>
      <c r="C26" s="34"/>
      <c r="D26" s="34">
        <f>'2006A '!D26</f>
        <v>0</v>
      </c>
      <c r="E26" s="34">
        <f t="shared" si="0"/>
        <v>0</v>
      </c>
      <c r="F26" s="34">
        <f>'2006A '!F26</f>
        <v>0</v>
      </c>
      <c r="G26" s="47"/>
      <c r="H26" s="67"/>
      <c r="I26" s="47">
        <f t="shared" si="2"/>
        <v>0</v>
      </c>
      <c r="J26" s="47">
        <f t="shared" si="3"/>
        <v>0</v>
      </c>
      <c r="K26" s="47">
        <f t="shared" si="2"/>
        <v>0</v>
      </c>
      <c r="L26" s="47"/>
      <c r="M26" s="32"/>
      <c r="N26" s="47">
        <f t="shared" si="51"/>
        <v>0</v>
      </c>
      <c r="O26" s="47">
        <f t="shared" si="4"/>
        <v>0</v>
      </c>
      <c r="P26" s="47">
        <f t="shared" si="5"/>
        <v>0</v>
      </c>
      <c r="Q26" s="47"/>
      <c r="R26" s="32"/>
      <c r="S26" s="32">
        <f t="shared" si="7"/>
        <v>0</v>
      </c>
      <c r="T26" s="32">
        <f t="shared" si="8"/>
        <v>0</v>
      </c>
      <c r="U26" s="47">
        <f t="shared" si="9"/>
        <v>0</v>
      </c>
      <c r="V26" s="47"/>
      <c r="W26" s="32"/>
      <c r="X26" s="47">
        <f t="shared" si="52"/>
        <v>0</v>
      </c>
      <c r="Y26" s="32">
        <f t="shared" si="10"/>
        <v>0</v>
      </c>
      <c r="Z26" s="47">
        <f t="shared" si="11"/>
        <v>0</v>
      </c>
      <c r="AA26" s="47"/>
      <c r="AB26" s="32"/>
      <c r="AC26" s="47">
        <f t="shared" si="53"/>
        <v>0</v>
      </c>
      <c r="AD26" s="32">
        <f t="shared" si="12"/>
        <v>0</v>
      </c>
      <c r="AE26" s="47">
        <f t="shared" si="13"/>
        <v>0</v>
      </c>
      <c r="AF26" s="47"/>
      <c r="AG26" s="32"/>
      <c r="AH26" s="47">
        <f t="shared" si="54"/>
        <v>0</v>
      </c>
      <c r="AI26" s="32">
        <f t="shared" si="14"/>
        <v>0</v>
      </c>
      <c r="AJ26" s="47">
        <f t="shared" si="15"/>
        <v>0</v>
      </c>
      <c r="AK26" s="47"/>
      <c r="AL26" s="32"/>
      <c r="AM26" s="47">
        <f t="shared" si="55"/>
        <v>0</v>
      </c>
      <c r="AN26" s="32">
        <f t="shared" si="16"/>
        <v>0</v>
      </c>
      <c r="AO26" s="47">
        <f t="shared" si="17"/>
        <v>0</v>
      </c>
      <c r="AP26" s="47"/>
      <c r="AQ26" s="32"/>
      <c r="AR26" s="47">
        <f t="shared" si="56"/>
        <v>0</v>
      </c>
      <c r="AS26" s="32">
        <f t="shared" si="18"/>
        <v>0</v>
      </c>
      <c r="AT26" s="47">
        <f t="shared" si="19"/>
        <v>0</v>
      </c>
      <c r="AU26" s="47"/>
      <c r="AV26" s="32"/>
      <c r="AW26" s="32">
        <f t="shared" si="20"/>
        <v>0</v>
      </c>
      <c r="AX26" s="32">
        <f t="shared" si="21"/>
        <v>0</v>
      </c>
      <c r="AY26" s="47">
        <f t="shared" si="22"/>
        <v>0</v>
      </c>
      <c r="AZ26" s="47"/>
      <c r="BA26" s="32"/>
      <c r="BB26" s="47">
        <f t="shared" si="57"/>
        <v>0</v>
      </c>
      <c r="BC26" s="32">
        <f t="shared" si="23"/>
        <v>0</v>
      </c>
      <c r="BD26" s="47">
        <f t="shared" si="24"/>
        <v>0</v>
      </c>
      <c r="BE26" s="32"/>
      <c r="BF26" s="32"/>
      <c r="BG26" s="47">
        <f t="shared" si="58"/>
        <v>0</v>
      </c>
      <c r="BH26" s="32">
        <f t="shared" si="25"/>
        <v>0</v>
      </c>
      <c r="BI26" s="47">
        <f t="shared" si="26"/>
        <v>0</v>
      </c>
      <c r="BJ26" s="47"/>
      <c r="BK26" s="32"/>
      <c r="BL26" s="47">
        <f t="shared" si="59"/>
        <v>0</v>
      </c>
      <c r="BM26" s="32">
        <f t="shared" si="27"/>
        <v>0</v>
      </c>
      <c r="BN26" s="47">
        <f t="shared" si="28"/>
        <v>0</v>
      </c>
      <c r="BO26" s="47"/>
      <c r="BP26" s="32"/>
      <c r="BQ26" s="47">
        <f t="shared" si="60"/>
        <v>0</v>
      </c>
      <c r="BR26" s="32">
        <f t="shared" si="29"/>
        <v>0</v>
      </c>
      <c r="BS26" s="47">
        <f t="shared" si="30"/>
        <v>0</v>
      </c>
      <c r="BT26" s="47"/>
      <c r="BU26" s="32"/>
      <c r="BV26" s="47">
        <f t="shared" si="61"/>
        <v>0</v>
      </c>
      <c r="BW26" s="32">
        <f t="shared" si="31"/>
        <v>0</v>
      </c>
      <c r="BX26" s="47">
        <f t="shared" si="32"/>
        <v>0</v>
      </c>
      <c r="BY26" s="47"/>
      <c r="BZ26" s="32"/>
      <c r="CA26" s="47">
        <f t="shared" si="62"/>
        <v>0</v>
      </c>
      <c r="CB26" s="32">
        <f t="shared" si="33"/>
        <v>0</v>
      </c>
      <c r="CC26" s="47">
        <f t="shared" si="34"/>
        <v>0</v>
      </c>
      <c r="CD26" s="47"/>
      <c r="CE26" s="32"/>
      <c r="CF26" s="47">
        <f t="shared" si="63"/>
        <v>0</v>
      </c>
      <c r="CG26" s="32">
        <f t="shared" si="35"/>
        <v>0</v>
      </c>
      <c r="CH26" s="47">
        <f t="shared" si="36"/>
        <v>0</v>
      </c>
      <c r="CI26" s="47"/>
      <c r="CJ26" s="32"/>
      <c r="CK26" s="47">
        <f t="shared" si="64"/>
        <v>0</v>
      </c>
      <c r="CL26" s="32">
        <f t="shared" si="37"/>
        <v>0</v>
      </c>
      <c r="CM26" s="47">
        <f t="shared" si="38"/>
        <v>0</v>
      </c>
      <c r="CN26" s="47"/>
      <c r="CO26" s="32"/>
      <c r="CP26" s="47">
        <f t="shared" si="65"/>
        <v>0</v>
      </c>
      <c r="CQ26" s="32">
        <f t="shared" si="39"/>
        <v>0</v>
      </c>
      <c r="CR26" s="47">
        <f t="shared" si="40"/>
        <v>0</v>
      </c>
      <c r="CS26" s="47"/>
      <c r="CT26" s="32"/>
      <c r="CU26" s="47">
        <f t="shared" si="66"/>
        <v>0</v>
      </c>
      <c r="CV26" s="32">
        <f t="shared" si="41"/>
        <v>0</v>
      </c>
      <c r="CW26" s="47">
        <f t="shared" si="42"/>
        <v>0</v>
      </c>
      <c r="CX26" s="47"/>
      <c r="CY26" s="32"/>
      <c r="CZ26" s="47">
        <f t="shared" si="67"/>
        <v>0</v>
      </c>
      <c r="DA26" s="32">
        <f t="shared" si="43"/>
        <v>0</v>
      </c>
      <c r="DB26" s="47">
        <f t="shared" si="44"/>
        <v>0</v>
      </c>
      <c r="DC26" s="47"/>
      <c r="DD26" s="32"/>
      <c r="DE26" s="47">
        <f t="shared" si="68"/>
        <v>0</v>
      </c>
      <c r="DF26" s="32">
        <f t="shared" si="45"/>
        <v>0</v>
      </c>
      <c r="DG26" s="47">
        <f t="shared" si="46"/>
        <v>0</v>
      </c>
      <c r="DH26" s="47"/>
      <c r="DI26" s="32"/>
      <c r="DJ26" s="47">
        <f t="shared" si="69"/>
        <v>0</v>
      </c>
      <c r="DK26" s="32">
        <f t="shared" si="47"/>
        <v>0</v>
      </c>
      <c r="DL26" s="47">
        <f t="shared" si="48"/>
        <v>0</v>
      </c>
      <c r="DM26" s="47"/>
      <c r="DN26" s="32"/>
      <c r="DO26" s="47">
        <f t="shared" si="70"/>
        <v>0</v>
      </c>
      <c r="DP26" s="32">
        <f t="shared" si="49"/>
        <v>0</v>
      </c>
      <c r="DQ26" s="47">
        <f t="shared" si="50"/>
        <v>0</v>
      </c>
    </row>
    <row r="27" spans="1:121" s="49" customFormat="1" ht="12.75">
      <c r="A27" s="19">
        <v>45931</v>
      </c>
      <c r="B27"/>
      <c r="C27" s="34">
        <f>'2006A '!C27</f>
        <v>0</v>
      </c>
      <c r="D27" s="34">
        <f>'2006A '!D27</f>
        <v>0</v>
      </c>
      <c r="E27" s="34">
        <f t="shared" si="0"/>
        <v>0</v>
      </c>
      <c r="F27" s="34">
        <f>'2006A '!F27</f>
        <v>0</v>
      </c>
      <c r="G27" s="47"/>
      <c r="H27" s="67">
        <f t="shared" si="1"/>
        <v>0</v>
      </c>
      <c r="I27" s="47">
        <f t="shared" si="2"/>
        <v>0</v>
      </c>
      <c r="J27" s="47">
        <f t="shared" si="3"/>
        <v>0</v>
      </c>
      <c r="K27" s="47">
        <f t="shared" si="2"/>
        <v>0</v>
      </c>
      <c r="L27" s="47"/>
      <c r="M27" s="32">
        <f t="shared" si="71"/>
        <v>0</v>
      </c>
      <c r="N27" s="47">
        <f t="shared" si="51"/>
        <v>0</v>
      </c>
      <c r="O27" s="47">
        <f t="shared" si="4"/>
        <v>0</v>
      </c>
      <c r="P27" s="47">
        <f t="shared" si="5"/>
        <v>0</v>
      </c>
      <c r="Q27" s="47"/>
      <c r="R27" s="32">
        <f t="shared" si="6"/>
        <v>0</v>
      </c>
      <c r="S27" s="32">
        <f t="shared" si="7"/>
        <v>0</v>
      </c>
      <c r="T27" s="32">
        <f t="shared" si="8"/>
        <v>0</v>
      </c>
      <c r="U27" s="47">
        <f t="shared" si="9"/>
        <v>0</v>
      </c>
      <c r="V27" s="47"/>
      <c r="W27" s="32">
        <f>$C27*Y$7</f>
        <v>0</v>
      </c>
      <c r="X27" s="47">
        <f t="shared" si="52"/>
        <v>0</v>
      </c>
      <c r="Y27" s="32">
        <f t="shared" si="10"/>
        <v>0</v>
      </c>
      <c r="Z27" s="47">
        <f t="shared" si="11"/>
        <v>0</v>
      </c>
      <c r="AA27" s="47"/>
      <c r="AB27" s="32">
        <f>$C27*AD$7</f>
        <v>0</v>
      </c>
      <c r="AC27" s="47">
        <f t="shared" si="53"/>
        <v>0</v>
      </c>
      <c r="AD27" s="32">
        <f t="shared" si="12"/>
        <v>0</v>
      </c>
      <c r="AE27" s="47">
        <f t="shared" si="13"/>
        <v>0</v>
      </c>
      <c r="AF27" s="47"/>
      <c r="AG27" s="32">
        <f>$C27*AI$7</f>
        <v>0</v>
      </c>
      <c r="AH27" s="47">
        <f t="shared" si="54"/>
        <v>0</v>
      </c>
      <c r="AI27" s="32">
        <f t="shared" si="14"/>
        <v>0</v>
      </c>
      <c r="AJ27" s="47">
        <f t="shared" si="15"/>
        <v>0</v>
      </c>
      <c r="AK27" s="47"/>
      <c r="AL27" s="32">
        <f>$C27*AN$7</f>
        <v>0</v>
      </c>
      <c r="AM27" s="47">
        <f t="shared" si="55"/>
        <v>0</v>
      </c>
      <c r="AN27" s="32">
        <f t="shared" si="16"/>
        <v>0</v>
      </c>
      <c r="AO27" s="47">
        <f t="shared" si="17"/>
        <v>0</v>
      </c>
      <c r="AP27" s="47"/>
      <c r="AQ27" s="32">
        <f>$C27*AS$7</f>
        <v>0</v>
      </c>
      <c r="AR27" s="47">
        <f t="shared" si="56"/>
        <v>0</v>
      </c>
      <c r="AS27" s="32">
        <f t="shared" si="18"/>
        <v>0</v>
      </c>
      <c r="AT27" s="47">
        <f t="shared" si="19"/>
        <v>0</v>
      </c>
      <c r="AU27" s="47"/>
      <c r="AV27" s="32">
        <f>$C27*AX$7</f>
        <v>0</v>
      </c>
      <c r="AW27" s="32">
        <f t="shared" si="20"/>
        <v>0</v>
      </c>
      <c r="AX27" s="32">
        <f t="shared" si="21"/>
        <v>0</v>
      </c>
      <c r="AY27" s="47">
        <f t="shared" si="22"/>
        <v>0</v>
      </c>
      <c r="AZ27" s="47"/>
      <c r="BA27" s="32">
        <f>$C27*BC$7</f>
        <v>0</v>
      </c>
      <c r="BB27" s="47">
        <f t="shared" si="57"/>
        <v>0</v>
      </c>
      <c r="BC27" s="32">
        <f t="shared" si="23"/>
        <v>0</v>
      </c>
      <c r="BD27" s="47">
        <f t="shared" si="24"/>
        <v>0</v>
      </c>
      <c r="BE27" s="32"/>
      <c r="BF27" s="32">
        <f>$C27*BH$7</f>
        <v>0</v>
      </c>
      <c r="BG27" s="47">
        <f t="shared" si="58"/>
        <v>0</v>
      </c>
      <c r="BH27" s="32">
        <f t="shared" si="25"/>
        <v>0</v>
      </c>
      <c r="BI27" s="47">
        <f t="shared" si="26"/>
        <v>0</v>
      </c>
      <c r="BJ27" s="47"/>
      <c r="BK27" s="32">
        <f>$C27*BM$7</f>
        <v>0</v>
      </c>
      <c r="BL27" s="47">
        <f t="shared" si="59"/>
        <v>0</v>
      </c>
      <c r="BM27" s="32">
        <f t="shared" si="27"/>
        <v>0</v>
      </c>
      <c r="BN27" s="47">
        <f t="shared" si="28"/>
        <v>0</v>
      </c>
      <c r="BO27" s="47"/>
      <c r="BP27" s="32">
        <f>$C27*BR$7</f>
        <v>0</v>
      </c>
      <c r="BQ27" s="47">
        <f t="shared" si="60"/>
        <v>0</v>
      </c>
      <c r="BR27" s="32">
        <f t="shared" si="29"/>
        <v>0</v>
      </c>
      <c r="BS27" s="47">
        <f t="shared" si="30"/>
        <v>0</v>
      </c>
      <c r="BT27" s="47"/>
      <c r="BU27" s="32">
        <f>$C27*BW$7</f>
        <v>0</v>
      </c>
      <c r="BV27" s="47">
        <f t="shared" si="61"/>
        <v>0</v>
      </c>
      <c r="BW27" s="32">
        <f t="shared" si="31"/>
        <v>0</v>
      </c>
      <c r="BX27" s="47">
        <f t="shared" si="32"/>
        <v>0</v>
      </c>
      <c r="BY27" s="47"/>
      <c r="BZ27" s="32">
        <f>$C27*CB$7</f>
        <v>0</v>
      </c>
      <c r="CA27" s="47">
        <f t="shared" si="62"/>
        <v>0</v>
      </c>
      <c r="CB27" s="32">
        <f t="shared" si="33"/>
        <v>0</v>
      </c>
      <c r="CC27" s="47">
        <f t="shared" si="34"/>
        <v>0</v>
      </c>
      <c r="CD27" s="47"/>
      <c r="CE27" s="32">
        <f>$C27*CG$7</f>
        <v>0</v>
      </c>
      <c r="CF27" s="47">
        <f t="shared" si="63"/>
        <v>0</v>
      </c>
      <c r="CG27" s="32">
        <f t="shared" si="35"/>
        <v>0</v>
      </c>
      <c r="CH27" s="47">
        <f t="shared" si="36"/>
        <v>0</v>
      </c>
      <c r="CI27" s="47"/>
      <c r="CJ27" s="32">
        <f>$C27*CL$7</f>
        <v>0</v>
      </c>
      <c r="CK27" s="47">
        <f t="shared" si="64"/>
        <v>0</v>
      </c>
      <c r="CL27" s="32">
        <f t="shared" si="37"/>
        <v>0</v>
      </c>
      <c r="CM27" s="47">
        <f t="shared" si="38"/>
        <v>0</v>
      </c>
      <c r="CN27" s="47"/>
      <c r="CO27" s="32">
        <f>$C27*CQ$7</f>
        <v>0</v>
      </c>
      <c r="CP27" s="47">
        <f t="shared" si="65"/>
        <v>0</v>
      </c>
      <c r="CQ27" s="32">
        <f t="shared" si="39"/>
        <v>0</v>
      </c>
      <c r="CR27" s="47">
        <f t="shared" si="40"/>
        <v>0</v>
      </c>
      <c r="CS27" s="47"/>
      <c r="CT27" s="32">
        <f>$C27*CV$7</f>
        <v>0</v>
      </c>
      <c r="CU27" s="47">
        <f t="shared" si="66"/>
        <v>0</v>
      </c>
      <c r="CV27" s="32">
        <f t="shared" si="41"/>
        <v>0</v>
      </c>
      <c r="CW27" s="47">
        <f t="shared" si="42"/>
        <v>0</v>
      </c>
      <c r="CX27" s="47"/>
      <c r="CY27" s="32">
        <f>$C27*DA$7</f>
        <v>0</v>
      </c>
      <c r="CZ27" s="47">
        <f t="shared" si="67"/>
        <v>0</v>
      </c>
      <c r="DA27" s="32">
        <f t="shared" si="43"/>
        <v>0</v>
      </c>
      <c r="DB27" s="47">
        <f t="shared" si="44"/>
        <v>0</v>
      </c>
      <c r="DC27" s="47"/>
      <c r="DD27" s="32">
        <f>$C27*DF$7</f>
        <v>0</v>
      </c>
      <c r="DE27" s="47">
        <f t="shared" si="68"/>
        <v>0</v>
      </c>
      <c r="DF27" s="32">
        <f t="shared" si="45"/>
        <v>0</v>
      </c>
      <c r="DG27" s="47">
        <f t="shared" si="46"/>
        <v>0</v>
      </c>
      <c r="DH27" s="47"/>
      <c r="DI27" s="32">
        <f>$C27*DK$7</f>
        <v>0</v>
      </c>
      <c r="DJ27" s="47">
        <f t="shared" si="69"/>
        <v>0</v>
      </c>
      <c r="DK27" s="32">
        <f t="shared" si="47"/>
        <v>0</v>
      </c>
      <c r="DL27" s="47">
        <f t="shared" si="48"/>
        <v>0</v>
      </c>
      <c r="DM27" s="47"/>
      <c r="DN27" s="32">
        <f>$C27*DP$7</f>
        <v>0</v>
      </c>
      <c r="DO27" s="47">
        <f t="shared" si="70"/>
        <v>0</v>
      </c>
      <c r="DP27" s="32">
        <f t="shared" si="49"/>
        <v>0</v>
      </c>
      <c r="DQ27" s="47">
        <f t="shared" si="50"/>
        <v>0</v>
      </c>
    </row>
    <row r="28" spans="1:121" s="49" customFormat="1" ht="12.75">
      <c r="A28" s="19">
        <v>46113</v>
      </c>
      <c r="B28"/>
      <c r="C28" s="34"/>
      <c r="D28" s="34">
        <f>'2006A '!D28</f>
        <v>0</v>
      </c>
      <c r="E28" s="34">
        <f t="shared" si="0"/>
        <v>0</v>
      </c>
      <c r="F28" s="34">
        <f>'2006A '!F28</f>
        <v>0</v>
      </c>
      <c r="G28" s="47"/>
      <c r="H28" s="67"/>
      <c r="I28" s="47">
        <f t="shared" si="2"/>
        <v>0</v>
      </c>
      <c r="J28" s="47">
        <f t="shared" si="3"/>
        <v>0</v>
      </c>
      <c r="K28" s="47">
        <f t="shared" si="2"/>
        <v>0</v>
      </c>
      <c r="L28" s="47"/>
      <c r="M28" s="32"/>
      <c r="N28" s="47">
        <f t="shared" si="51"/>
        <v>0</v>
      </c>
      <c r="O28" s="47">
        <f t="shared" si="4"/>
        <v>0</v>
      </c>
      <c r="P28" s="47">
        <f t="shared" si="5"/>
        <v>0</v>
      </c>
      <c r="Q28" s="47"/>
      <c r="R28" s="32"/>
      <c r="S28" s="32">
        <f t="shared" si="7"/>
        <v>0</v>
      </c>
      <c r="T28" s="32">
        <f t="shared" si="8"/>
        <v>0</v>
      </c>
      <c r="U28" s="47">
        <f t="shared" si="9"/>
        <v>0</v>
      </c>
      <c r="V28" s="47"/>
      <c r="W28" s="32"/>
      <c r="X28" s="47">
        <f t="shared" si="52"/>
        <v>0</v>
      </c>
      <c r="Y28" s="32">
        <f t="shared" si="10"/>
        <v>0</v>
      </c>
      <c r="Z28" s="47">
        <f t="shared" si="11"/>
        <v>0</v>
      </c>
      <c r="AA28" s="47"/>
      <c r="AB28" s="32"/>
      <c r="AC28" s="47">
        <f t="shared" si="53"/>
        <v>0</v>
      </c>
      <c r="AD28" s="32">
        <f t="shared" si="12"/>
        <v>0</v>
      </c>
      <c r="AE28" s="47">
        <f t="shared" si="13"/>
        <v>0</v>
      </c>
      <c r="AF28" s="47"/>
      <c r="AG28" s="32"/>
      <c r="AH28" s="47">
        <f t="shared" si="54"/>
        <v>0</v>
      </c>
      <c r="AI28" s="32">
        <f t="shared" si="14"/>
        <v>0</v>
      </c>
      <c r="AJ28" s="47">
        <f t="shared" si="15"/>
        <v>0</v>
      </c>
      <c r="AK28" s="47"/>
      <c r="AL28" s="32"/>
      <c r="AM28" s="47">
        <f t="shared" si="55"/>
        <v>0</v>
      </c>
      <c r="AN28" s="32">
        <f t="shared" si="16"/>
        <v>0</v>
      </c>
      <c r="AO28" s="47">
        <f t="shared" si="17"/>
        <v>0</v>
      </c>
      <c r="AP28" s="47"/>
      <c r="AQ28" s="32"/>
      <c r="AR28" s="47">
        <f t="shared" si="56"/>
        <v>0</v>
      </c>
      <c r="AS28" s="32">
        <f t="shared" si="18"/>
        <v>0</v>
      </c>
      <c r="AT28" s="47">
        <f t="shared" si="19"/>
        <v>0</v>
      </c>
      <c r="AU28" s="47"/>
      <c r="AV28" s="32"/>
      <c r="AW28" s="32">
        <f t="shared" si="20"/>
        <v>0</v>
      </c>
      <c r="AX28" s="32">
        <f t="shared" si="21"/>
        <v>0</v>
      </c>
      <c r="AY28" s="47">
        <f t="shared" si="22"/>
        <v>0</v>
      </c>
      <c r="AZ28" s="47"/>
      <c r="BA28" s="32"/>
      <c r="BB28" s="47">
        <f t="shared" si="57"/>
        <v>0</v>
      </c>
      <c r="BC28" s="32">
        <f t="shared" si="23"/>
        <v>0</v>
      </c>
      <c r="BD28" s="47">
        <f t="shared" si="24"/>
        <v>0</v>
      </c>
      <c r="BE28" s="32"/>
      <c r="BF28" s="32"/>
      <c r="BG28" s="47">
        <f t="shared" si="58"/>
        <v>0</v>
      </c>
      <c r="BH28" s="32">
        <f t="shared" si="25"/>
        <v>0</v>
      </c>
      <c r="BI28" s="47">
        <f t="shared" si="26"/>
        <v>0</v>
      </c>
      <c r="BJ28" s="47"/>
      <c r="BK28" s="32"/>
      <c r="BL28" s="47">
        <f t="shared" si="59"/>
        <v>0</v>
      </c>
      <c r="BM28" s="32">
        <f t="shared" si="27"/>
        <v>0</v>
      </c>
      <c r="BN28" s="47">
        <f t="shared" si="28"/>
        <v>0</v>
      </c>
      <c r="BO28" s="47"/>
      <c r="BP28" s="32"/>
      <c r="BQ28" s="47">
        <f t="shared" si="60"/>
        <v>0</v>
      </c>
      <c r="BR28" s="32">
        <f t="shared" si="29"/>
        <v>0</v>
      </c>
      <c r="BS28" s="47">
        <f t="shared" si="30"/>
        <v>0</v>
      </c>
      <c r="BT28" s="47"/>
      <c r="BU28" s="32"/>
      <c r="BV28" s="47">
        <f t="shared" si="61"/>
        <v>0</v>
      </c>
      <c r="BW28" s="32">
        <f t="shared" si="31"/>
        <v>0</v>
      </c>
      <c r="BX28" s="47">
        <f t="shared" si="32"/>
        <v>0</v>
      </c>
      <c r="BY28" s="47"/>
      <c r="BZ28" s="32"/>
      <c r="CA28" s="47">
        <f t="shared" si="62"/>
        <v>0</v>
      </c>
      <c r="CB28" s="32">
        <f t="shared" si="33"/>
        <v>0</v>
      </c>
      <c r="CC28" s="47">
        <f t="shared" si="34"/>
        <v>0</v>
      </c>
      <c r="CD28" s="47"/>
      <c r="CE28" s="32"/>
      <c r="CF28" s="47">
        <f t="shared" si="63"/>
        <v>0</v>
      </c>
      <c r="CG28" s="32">
        <f t="shared" si="35"/>
        <v>0</v>
      </c>
      <c r="CH28" s="47">
        <f t="shared" si="36"/>
        <v>0</v>
      </c>
      <c r="CI28" s="47"/>
      <c r="CJ28" s="32"/>
      <c r="CK28" s="47">
        <f t="shared" si="64"/>
        <v>0</v>
      </c>
      <c r="CL28" s="32">
        <f t="shared" si="37"/>
        <v>0</v>
      </c>
      <c r="CM28" s="47">
        <f t="shared" si="38"/>
        <v>0</v>
      </c>
      <c r="CN28" s="47"/>
      <c r="CO28" s="32"/>
      <c r="CP28" s="47">
        <f t="shared" si="65"/>
        <v>0</v>
      </c>
      <c r="CQ28" s="32">
        <f t="shared" si="39"/>
        <v>0</v>
      </c>
      <c r="CR28" s="47">
        <f t="shared" si="40"/>
        <v>0</v>
      </c>
      <c r="CS28" s="47"/>
      <c r="CT28" s="32"/>
      <c r="CU28" s="47">
        <f t="shared" si="66"/>
        <v>0</v>
      </c>
      <c r="CV28" s="32">
        <f t="shared" si="41"/>
        <v>0</v>
      </c>
      <c r="CW28" s="47">
        <f t="shared" si="42"/>
        <v>0</v>
      </c>
      <c r="CX28" s="47"/>
      <c r="CY28" s="32"/>
      <c r="CZ28" s="47">
        <f t="shared" si="67"/>
        <v>0</v>
      </c>
      <c r="DA28" s="32">
        <f t="shared" si="43"/>
        <v>0</v>
      </c>
      <c r="DB28" s="47">
        <f t="shared" si="44"/>
        <v>0</v>
      </c>
      <c r="DC28" s="47"/>
      <c r="DD28" s="32"/>
      <c r="DE28" s="47">
        <f t="shared" si="68"/>
        <v>0</v>
      </c>
      <c r="DF28" s="32">
        <f t="shared" si="45"/>
        <v>0</v>
      </c>
      <c r="DG28" s="47">
        <f t="shared" si="46"/>
        <v>0</v>
      </c>
      <c r="DH28" s="47"/>
      <c r="DI28" s="32"/>
      <c r="DJ28" s="47">
        <f t="shared" si="69"/>
        <v>0</v>
      </c>
      <c r="DK28" s="32">
        <f t="shared" si="47"/>
        <v>0</v>
      </c>
      <c r="DL28" s="47">
        <f t="shared" si="48"/>
        <v>0</v>
      </c>
      <c r="DM28" s="47"/>
      <c r="DN28" s="32"/>
      <c r="DO28" s="47">
        <f t="shared" si="70"/>
        <v>0</v>
      </c>
      <c r="DP28" s="32">
        <f t="shared" si="49"/>
        <v>0</v>
      </c>
      <c r="DQ28" s="47">
        <f t="shared" si="50"/>
        <v>0</v>
      </c>
    </row>
    <row r="29" spans="1:121" ht="12.75">
      <c r="A29" s="19">
        <v>46296</v>
      </c>
      <c r="C29" s="34">
        <f>'2006A '!C29</f>
        <v>0</v>
      </c>
      <c r="D29" s="34">
        <f>'2006A '!D29</f>
        <v>0</v>
      </c>
      <c r="E29" s="34">
        <f t="shared" si="0"/>
        <v>0</v>
      </c>
      <c r="F29" s="34">
        <f>'2006A '!F29</f>
        <v>0</v>
      </c>
      <c r="H29" s="67">
        <f t="shared" si="1"/>
        <v>0</v>
      </c>
      <c r="I29" s="47">
        <f t="shared" si="2"/>
        <v>0</v>
      </c>
      <c r="J29" s="47">
        <f>H29+I29</f>
        <v>0</v>
      </c>
      <c r="K29" s="47">
        <f t="shared" si="2"/>
        <v>0</v>
      </c>
      <c r="M29" s="32">
        <f t="shared" si="71"/>
        <v>0</v>
      </c>
      <c r="N29" s="47">
        <f t="shared" si="51"/>
        <v>0</v>
      </c>
      <c r="O29" s="47">
        <f t="shared" si="4"/>
        <v>0</v>
      </c>
      <c r="P29" s="47">
        <f t="shared" si="5"/>
        <v>0</v>
      </c>
      <c r="R29" s="32">
        <f t="shared" si="6"/>
        <v>0</v>
      </c>
      <c r="S29" s="32">
        <f t="shared" si="7"/>
        <v>0</v>
      </c>
      <c r="T29" s="32">
        <f t="shared" si="8"/>
        <v>0</v>
      </c>
      <c r="U29" s="47">
        <f t="shared" si="9"/>
        <v>0</v>
      </c>
      <c r="W29" s="32">
        <f>$C29*Y$7</f>
        <v>0</v>
      </c>
      <c r="X29" s="47">
        <f t="shared" si="52"/>
        <v>0</v>
      </c>
      <c r="Y29" s="32">
        <f t="shared" si="10"/>
        <v>0</v>
      </c>
      <c r="Z29" s="47">
        <f t="shared" si="11"/>
        <v>0</v>
      </c>
      <c r="AB29" s="32">
        <f>$C29*AD$7</f>
        <v>0</v>
      </c>
      <c r="AC29" s="47">
        <f t="shared" si="53"/>
        <v>0</v>
      </c>
      <c r="AD29" s="32">
        <f t="shared" si="12"/>
        <v>0</v>
      </c>
      <c r="AE29" s="47">
        <f t="shared" si="13"/>
        <v>0</v>
      </c>
      <c r="AG29" s="32">
        <f>$C29*AI$7</f>
        <v>0</v>
      </c>
      <c r="AH29" s="47">
        <f t="shared" si="54"/>
        <v>0</v>
      </c>
      <c r="AI29" s="32">
        <f t="shared" si="14"/>
        <v>0</v>
      </c>
      <c r="AJ29" s="47">
        <f t="shared" si="15"/>
        <v>0</v>
      </c>
      <c r="AL29" s="32">
        <f>$C29*AN$7</f>
        <v>0</v>
      </c>
      <c r="AM29" s="47">
        <f t="shared" si="55"/>
        <v>0</v>
      </c>
      <c r="AN29" s="32">
        <f t="shared" si="16"/>
        <v>0</v>
      </c>
      <c r="AO29" s="47">
        <f t="shared" si="17"/>
        <v>0</v>
      </c>
      <c r="AQ29" s="32">
        <f>$C29*AS$7</f>
        <v>0</v>
      </c>
      <c r="AR29" s="47">
        <f t="shared" si="56"/>
        <v>0</v>
      </c>
      <c r="AS29" s="32">
        <f t="shared" si="18"/>
        <v>0</v>
      </c>
      <c r="AT29" s="47">
        <f t="shared" si="19"/>
        <v>0</v>
      </c>
      <c r="AV29" s="32">
        <f>$C29*AX$7</f>
        <v>0</v>
      </c>
      <c r="AW29" s="32">
        <f t="shared" si="20"/>
        <v>0</v>
      </c>
      <c r="AX29" s="32">
        <f t="shared" si="21"/>
        <v>0</v>
      </c>
      <c r="AY29" s="47">
        <f t="shared" si="22"/>
        <v>0</v>
      </c>
      <c r="BA29" s="32">
        <f>$C29*BC$7</f>
        <v>0</v>
      </c>
      <c r="BB29" s="47">
        <f t="shared" si="57"/>
        <v>0</v>
      </c>
      <c r="BC29" s="32">
        <f t="shared" si="23"/>
        <v>0</v>
      </c>
      <c r="BD29" s="47">
        <f t="shared" si="24"/>
        <v>0</v>
      </c>
      <c r="BF29" s="32">
        <f>$C29*BH$7</f>
        <v>0</v>
      </c>
      <c r="BG29" s="47">
        <f t="shared" si="58"/>
        <v>0</v>
      </c>
      <c r="BH29" s="32">
        <f t="shared" si="25"/>
        <v>0</v>
      </c>
      <c r="BI29" s="47">
        <f t="shared" si="26"/>
        <v>0</v>
      </c>
      <c r="BK29" s="32">
        <f>$C29*BM$7</f>
        <v>0</v>
      </c>
      <c r="BL29" s="47">
        <f t="shared" si="59"/>
        <v>0</v>
      </c>
      <c r="BM29" s="32">
        <f t="shared" si="27"/>
        <v>0</v>
      </c>
      <c r="BN29" s="47">
        <f t="shared" si="28"/>
        <v>0</v>
      </c>
      <c r="BP29" s="32">
        <f>$C29*BR$7</f>
        <v>0</v>
      </c>
      <c r="BQ29" s="47">
        <f t="shared" si="60"/>
        <v>0</v>
      </c>
      <c r="BR29" s="32">
        <f t="shared" si="29"/>
        <v>0</v>
      </c>
      <c r="BS29" s="47">
        <f t="shared" si="30"/>
        <v>0</v>
      </c>
      <c r="BU29" s="32">
        <f>$C29*BW$7</f>
        <v>0</v>
      </c>
      <c r="BV29" s="47">
        <f t="shared" si="61"/>
        <v>0</v>
      </c>
      <c r="BW29" s="32">
        <f t="shared" si="31"/>
        <v>0</v>
      </c>
      <c r="BX29" s="47">
        <f t="shared" si="32"/>
        <v>0</v>
      </c>
      <c r="BZ29" s="32">
        <f>$C29*CB$7</f>
        <v>0</v>
      </c>
      <c r="CA29" s="47">
        <f t="shared" si="62"/>
        <v>0</v>
      </c>
      <c r="CB29" s="32">
        <f t="shared" si="33"/>
        <v>0</v>
      </c>
      <c r="CC29" s="47">
        <f t="shared" si="34"/>
        <v>0</v>
      </c>
      <c r="CE29" s="32">
        <f>$C29*CG$7</f>
        <v>0</v>
      </c>
      <c r="CF29" s="47">
        <f t="shared" si="63"/>
        <v>0</v>
      </c>
      <c r="CG29" s="32">
        <f t="shared" si="35"/>
        <v>0</v>
      </c>
      <c r="CH29" s="47">
        <f t="shared" si="36"/>
        <v>0</v>
      </c>
      <c r="CJ29" s="32">
        <f>$C29*CL$7</f>
        <v>0</v>
      </c>
      <c r="CK29" s="47">
        <f t="shared" si="64"/>
        <v>0</v>
      </c>
      <c r="CL29" s="32">
        <f t="shared" si="37"/>
        <v>0</v>
      </c>
      <c r="CM29" s="47">
        <f t="shared" si="38"/>
        <v>0</v>
      </c>
      <c r="CO29" s="32">
        <f>$C29*CQ$7</f>
        <v>0</v>
      </c>
      <c r="CP29" s="47">
        <f t="shared" si="65"/>
        <v>0</v>
      </c>
      <c r="CQ29" s="32">
        <f t="shared" si="39"/>
        <v>0</v>
      </c>
      <c r="CR29" s="47">
        <f t="shared" si="40"/>
        <v>0</v>
      </c>
      <c r="CT29" s="32">
        <f>$C29*CV$7</f>
        <v>0</v>
      </c>
      <c r="CU29" s="47">
        <f t="shared" si="66"/>
        <v>0</v>
      </c>
      <c r="CV29" s="32">
        <f t="shared" si="41"/>
        <v>0</v>
      </c>
      <c r="CW29" s="47">
        <f t="shared" si="42"/>
        <v>0</v>
      </c>
      <c r="CY29" s="32">
        <f>$C29*DA$7</f>
        <v>0</v>
      </c>
      <c r="CZ29" s="47">
        <f t="shared" si="67"/>
        <v>0</v>
      </c>
      <c r="DA29" s="32">
        <f t="shared" si="43"/>
        <v>0</v>
      </c>
      <c r="DB29" s="47">
        <f t="shared" si="44"/>
        <v>0</v>
      </c>
      <c r="DD29" s="32">
        <f>$C29*DF$7</f>
        <v>0</v>
      </c>
      <c r="DE29" s="47">
        <f t="shared" si="68"/>
        <v>0</v>
      </c>
      <c r="DF29" s="32">
        <f t="shared" si="45"/>
        <v>0</v>
      </c>
      <c r="DG29" s="47">
        <f t="shared" si="46"/>
        <v>0</v>
      </c>
      <c r="DI29" s="32">
        <f>$C29*DK$7</f>
        <v>0</v>
      </c>
      <c r="DJ29" s="47">
        <f t="shared" si="69"/>
        <v>0</v>
      </c>
      <c r="DK29" s="32">
        <f t="shared" si="47"/>
        <v>0</v>
      </c>
      <c r="DL29" s="47">
        <f t="shared" si="48"/>
        <v>0</v>
      </c>
      <c r="DN29" s="32">
        <f>$C29*DP$7</f>
        <v>0</v>
      </c>
      <c r="DO29" s="47">
        <f t="shared" si="70"/>
        <v>0</v>
      </c>
      <c r="DP29" s="32">
        <f t="shared" si="49"/>
        <v>0</v>
      </c>
      <c r="DQ29" s="47">
        <f t="shared" si="50"/>
        <v>0</v>
      </c>
    </row>
    <row r="30" spans="3:6" ht="12.75">
      <c r="C30" s="39"/>
      <c r="D30" s="39"/>
      <c r="E30" s="39"/>
      <c r="F30" s="32"/>
    </row>
    <row r="31" spans="1:121" ht="13.5" thickBot="1">
      <c r="A31" s="30" t="s">
        <v>4</v>
      </c>
      <c r="C31" s="46">
        <f>SUM(C9:C30)</f>
        <v>7650000</v>
      </c>
      <c r="D31" s="46">
        <f>SUM(D9:D30)</f>
        <v>387250</v>
      </c>
      <c r="E31" s="46">
        <f>SUM(E9:E30)</f>
        <v>8037250</v>
      </c>
      <c r="F31" s="46">
        <f>SUM(F9:F29)</f>
        <v>167577</v>
      </c>
      <c r="H31" s="46">
        <f>SUM(H9:H29)</f>
        <v>1288504.0350000001</v>
      </c>
      <c r="I31" s="46">
        <f>SUM(I9:I29)</f>
        <v>65225.253274999995</v>
      </c>
      <c r="J31" s="46">
        <f>SUM(J9:J29)</f>
        <v>1353729.2882750002</v>
      </c>
      <c r="K31" s="46">
        <f>SUM(K9:K29)</f>
        <v>28225.312506300004</v>
      </c>
      <c r="M31" s="46">
        <f>SUM(M9:M29)</f>
        <v>99339.07500000001</v>
      </c>
      <c r="N31" s="46">
        <f>SUM(N9:N29)</f>
        <v>5028.634875</v>
      </c>
      <c r="O31" s="46">
        <f>SUM(O9:O29)</f>
        <v>104367.709875</v>
      </c>
      <c r="P31" s="46">
        <f>SUM(P9:P29)</f>
        <v>2176.0711335</v>
      </c>
      <c r="R31" s="46">
        <f>SUM(R9:R29)</f>
        <v>31580.730000000003</v>
      </c>
      <c r="S31" s="46">
        <f>SUM(S9:S29)</f>
        <v>1598.64545</v>
      </c>
      <c r="T31" s="46">
        <f>SUM(T9:T29)</f>
        <v>33179.37545000001</v>
      </c>
      <c r="U31" s="46">
        <f>SUM(U9:U29)</f>
        <v>691.7913714000001</v>
      </c>
      <c r="W31" s="46">
        <f>SUM(W9:W29)</f>
        <v>213552.81</v>
      </c>
      <c r="X31" s="46">
        <f>SUM(X9:X29)</f>
        <v>10810.23865</v>
      </c>
      <c r="Y31" s="46">
        <f>SUM(Y9:Y29)</f>
        <v>224363.04865</v>
      </c>
      <c r="Z31" s="46">
        <f>SUM(Z9:Z29)</f>
        <v>4677.9789857999995</v>
      </c>
      <c r="AB31" s="46">
        <f>SUM(AB9:AB29)</f>
        <v>214724.78999999998</v>
      </c>
      <c r="AC31" s="46">
        <f>SUM(AC9:AC29)</f>
        <v>10869.565349999999</v>
      </c>
      <c r="AD31" s="46">
        <f>SUM(AD9:AD29)</f>
        <v>225594.35535</v>
      </c>
      <c r="AE31" s="46">
        <f>SUM(AE9:AE29)</f>
        <v>4703.6517822</v>
      </c>
      <c r="AG31" s="46">
        <f>SUM(AG9:AG29)</f>
        <v>97437.285</v>
      </c>
      <c r="AH31" s="46">
        <f>SUM(AH9:AH29)</f>
        <v>4932.364525</v>
      </c>
      <c r="AI31" s="46">
        <f>SUM(AI9:AI29)</f>
        <v>102369.64952500002</v>
      </c>
      <c r="AJ31" s="46">
        <f>SUM(AJ9:AJ29)</f>
        <v>2134.4114913</v>
      </c>
      <c r="AL31" s="46">
        <f>SUM(AL9:AL29)</f>
        <v>156.06</v>
      </c>
      <c r="AM31" s="46">
        <f>SUM(AM9:AM29)</f>
        <v>7.899900000000001</v>
      </c>
      <c r="AN31" s="46">
        <f>SUM(AN9:AN29)</f>
        <v>163.9599</v>
      </c>
      <c r="AO31" s="46">
        <f>SUM(AO9:AO29)</f>
        <v>3.4185708</v>
      </c>
      <c r="AQ31" s="46">
        <f>SUM(AQ9:AQ29)</f>
        <v>58971.55499999999</v>
      </c>
      <c r="AR31" s="46">
        <f>SUM(AR9:AR29)</f>
        <v>2985.194075</v>
      </c>
      <c r="AS31" s="46">
        <f>SUM(AS9:AS29)</f>
        <v>61956.749075</v>
      </c>
      <c r="AT31" s="46">
        <f>SUM(AT9:AT29)</f>
        <v>1291.8008198999999</v>
      </c>
      <c r="AV31" s="46">
        <f>SUM(AV9:AV29)</f>
        <v>36131.715</v>
      </c>
      <c r="AW31" s="46">
        <f>SUM(AW9:AW29)</f>
        <v>1829.020475</v>
      </c>
      <c r="AX31" s="46">
        <f>SUM(AX9:AX29)</f>
        <v>37960.735474999994</v>
      </c>
      <c r="AY31" s="46">
        <f>SUM(AY9:AY29)</f>
        <v>791.4829287</v>
      </c>
      <c r="BA31" s="46">
        <f>SUM(BA9:BA29)</f>
        <v>19912.949999999997</v>
      </c>
      <c r="BB31" s="46">
        <f>SUM(BB9:BB29)</f>
        <v>1008.0117499999999</v>
      </c>
      <c r="BC31" s="46">
        <f>SUM(BC9:BC29)</f>
        <v>20920.961749999995</v>
      </c>
      <c r="BD31" s="46">
        <f>SUM(BD9:BD29)</f>
        <v>436.2029309999999</v>
      </c>
      <c r="BE31" s="39"/>
      <c r="BF31" s="46">
        <f>SUM(BF9:BF29)</f>
        <v>15742.935000000001</v>
      </c>
      <c r="BG31" s="46">
        <f>SUM(BG9:BG29)</f>
        <v>796.921775</v>
      </c>
      <c r="BH31" s="46">
        <f>SUM(BH9:BH29)</f>
        <v>16539.856775</v>
      </c>
      <c r="BI31" s="46">
        <f>SUM(BI9:BI29)</f>
        <v>344.85670830000004</v>
      </c>
      <c r="BK31" s="46">
        <f>SUM(BK9:BK29)</f>
        <v>82545.79499999998</v>
      </c>
      <c r="BL31" s="46">
        <f>SUM(BL9:BL29)</f>
        <v>4178.543675</v>
      </c>
      <c r="BM31" s="46">
        <f>SUM(BM9:BM29)</f>
        <v>86724.33867499998</v>
      </c>
      <c r="BN31" s="46">
        <f>SUM(BN9:BN29)</f>
        <v>1808.2061030999998</v>
      </c>
      <c r="BP31" s="46">
        <f>SUM(BP9:BP29)</f>
        <v>5581.44</v>
      </c>
      <c r="BQ31" s="46">
        <f>SUM(BQ9:BQ29)</f>
        <v>282.5376</v>
      </c>
      <c r="BR31" s="46">
        <f>SUM(BR9:BR29)</f>
        <v>5863.977599999999</v>
      </c>
      <c r="BS31" s="46">
        <f>SUM(BS9:BS29)</f>
        <v>122.26417919999999</v>
      </c>
      <c r="BU31" s="46">
        <f>SUM(BU9:BU29)</f>
        <v>33152.04</v>
      </c>
      <c r="BV31" s="46">
        <f>SUM(BV9:BV29)</f>
        <v>1678.1866</v>
      </c>
      <c r="BW31" s="46">
        <f>SUM(BW9:BW29)</f>
        <v>34830.2266</v>
      </c>
      <c r="BX31" s="46">
        <f>SUM(BX9:BX29)</f>
        <v>726.2116872</v>
      </c>
      <c r="BZ31" s="46">
        <f>SUM(BZ9:BZ29)</f>
        <v>28545.210000000003</v>
      </c>
      <c r="CA31" s="46">
        <f>SUM(CA9:CA29)</f>
        <v>1444.98465</v>
      </c>
      <c r="CB31" s="46">
        <f>SUM(CB9:CB29)</f>
        <v>29990.194650000005</v>
      </c>
      <c r="CC31" s="46">
        <f>SUM(CC9:CC29)</f>
        <v>625.2968178</v>
      </c>
      <c r="CE31" s="46">
        <f>SUM(CE9:CE29)</f>
        <v>29604.735</v>
      </c>
      <c r="CF31" s="46">
        <f>SUM(CF9:CF29)</f>
        <v>1498.618775</v>
      </c>
      <c r="CG31" s="46">
        <f>SUM(CG9:CG29)</f>
        <v>31103.353775</v>
      </c>
      <c r="CH31" s="46">
        <f>SUM(CH9:CH29)</f>
        <v>648.5062323</v>
      </c>
      <c r="CJ31" s="46">
        <f>SUM(CJ9:CJ29)</f>
        <v>14204.52</v>
      </c>
      <c r="CK31" s="46">
        <f>SUM(CK9:CK29)</f>
        <v>719.0458</v>
      </c>
      <c r="CL31" s="46">
        <f>SUM(CL9:CL29)</f>
        <v>14923.5658</v>
      </c>
      <c r="CM31" s="46">
        <f>SUM(CM9:CM29)</f>
        <v>311.1569736</v>
      </c>
      <c r="CO31" s="46">
        <f>SUM(CO9:CO29)</f>
        <v>96667.695</v>
      </c>
      <c r="CP31" s="46">
        <f>SUM(CP9:CP29)</f>
        <v>4893.407175</v>
      </c>
      <c r="CQ31" s="46">
        <f>SUM(CQ9:CQ29)</f>
        <v>101561.102175</v>
      </c>
      <c r="CR31" s="46">
        <f>SUM(CR9:CR29)</f>
        <v>2117.5532451</v>
      </c>
      <c r="CT31" s="46">
        <f>SUM(CT9:CT29)</f>
        <v>58591.35</v>
      </c>
      <c r="CU31" s="46">
        <f>SUM(CU9:CU29)</f>
        <v>2965.94775</v>
      </c>
      <c r="CV31" s="46">
        <f>SUM(CV9:CV29)</f>
        <v>61557.29775</v>
      </c>
      <c r="CW31" s="46">
        <f>SUM(CW9:CW29)</f>
        <v>1283.472243</v>
      </c>
      <c r="CY31" s="46">
        <f>SUM(CY9:CY29)</f>
        <v>765.765</v>
      </c>
      <c r="CZ31" s="46">
        <f>SUM(CZ9:CZ29)</f>
        <v>38.763724999999994</v>
      </c>
      <c r="DA31" s="46">
        <f>SUM(DA9:DA29)</f>
        <v>804.5287249999999</v>
      </c>
      <c r="DB31" s="46">
        <f>SUM(DB9:DB29)</f>
        <v>16.7744577</v>
      </c>
      <c r="DD31" s="46">
        <f>SUM(DD9:DD29)</f>
        <v>140135.76</v>
      </c>
      <c r="DE31" s="46">
        <f>SUM(DE9:DE29)</f>
        <v>7093.8004</v>
      </c>
      <c r="DF31" s="46">
        <f>SUM(DF9:DF29)</f>
        <v>147229.56040000002</v>
      </c>
      <c r="DG31" s="46">
        <f>SUM(DG9:DG29)</f>
        <v>3069.7425168</v>
      </c>
      <c r="DI31" s="46">
        <f>SUM(DI9:DI29)</f>
        <v>460.53</v>
      </c>
      <c r="DJ31" s="46">
        <f>SUM(DJ9:DJ29)</f>
        <v>23.31245</v>
      </c>
      <c r="DK31" s="46">
        <f>SUM(DK9:DK29)</f>
        <v>483.84245</v>
      </c>
      <c r="DL31" s="46">
        <f>SUM(DL9:DL29)</f>
        <v>10.0881354</v>
      </c>
      <c r="DN31" s="46">
        <f>SUM(DN9:DN29)</f>
        <v>10699.29</v>
      </c>
      <c r="DO31" s="46">
        <f>SUM(DO9:DO29)</f>
        <v>541.6078500000001</v>
      </c>
      <c r="DP31" s="46">
        <f>SUM(DP9:DP29)</f>
        <v>11240.897850000001</v>
      </c>
      <c r="DQ31" s="46">
        <f>SUM(DQ9:DQ29)</f>
        <v>234.3731922</v>
      </c>
    </row>
    <row r="32" ht="13.5" thickTop="1"/>
    <row r="41" ht="12.75">
      <c r="G41"/>
    </row>
    <row r="42" ht="12.75">
      <c r="G42"/>
    </row>
    <row r="43" spans="7:29" ht="12.75"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121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</row>
    <row r="46" spans="1:121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</row>
    <row r="47" spans="1:121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</row>
    <row r="48" spans="1:121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</row>
    <row r="49" spans="1:121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</row>
    <row r="50" spans="1:121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</row>
    <row r="51" spans="1:121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</row>
    <row r="52" spans="1:121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</row>
    <row r="53" spans="1:121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</row>
    <row r="54" spans="1:121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</row>
    <row r="55" spans="1:121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</row>
    <row r="56" spans="1:121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</row>
    <row r="57" spans="1:121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</row>
    <row r="58" spans="1:121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</row>
    <row r="59" spans="1:121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</row>
    <row r="60" spans="1:12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</row>
    <row r="61" spans="1:12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</row>
    <row r="62" spans="1:12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</row>
    <row r="63" spans="1:12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</row>
    <row r="64" spans="1:12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</row>
    <row r="65" spans="1:12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</row>
    <row r="66" spans="1:12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</row>
    <row r="67" spans="1:12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</row>
    <row r="68" spans="1:121" ht="12.75">
      <c r="A68"/>
      <c r="C68"/>
      <c r="D68"/>
      <c r="E68"/>
      <c r="F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</row>
    <row r="69" spans="1:121" ht="12.75">
      <c r="A69"/>
      <c r="C69"/>
      <c r="D69"/>
      <c r="E69"/>
      <c r="F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</row>
    <row r="70" spans="1:121" ht="12.75">
      <c r="A70"/>
      <c r="C70"/>
      <c r="D70"/>
      <c r="E70"/>
      <c r="F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</row>
  </sheetData>
  <sheetProtection/>
  <printOptions/>
  <pageMargins left="0.25" right="0" top="0" bottom="0.35" header="0.5" footer="0"/>
  <pageSetup horizontalDpi="600" verticalDpi="600" orientation="landscape" scale="77"/>
  <headerFooter alignWithMargins="0">
    <oddFooter>&amp;CPage &amp;P of &amp;N&amp;R&amp;D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EY69"/>
  <sheetViews>
    <sheetView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" sqref="C13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5" width="12.7109375" style="34" customWidth="1"/>
    <col min="6" max="6" width="10.28125" style="34" customWidth="1"/>
    <col min="7" max="7" width="15.00390625" style="34" customWidth="1"/>
    <col min="8" max="8" width="3.7109375" style="32" customWidth="1"/>
    <col min="9" max="9" width="13.7109375" style="32" customWidth="1"/>
    <col min="10" max="10" width="9.7109375" style="32" bestFit="1" customWidth="1"/>
    <col min="11" max="13" width="13.7109375" style="32" customWidth="1"/>
    <col min="14" max="14" width="3.7109375" style="32" customWidth="1"/>
    <col min="15" max="19" width="13.7109375" style="0" customWidth="1"/>
    <col min="20" max="20" width="3.7109375" style="32" customWidth="1"/>
    <col min="21" max="25" width="13.7109375" style="0" customWidth="1"/>
    <col min="26" max="26" width="3.7109375" style="32" customWidth="1"/>
    <col min="27" max="31" width="13.7109375" style="0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0" customWidth="1"/>
    <col min="44" max="44" width="3.7109375" style="32" customWidth="1"/>
    <col min="45" max="49" width="13.7109375" style="0" customWidth="1"/>
    <col min="50" max="50" width="3.7109375" style="20" customWidth="1"/>
    <col min="51" max="55" width="13.7109375" style="0" customWidth="1"/>
    <col min="56" max="56" width="3.7109375" style="20" customWidth="1"/>
    <col min="57" max="61" width="13.7109375" style="20" customWidth="1"/>
    <col min="62" max="62" width="3.7109375" style="20" customWidth="1"/>
    <col min="63" max="67" width="13.7109375" style="20" customWidth="1"/>
    <col min="68" max="68" width="3.7109375" style="20" customWidth="1"/>
    <col min="69" max="73" width="13.7109375" style="20" customWidth="1"/>
    <col min="74" max="74" width="3.7109375" style="20" customWidth="1"/>
    <col min="75" max="79" width="13.7109375" style="20" customWidth="1"/>
    <col min="80" max="80" width="3.7109375" style="20" customWidth="1"/>
    <col min="81" max="85" width="13.7109375" style="20" customWidth="1"/>
    <col min="86" max="86" width="3.7109375" style="20" customWidth="1"/>
    <col min="87" max="91" width="13.7109375" style="20" customWidth="1"/>
    <col min="92" max="92" width="3.7109375" style="20" customWidth="1"/>
    <col min="93" max="97" width="13.7109375" style="20" customWidth="1"/>
    <col min="98" max="98" width="3.7109375" style="20" customWidth="1"/>
    <col min="99" max="103" width="13.7109375" style="20" customWidth="1"/>
    <col min="104" max="104" width="3.7109375" style="20" customWidth="1"/>
    <col min="105" max="109" width="13.7109375" style="20" customWidth="1"/>
    <col min="110" max="110" width="3.7109375" style="20" customWidth="1"/>
    <col min="111" max="115" width="13.7109375" style="20" customWidth="1"/>
    <col min="116" max="116" width="3.7109375" style="20" customWidth="1"/>
    <col min="117" max="121" width="13.7109375" style="20" customWidth="1"/>
    <col min="122" max="122" width="3.7109375" style="20" customWidth="1"/>
    <col min="123" max="127" width="13.7109375" style="20" customWidth="1"/>
    <col min="128" max="128" width="3.7109375" style="20" customWidth="1"/>
    <col min="129" max="133" width="13.7109375" style="20" customWidth="1"/>
    <col min="134" max="134" width="3.7109375" style="20" customWidth="1"/>
    <col min="135" max="139" width="13.7109375" style="20" customWidth="1"/>
    <col min="140" max="140" width="3.7109375" style="20" customWidth="1"/>
    <col min="141" max="145" width="13.7109375" style="20" customWidth="1"/>
    <col min="146" max="146" width="3.7109375" style="20" customWidth="1"/>
    <col min="147" max="147" width="12.28125" style="20" customWidth="1"/>
    <col min="148" max="148" width="10.7109375" style="20" customWidth="1"/>
    <col min="149" max="150" width="10.28125" style="20" customWidth="1"/>
    <col min="151" max="151" width="14.00390625" style="20" customWidth="1"/>
    <col min="152" max="152" width="3.7109375" style="20" customWidth="1"/>
    <col min="153" max="155" width="13.7109375" style="20" customWidth="1"/>
    <col min="156" max="156" width="3.7109375" style="0" customWidth="1"/>
  </cols>
  <sheetData>
    <row r="1" spans="1:153" ht="12.75">
      <c r="A1" s="40"/>
      <c r="B1" s="29"/>
      <c r="C1" s="41"/>
      <c r="I1" s="41"/>
      <c r="O1" s="41"/>
      <c r="U1" s="34"/>
      <c r="V1" s="41" t="s">
        <v>14</v>
      </c>
      <c r="AA1" s="41"/>
      <c r="AM1" s="34"/>
      <c r="AN1" s="41" t="s">
        <v>14</v>
      </c>
      <c r="AS1" s="41"/>
      <c r="BE1" s="34"/>
      <c r="BF1" s="41" t="s">
        <v>14</v>
      </c>
      <c r="BK1" s="41"/>
      <c r="BW1" s="34"/>
      <c r="BX1" s="41" t="s">
        <v>14</v>
      </c>
      <c r="CC1" s="41"/>
      <c r="CO1" s="34"/>
      <c r="CP1" s="41" t="s">
        <v>14</v>
      </c>
      <c r="CU1" s="41"/>
      <c r="DG1" s="34"/>
      <c r="DH1" s="41" t="s">
        <v>14</v>
      </c>
      <c r="DM1" s="41"/>
      <c r="DY1" s="34"/>
      <c r="DZ1" s="41" t="s">
        <v>14</v>
      </c>
      <c r="EE1" s="41"/>
      <c r="EW1" s="41" t="s">
        <v>14</v>
      </c>
    </row>
    <row r="2" spans="1:153" ht="12.75">
      <c r="A2" s="40"/>
      <c r="B2" s="29"/>
      <c r="C2" s="32"/>
      <c r="D2" s="32"/>
      <c r="I2" s="41"/>
      <c r="O2" s="41"/>
      <c r="U2" s="41" t="s">
        <v>136</v>
      </c>
      <c r="V2" s="32"/>
      <c r="AA2" s="41"/>
      <c r="AM2" s="41" t="s">
        <v>136</v>
      </c>
      <c r="AN2" s="32"/>
      <c r="AS2" s="41"/>
      <c r="BE2" s="41" t="s">
        <v>136</v>
      </c>
      <c r="BF2" s="32"/>
      <c r="BK2" s="41"/>
      <c r="BW2" s="41" t="s">
        <v>136</v>
      </c>
      <c r="BX2" s="32"/>
      <c r="CC2" s="41"/>
      <c r="CO2" s="41" t="s">
        <v>136</v>
      </c>
      <c r="CP2" s="32"/>
      <c r="CU2" s="41"/>
      <c r="DG2" s="41" t="s">
        <v>136</v>
      </c>
      <c r="DH2" s="32"/>
      <c r="DM2" s="41"/>
      <c r="DY2" s="41" t="s">
        <v>136</v>
      </c>
      <c r="DZ2" s="32"/>
      <c r="EE2" s="41"/>
      <c r="EW2" s="41" t="s">
        <v>13</v>
      </c>
    </row>
    <row r="3" spans="1:153" ht="12.75">
      <c r="A3" s="40"/>
      <c r="B3" s="29"/>
      <c r="C3" s="41"/>
      <c r="I3" s="41"/>
      <c r="O3" s="41"/>
      <c r="P3" s="12"/>
      <c r="U3" s="34"/>
      <c r="V3" s="41" t="s">
        <v>60</v>
      </c>
      <c r="AA3" s="41"/>
      <c r="AM3" s="34"/>
      <c r="AN3" s="41" t="s">
        <v>60</v>
      </c>
      <c r="AS3" s="41"/>
      <c r="BE3" s="34"/>
      <c r="BF3" s="41" t="s">
        <v>60</v>
      </c>
      <c r="BK3" s="41"/>
      <c r="BW3" s="34"/>
      <c r="BX3" s="41" t="s">
        <v>60</v>
      </c>
      <c r="CC3" s="41"/>
      <c r="CO3" s="34"/>
      <c r="CP3" s="41" t="s">
        <v>60</v>
      </c>
      <c r="CU3" s="41"/>
      <c r="DG3" s="34"/>
      <c r="DH3" s="41" t="s">
        <v>60</v>
      </c>
      <c r="DM3" s="41"/>
      <c r="DY3" s="34"/>
      <c r="DZ3" s="41" t="s">
        <v>60</v>
      </c>
      <c r="EE3" s="41"/>
      <c r="EW3" s="41" t="s">
        <v>60</v>
      </c>
    </row>
    <row r="4" spans="1:4" ht="12.75">
      <c r="A4" s="40"/>
      <c r="B4" s="29"/>
      <c r="C4" s="41"/>
      <c r="D4" s="41"/>
    </row>
    <row r="5" spans="1:15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66"/>
      <c r="K5" s="37"/>
      <c r="L5" s="39"/>
      <c r="M5" s="39"/>
      <c r="O5" s="35" t="s">
        <v>62</v>
      </c>
      <c r="P5" s="36"/>
      <c r="Q5" s="37"/>
      <c r="R5" s="39"/>
      <c r="S5" s="39"/>
      <c r="U5" s="22" t="s">
        <v>99</v>
      </c>
      <c r="V5" s="23"/>
      <c r="W5" s="24"/>
      <c r="X5" s="61"/>
      <c r="Y5" s="61"/>
      <c r="AA5" s="22" t="s">
        <v>100</v>
      </c>
      <c r="AB5" s="23"/>
      <c r="AC5" s="24"/>
      <c r="AD5" s="61"/>
      <c r="AE5" s="61"/>
      <c r="AG5" s="22" t="s">
        <v>130</v>
      </c>
      <c r="AH5" s="23"/>
      <c r="AI5" s="24"/>
      <c r="AJ5" s="61"/>
      <c r="AK5" s="61"/>
      <c r="AM5" s="22" t="s">
        <v>105</v>
      </c>
      <c r="AN5" s="23"/>
      <c r="AO5" s="24"/>
      <c r="AP5" s="61"/>
      <c r="AQ5" s="61"/>
      <c r="AS5" s="22" t="s">
        <v>50</v>
      </c>
      <c r="AT5" s="23"/>
      <c r="AU5" s="24"/>
      <c r="AV5" s="61"/>
      <c r="AW5" s="61"/>
      <c r="AY5" s="22" t="s">
        <v>124</v>
      </c>
      <c r="AZ5" s="23"/>
      <c r="BA5" s="24"/>
      <c r="BB5" s="61"/>
      <c r="BC5" s="61"/>
      <c r="BE5" s="22" t="s">
        <v>51</v>
      </c>
      <c r="BF5" s="23"/>
      <c r="BG5" s="24"/>
      <c r="BH5" s="61"/>
      <c r="BI5" s="61"/>
      <c r="BK5" s="22" t="s">
        <v>52</v>
      </c>
      <c r="BL5" s="23"/>
      <c r="BM5" s="24"/>
      <c r="BN5" s="61"/>
      <c r="BO5" s="61"/>
      <c r="BQ5" s="53" t="s">
        <v>53</v>
      </c>
      <c r="BR5" s="23"/>
      <c r="BS5" s="24"/>
      <c r="BT5" s="61"/>
      <c r="BU5" s="61"/>
      <c r="BW5" s="22" t="s">
        <v>54</v>
      </c>
      <c r="BX5" s="23"/>
      <c r="BY5" s="24"/>
      <c r="BZ5" s="61"/>
      <c r="CA5" s="61"/>
      <c r="CC5" s="22" t="s">
        <v>55</v>
      </c>
      <c r="CD5" s="23"/>
      <c r="CE5" s="24"/>
      <c r="CF5" s="61"/>
      <c r="CG5" s="61"/>
      <c r="CI5" s="53" t="s">
        <v>135</v>
      </c>
      <c r="CJ5" s="23"/>
      <c r="CK5" s="24"/>
      <c r="CL5" s="61"/>
      <c r="CM5" s="61"/>
      <c r="CO5" s="22" t="s">
        <v>101</v>
      </c>
      <c r="CP5" s="23"/>
      <c r="CQ5" s="24"/>
      <c r="CR5" s="61"/>
      <c r="CS5" s="61"/>
      <c r="CU5" s="22" t="s">
        <v>102</v>
      </c>
      <c r="CV5" s="23"/>
      <c r="CW5" s="24"/>
      <c r="CX5" s="61"/>
      <c r="CY5" s="61"/>
      <c r="DA5" s="22" t="s">
        <v>103</v>
      </c>
      <c r="DB5" s="23"/>
      <c r="DC5" s="24"/>
      <c r="DD5" s="61"/>
      <c r="DE5" s="61"/>
      <c r="DG5" s="22" t="s">
        <v>104</v>
      </c>
      <c r="DH5" s="23"/>
      <c r="DI5" s="24"/>
      <c r="DJ5" s="61"/>
      <c r="DK5" s="61"/>
      <c r="DM5" s="22" t="s">
        <v>40</v>
      </c>
      <c r="DN5" s="23"/>
      <c r="DO5" s="24"/>
      <c r="DP5" s="61"/>
      <c r="DQ5" s="61"/>
      <c r="DS5" s="22" t="s">
        <v>58</v>
      </c>
      <c r="DT5" s="23"/>
      <c r="DU5" s="24"/>
      <c r="DV5" s="61"/>
      <c r="DW5" s="61"/>
      <c r="DX5" s="61"/>
      <c r="DY5" s="22" t="s">
        <v>59</v>
      </c>
      <c r="DZ5" s="23"/>
      <c r="EA5" s="24"/>
      <c r="EB5" s="61"/>
      <c r="EC5" s="61"/>
      <c r="EE5" s="22" t="s">
        <v>125</v>
      </c>
      <c r="EF5" s="23"/>
      <c r="EG5" s="24"/>
      <c r="EH5" s="61"/>
      <c r="EI5" s="61"/>
      <c r="EK5" s="22" t="s">
        <v>77</v>
      </c>
      <c r="EL5" s="23"/>
      <c r="EM5" s="24"/>
      <c r="EN5" s="61"/>
      <c r="EO5" s="61"/>
      <c r="EQ5" s="22" t="s">
        <v>41</v>
      </c>
      <c r="ER5" s="23"/>
      <c r="ES5" s="24"/>
      <c r="ET5" s="61"/>
      <c r="EU5" s="61"/>
      <c r="EW5" s="53" t="s">
        <v>137</v>
      </c>
      <c r="EX5" s="23"/>
      <c r="EY5" s="24"/>
    </row>
    <row r="6" spans="1:155" s="12" customFormat="1" ht="12.75">
      <c r="A6" s="42" t="s">
        <v>10</v>
      </c>
      <c r="C6" s="57" t="s">
        <v>151</v>
      </c>
      <c r="D6" s="36"/>
      <c r="E6" s="37"/>
      <c r="F6" s="38"/>
      <c r="G6" s="38"/>
      <c r="H6" s="32"/>
      <c r="I6" s="65">
        <v>0.0276731</v>
      </c>
      <c r="J6" s="12">
        <v>0.1104899</v>
      </c>
      <c r="K6" s="70">
        <v>0.1471066</v>
      </c>
      <c r="L6" s="38"/>
      <c r="M6" s="38"/>
      <c r="N6" s="32"/>
      <c r="O6" s="65"/>
      <c r="P6" s="69"/>
      <c r="Q6" s="70"/>
      <c r="R6" s="38"/>
      <c r="S6" s="38"/>
      <c r="T6" s="32"/>
      <c r="U6" s="68">
        <v>0</v>
      </c>
      <c r="V6" s="31">
        <v>5.3E-06</v>
      </c>
      <c r="W6" s="70">
        <v>0.0002009</v>
      </c>
      <c r="X6" s="38"/>
      <c r="Y6" s="38"/>
      <c r="Z6" s="32"/>
      <c r="AA6" s="68">
        <v>0</v>
      </c>
      <c r="AB6" s="31">
        <v>1.6E-06</v>
      </c>
      <c r="AC6" s="70">
        <v>0.0046596</v>
      </c>
      <c r="AD6" s="38"/>
      <c r="AE6" s="38"/>
      <c r="AF6" s="32"/>
      <c r="AG6" s="68">
        <v>0</v>
      </c>
      <c r="AH6" s="31">
        <v>0</v>
      </c>
      <c r="AI6" s="70">
        <v>0</v>
      </c>
      <c r="AJ6" s="38"/>
      <c r="AK6" s="38"/>
      <c r="AL6" s="32"/>
      <c r="AM6" s="68">
        <v>0</v>
      </c>
      <c r="AN6" s="31">
        <v>0.0023902</v>
      </c>
      <c r="AO6" s="70">
        <v>0.0049018</v>
      </c>
      <c r="AP6" s="38"/>
      <c r="AQ6" s="38"/>
      <c r="AR6" s="32"/>
      <c r="AS6" s="68">
        <v>0.0533571</v>
      </c>
      <c r="AT6" s="31">
        <v>0.148282</v>
      </c>
      <c r="AU6" s="70">
        <v>0.2683666</v>
      </c>
      <c r="AV6" s="38"/>
      <c r="AW6" s="38"/>
      <c r="AY6" s="68">
        <v>0</v>
      </c>
      <c r="AZ6" s="31">
        <v>0</v>
      </c>
      <c r="BA6" s="70">
        <v>0.0016514</v>
      </c>
      <c r="BB6" s="38"/>
      <c r="BC6" s="38"/>
      <c r="BE6" s="68">
        <v>0.0024056</v>
      </c>
      <c r="BF6" s="31">
        <v>0.0057505</v>
      </c>
      <c r="BG6" s="70">
        <v>0.0057505</v>
      </c>
      <c r="BH6" s="38"/>
      <c r="BI6" s="38"/>
      <c r="BK6" s="68">
        <v>0.01875</v>
      </c>
      <c r="BL6" s="31">
        <v>0.01875</v>
      </c>
      <c r="BM6" s="70">
        <v>0.043991</v>
      </c>
      <c r="BN6" s="38"/>
      <c r="BO6" s="38"/>
      <c r="BQ6" s="68">
        <v>0.0029004</v>
      </c>
      <c r="BR6" s="31">
        <v>0.0135113</v>
      </c>
      <c r="BS6" s="70">
        <v>0.0138588</v>
      </c>
      <c r="BT6" s="38"/>
      <c r="BU6" s="38"/>
      <c r="BW6" s="68">
        <v>0.005477</v>
      </c>
      <c r="BX6" s="31">
        <v>0.030839</v>
      </c>
      <c r="BY6" s="70">
        <v>0.0601359</v>
      </c>
      <c r="BZ6" s="38"/>
      <c r="CA6" s="38"/>
      <c r="CC6" s="68">
        <v>1.78E-05</v>
      </c>
      <c r="CD6" s="31">
        <v>1.78E-05</v>
      </c>
      <c r="CE6" s="70">
        <v>1.78E-05</v>
      </c>
      <c r="CF6" s="38"/>
      <c r="CG6" s="38"/>
      <c r="CI6" s="68">
        <v>0</v>
      </c>
      <c r="CJ6" s="31">
        <v>0.0012958</v>
      </c>
      <c r="CK6" s="70">
        <v>0.0051577</v>
      </c>
      <c r="CL6" s="38"/>
      <c r="CM6" s="38"/>
      <c r="CO6" s="68">
        <v>0</v>
      </c>
      <c r="CP6" s="31">
        <v>0.0006573</v>
      </c>
      <c r="CQ6" s="70">
        <v>0.003486</v>
      </c>
      <c r="CR6" s="38"/>
      <c r="CS6" s="38"/>
      <c r="CU6" s="68">
        <v>0</v>
      </c>
      <c r="CV6" s="31">
        <v>0.0011857</v>
      </c>
      <c r="CW6" s="70">
        <v>0.0030131</v>
      </c>
      <c r="CX6" s="38"/>
      <c r="CY6" s="38"/>
      <c r="DA6" s="68">
        <v>0</v>
      </c>
      <c r="DB6" s="31">
        <v>0.0013503</v>
      </c>
      <c r="DC6" s="70">
        <v>0.0018753</v>
      </c>
      <c r="DD6" s="38"/>
      <c r="DE6" s="38"/>
      <c r="DG6" s="68">
        <v>0</v>
      </c>
      <c r="DH6" s="31">
        <v>0.0019885</v>
      </c>
      <c r="DI6" s="70">
        <v>0.0402176</v>
      </c>
      <c r="DJ6" s="38"/>
      <c r="DK6" s="38"/>
      <c r="DM6" s="68">
        <v>0.0060544</v>
      </c>
      <c r="DN6" s="31">
        <v>0.0060544</v>
      </c>
      <c r="DO6" s="70">
        <v>0.0060544</v>
      </c>
      <c r="DP6" s="38"/>
      <c r="DQ6" s="38"/>
      <c r="DS6" s="68">
        <v>0.0521695</v>
      </c>
      <c r="DT6" s="31">
        <v>0.113408</v>
      </c>
      <c r="DU6" s="70">
        <v>0.1183722</v>
      </c>
      <c r="DV6" s="38"/>
      <c r="DW6" s="38"/>
      <c r="DX6" s="27"/>
      <c r="DY6" s="68">
        <v>9.4E-05</v>
      </c>
      <c r="DZ6" s="31">
        <v>0.0043303</v>
      </c>
      <c r="EA6" s="70">
        <v>0.0060889</v>
      </c>
      <c r="EB6" s="38"/>
      <c r="EC6" s="38"/>
      <c r="EE6" s="68">
        <v>0</v>
      </c>
      <c r="EF6" s="31">
        <v>0</v>
      </c>
      <c r="EG6" s="70">
        <v>0.0104215</v>
      </c>
      <c r="EH6" s="38"/>
      <c r="EI6" s="38"/>
      <c r="EK6" s="68">
        <v>0.0155988</v>
      </c>
      <c r="EL6" s="31">
        <v>0.0606817</v>
      </c>
      <c r="EM6" s="70">
        <v>0.1463692</v>
      </c>
      <c r="EN6" s="38"/>
      <c r="EO6" s="38"/>
      <c r="EQ6" s="68">
        <v>-0.000172</v>
      </c>
      <c r="ER6" s="31">
        <v>-0.0001487</v>
      </c>
      <c r="ES6" s="70">
        <v>-0.0001487</v>
      </c>
      <c r="ET6" s="38"/>
      <c r="EU6" s="38"/>
      <c r="EW6" s="68">
        <v>0.8156743</v>
      </c>
      <c r="EX6" s="31">
        <v>0.4791591</v>
      </c>
      <c r="EY6" s="43">
        <v>0.1084519</v>
      </c>
    </row>
    <row r="7" spans="1:15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v>0.168457</v>
      </c>
      <c r="K7" s="70">
        <v>0.1684319</v>
      </c>
      <c r="L7" s="38" t="s">
        <v>138</v>
      </c>
      <c r="M7" s="38" t="s">
        <v>138</v>
      </c>
      <c r="N7" s="32"/>
      <c r="O7" s="65"/>
      <c r="P7" s="69">
        <f>V7+AB7+AH7+AN7+AT7+AZ7+BF7+BL7+BR7+BX7+CD7+CJ7+CP7+CV7+DB7+DH7+DN7+DT7+DZ7+EF7+EL7+EX7</f>
        <v>0.8316917</v>
      </c>
      <c r="Q7" s="70">
        <f>W7+AC7+AI7+AO7+AU7+BA7+BG7+BM7+BS7+BY7+CE7+CK7+CQ7+CW7+DC7+DI7+DO7+DU7+EA7+EG7+EM7</f>
        <v>0.8315682</v>
      </c>
      <c r="R7" s="38" t="s">
        <v>138</v>
      </c>
      <c r="S7" s="38" t="s">
        <v>138</v>
      </c>
      <c r="T7" s="32"/>
      <c r="U7" s="68"/>
      <c r="V7" s="31">
        <v>0.0027985</v>
      </c>
      <c r="W7" s="70">
        <v>0.0027981</v>
      </c>
      <c r="X7" s="38" t="s">
        <v>138</v>
      </c>
      <c r="Y7" s="38" t="s">
        <v>138</v>
      </c>
      <c r="Z7" s="32"/>
      <c r="AA7" s="68"/>
      <c r="AB7" s="31">
        <v>0.0150621</v>
      </c>
      <c r="AC7" s="70">
        <v>0.0150599</v>
      </c>
      <c r="AD7" s="38" t="s">
        <v>138</v>
      </c>
      <c r="AE7" s="38" t="s">
        <v>138</v>
      </c>
      <c r="AF7" s="32"/>
      <c r="AG7" s="68"/>
      <c r="AH7" s="31">
        <v>0.0236104</v>
      </c>
      <c r="AI7" s="70">
        <v>0.0236069</v>
      </c>
      <c r="AJ7" s="38" t="s">
        <v>138</v>
      </c>
      <c r="AK7" s="38" t="s">
        <v>138</v>
      </c>
      <c r="AL7" s="32"/>
      <c r="AM7" s="68"/>
      <c r="AN7" s="31">
        <v>0.0049018</v>
      </c>
      <c r="AO7" s="70">
        <v>0.0049011</v>
      </c>
      <c r="AP7" s="38" t="s">
        <v>138</v>
      </c>
      <c r="AQ7" s="38" t="s">
        <v>138</v>
      </c>
      <c r="AR7" s="32"/>
      <c r="AS7" s="68"/>
      <c r="AT7" s="31">
        <v>0.2973469</v>
      </c>
      <c r="AU7" s="70">
        <v>0.2973027</v>
      </c>
      <c r="AV7" s="38" t="s">
        <v>138</v>
      </c>
      <c r="AW7" s="38" t="s">
        <v>138</v>
      </c>
      <c r="AY7" s="68"/>
      <c r="AZ7" s="31">
        <v>0.0016514</v>
      </c>
      <c r="BA7" s="70">
        <v>0.0016511</v>
      </c>
      <c r="BB7" s="38" t="s">
        <v>138</v>
      </c>
      <c r="BC7" s="38" t="s">
        <v>138</v>
      </c>
      <c r="BE7" s="68"/>
      <c r="BF7" s="31">
        <v>0.0057505</v>
      </c>
      <c r="BG7" s="70">
        <v>0.0057497</v>
      </c>
      <c r="BH7" s="38" t="s">
        <v>138</v>
      </c>
      <c r="BI7" s="38" t="s">
        <v>138</v>
      </c>
      <c r="BK7" s="68"/>
      <c r="BL7" s="31">
        <v>0.043991</v>
      </c>
      <c r="BM7" s="70">
        <v>0.0439844</v>
      </c>
      <c r="BN7" s="38" t="s">
        <v>138</v>
      </c>
      <c r="BO7" s="38" t="s">
        <v>138</v>
      </c>
      <c r="BQ7" s="68"/>
      <c r="BR7" s="31">
        <v>0.0138588</v>
      </c>
      <c r="BS7" s="70">
        <v>0.0138567</v>
      </c>
      <c r="BT7" s="38" t="s">
        <v>138</v>
      </c>
      <c r="BU7" s="38" t="s">
        <v>138</v>
      </c>
      <c r="BW7" s="68"/>
      <c r="BX7" s="31">
        <v>0.0627067</v>
      </c>
      <c r="BY7" s="70">
        <v>0.0626974</v>
      </c>
      <c r="BZ7" s="38" t="s">
        <v>138</v>
      </c>
      <c r="CA7" s="38" t="s">
        <v>138</v>
      </c>
      <c r="CC7" s="68"/>
      <c r="CD7" s="31">
        <v>1.78E-05</v>
      </c>
      <c r="CE7" s="70">
        <v>1.78E-05</v>
      </c>
      <c r="CF7" s="38" t="s">
        <v>138</v>
      </c>
      <c r="CG7" s="38" t="s">
        <v>138</v>
      </c>
      <c r="CI7" s="68"/>
      <c r="CJ7" s="31">
        <v>0.0080662</v>
      </c>
      <c r="CK7" s="70">
        <v>0.008065</v>
      </c>
      <c r="CL7" s="38" t="s">
        <v>138</v>
      </c>
      <c r="CM7" s="38" t="s">
        <v>138</v>
      </c>
      <c r="CO7" s="68"/>
      <c r="CP7" s="31">
        <v>0.0045051</v>
      </c>
      <c r="CQ7" s="70">
        <v>0.0045044</v>
      </c>
      <c r="CR7" s="38" t="s">
        <v>138</v>
      </c>
      <c r="CS7" s="38" t="s">
        <v>138</v>
      </c>
      <c r="CU7" s="68"/>
      <c r="CV7" s="31">
        <v>0.0030131</v>
      </c>
      <c r="CW7" s="70">
        <v>0.0030127</v>
      </c>
      <c r="CX7" s="38" t="s">
        <v>138</v>
      </c>
      <c r="CY7" s="38" t="s">
        <v>138</v>
      </c>
      <c r="DA7" s="68"/>
      <c r="DB7" s="31">
        <v>0.0033283</v>
      </c>
      <c r="DC7" s="70">
        <v>0.0033279</v>
      </c>
      <c r="DD7" s="38" t="s">
        <v>138</v>
      </c>
      <c r="DE7" s="38" t="s">
        <v>138</v>
      </c>
      <c r="DG7" s="68"/>
      <c r="DH7" s="31">
        <v>0.0405633</v>
      </c>
      <c r="DI7" s="70">
        <v>0.0405573</v>
      </c>
      <c r="DJ7" s="38" t="s">
        <v>138</v>
      </c>
      <c r="DK7" s="38" t="s">
        <v>138</v>
      </c>
      <c r="DM7" s="68"/>
      <c r="DN7" s="31">
        <v>0.0060544</v>
      </c>
      <c r="DO7" s="70">
        <v>0.0060535</v>
      </c>
      <c r="DP7" s="38" t="s">
        <v>138</v>
      </c>
      <c r="DQ7" s="38" t="s">
        <v>138</v>
      </c>
      <c r="DS7" s="68"/>
      <c r="DT7" s="31">
        <v>0.1187318</v>
      </c>
      <c r="DU7" s="70">
        <v>0.1187142</v>
      </c>
      <c r="DV7" s="38" t="s">
        <v>138</v>
      </c>
      <c r="DW7" s="38" t="s">
        <v>138</v>
      </c>
      <c r="DX7" s="27"/>
      <c r="DY7" s="68"/>
      <c r="DZ7" s="31">
        <v>0.0060889</v>
      </c>
      <c r="EA7" s="70">
        <v>0.0060879</v>
      </c>
      <c r="EB7" s="38" t="s">
        <v>138</v>
      </c>
      <c r="EC7" s="38" t="s">
        <v>138</v>
      </c>
      <c r="EE7" s="68"/>
      <c r="EF7" s="31">
        <v>0.0152665</v>
      </c>
      <c r="EG7" s="70">
        <v>0.0152642</v>
      </c>
      <c r="EH7" s="38" t="s">
        <v>138</v>
      </c>
      <c r="EI7" s="38" t="s">
        <v>138</v>
      </c>
      <c r="EK7" s="68"/>
      <c r="EL7" s="31">
        <v>0.1543782</v>
      </c>
      <c r="EM7" s="70">
        <v>0.1543553</v>
      </c>
      <c r="EN7" s="38" t="s">
        <v>138</v>
      </c>
      <c r="EO7" s="38" t="s">
        <v>138</v>
      </c>
      <c r="EQ7" s="68"/>
      <c r="ER7" s="31">
        <v>-0.0001487</v>
      </c>
      <c r="ES7" s="70">
        <v>0</v>
      </c>
      <c r="ET7" s="38" t="s">
        <v>138</v>
      </c>
      <c r="EU7" s="38" t="s">
        <v>138</v>
      </c>
      <c r="EW7" s="68"/>
      <c r="EX7" s="31">
        <v>0</v>
      </c>
      <c r="EY7" s="43"/>
    </row>
    <row r="8" spans="1:15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152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152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152</v>
      </c>
      <c r="U8" s="26" t="s">
        <v>11</v>
      </c>
      <c r="V8" s="26" t="s">
        <v>12</v>
      </c>
      <c r="W8" s="26" t="s">
        <v>4</v>
      </c>
      <c r="X8" s="38" t="s">
        <v>139</v>
      </c>
      <c r="Y8" s="38" t="s">
        <v>152</v>
      </c>
      <c r="AA8" s="26" t="s">
        <v>11</v>
      </c>
      <c r="AB8" s="26" t="s">
        <v>12</v>
      </c>
      <c r="AC8" s="26" t="s">
        <v>4</v>
      </c>
      <c r="AD8" s="38" t="s">
        <v>139</v>
      </c>
      <c r="AE8" s="38" t="s">
        <v>152</v>
      </c>
      <c r="AG8" s="26" t="s">
        <v>11</v>
      </c>
      <c r="AH8" s="26" t="s">
        <v>12</v>
      </c>
      <c r="AI8" s="26" t="s">
        <v>4</v>
      </c>
      <c r="AJ8" s="38" t="s">
        <v>139</v>
      </c>
      <c r="AK8" s="38" t="s">
        <v>152</v>
      </c>
      <c r="AM8" s="26" t="s">
        <v>11</v>
      </c>
      <c r="AN8" s="26" t="s">
        <v>12</v>
      </c>
      <c r="AO8" s="26" t="s">
        <v>4</v>
      </c>
      <c r="AP8" s="38" t="s">
        <v>139</v>
      </c>
      <c r="AQ8" s="38" t="s">
        <v>152</v>
      </c>
      <c r="AS8" s="26" t="s">
        <v>11</v>
      </c>
      <c r="AT8" s="26" t="s">
        <v>12</v>
      </c>
      <c r="AU8" s="26" t="s">
        <v>4</v>
      </c>
      <c r="AV8" s="38" t="s">
        <v>139</v>
      </c>
      <c r="AW8" s="38" t="s">
        <v>152</v>
      </c>
      <c r="AY8" s="26" t="s">
        <v>11</v>
      </c>
      <c r="AZ8" s="26" t="s">
        <v>12</v>
      </c>
      <c r="BA8" s="26" t="s">
        <v>4</v>
      </c>
      <c r="BB8" s="38" t="s">
        <v>139</v>
      </c>
      <c r="BC8" s="38" t="s">
        <v>152</v>
      </c>
      <c r="BE8" s="26" t="s">
        <v>11</v>
      </c>
      <c r="BF8" s="26" t="s">
        <v>12</v>
      </c>
      <c r="BG8" s="26" t="s">
        <v>4</v>
      </c>
      <c r="BH8" s="38" t="s">
        <v>139</v>
      </c>
      <c r="BI8" s="38" t="s">
        <v>152</v>
      </c>
      <c r="BK8" s="26" t="s">
        <v>11</v>
      </c>
      <c r="BL8" s="26" t="s">
        <v>12</v>
      </c>
      <c r="BM8" s="26" t="s">
        <v>4</v>
      </c>
      <c r="BN8" s="38" t="s">
        <v>139</v>
      </c>
      <c r="BO8" s="38" t="s">
        <v>152</v>
      </c>
      <c r="BQ8" s="26" t="s">
        <v>11</v>
      </c>
      <c r="BR8" s="26" t="s">
        <v>12</v>
      </c>
      <c r="BS8" s="26" t="s">
        <v>4</v>
      </c>
      <c r="BT8" s="38" t="s">
        <v>139</v>
      </c>
      <c r="BU8" s="38" t="s">
        <v>152</v>
      </c>
      <c r="BW8" s="26" t="s">
        <v>11</v>
      </c>
      <c r="BX8" s="26" t="s">
        <v>12</v>
      </c>
      <c r="BY8" s="26" t="s">
        <v>4</v>
      </c>
      <c r="BZ8" s="38" t="s">
        <v>139</v>
      </c>
      <c r="CA8" s="38" t="s">
        <v>152</v>
      </c>
      <c r="CC8" s="26" t="s">
        <v>11</v>
      </c>
      <c r="CD8" s="26" t="s">
        <v>12</v>
      </c>
      <c r="CE8" s="26" t="s">
        <v>4</v>
      </c>
      <c r="CF8" s="38" t="s">
        <v>139</v>
      </c>
      <c r="CG8" s="38" t="s">
        <v>152</v>
      </c>
      <c r="CI8" s="26" t="s">
        <v>11</v>
      </c>
      <c r="CJ8" s="26" t="s">
        <v>12</v>
      </c>
      <c r="CK8" s="26" t="s">
        <v>4</v>
      </c>
      <c r="CL8" s="38" t="s">
        <v>139</v>
      </c>
      <c r="CM8" s="38" t="s">
        <v>152</v>
      </c>
      <c r="CO8" s="26" t="s">
        <v>11</v>
      </c>
      <c r="CP8" s="26" t="s">
        <v>12</v>
      </c>
      <c r="CQ8" s="26" t="s">
        <v>4</v>
      </c>
      <c r="CR8" s="38" t="s">
        <v>139</v>
      </c>
      <c r="CS8" s="38" t="s">
        <v>152</v>
      </c>
      <c r="CU8" s="26" t="s">
        <v>11</v>
      </c>
      <c r="CV8" s="26" t="s">
        <v>12</v>
      </c>
      <c r="CW8" s="26" t="s">
        <v>4</v>
      </c>
      <c r="CX8" s="38" t="s">
        <v>139</v>
      </c>
      <c r="CY8" s="38" t="s">
        <v>152</v>
      </c>
      <c r="DA8" s="26" t="s">
        <v>11</v>
      </c>
      <c r="DB8" s="26" t="s">
        <v>12</v>
      </c>
      <c r="DC8" s="26" t="s">
        <v>4</v>
      </c>
      <c r="DD8" s="38" t="s">
        <v>139</v>
      </c>
      <c r="DE8" s="38" t="s">
        <v>152</v>
      </c>
      <c r="DG8" s="26" t="s">
        <v>11</v>
      </c>
      <c r="DH8" s="26" t="s">
        <v>12</v>
      </c>
      <c r="DI8" s="26" t="s">
        <v>4</v>
      </c>
      <c r="DJ8" s="38" t="s">
        <v>139</v>
      </c>
      <c r="DK8" s="38" t="s">
        <v>152</v>
      </c>
      <c r="DM8" s="26" t="s">
        <v>11</v>
      </c>
      <c r="DN8" s="26" t="s">
        <v>12</v>
      </c>
      <c r="DO8" s="26" t="s">
        <v>4</v>
      </c>
      <c r="DP8" s="38" t="s">
        <v>139</v>
      </c>
      <c r="DQ8" s="38" t="s">
        <v>152</v>
      </c>
      <c r="DS8" s="26" t="s">
        <v>11</v>
      </c>
      <c r="DT8" s="26" t="s">
        <v>12</v>
      </c>
      <c r="DU8" s="26" t="s">
        <v>4</v>
      </c>
      <c r="DV8" s="38" t="s">
        <v>139</v>
      </c>
      <c r="DW8" s="38" t="s">
        <v>152</v>
      </c>
      <c r="DX8" s="62"/>
      <c r="DY8" s="26" t="s">
        <v>11</v>
      </c>
      <c r="DZ8" s="26" t="s">
        <v>12</v>
      </c>
      <c r="EA8" s="26" t="s">
        <v>4</v>
      </c>
      <c r="EB8" s="38" t="s">
        <v>139</v>
      </c>
      <c r="EC8" s="38" t="s">
        <v>152</v>
      </c>
      <c r="EE8" s="26" t="s">
        <v>11</v>
      </c>
      <c r="EF8" s="26" t="s">
        <v>12</v>
      </c>
      <c r="EG8" s="26" t="s">
        <v>4</v>
      </c>
      <c r="EH8" s="38" t="s">
        <v>139</v>
      </c>
      <c r="EI8" s="38" t="s">
        <v>152</v>
      </c>
      <c r="EK8" s="26" t="s">
        <v>11</v>
      </c>
      <c r="EL8" s="26" t="s">
        <v>12</v>
      </c>
      <c r="EM8" s="26" t="s">
        <v>4</v>
      </c>
      <c r="EN8" s="38" t="s">
        <v>139</v>
      </c>
      <c r="EO8" s="38" t="s">
        <v>152</v>
      </c>
      <c r="EQ8" s="26" t="s">
        <v>11</v>
      </c>
      <c r="ER8" s="26" t="s">
        <v>12</v>
      </c>
      <c r="ES8" s="26" t="s">
        <v>4</v>
      </c>
      <c r="ET8" s="38" t="s">
        <v>139</v>
      </c>
      <c r="EU8" s="38" t="s">
        <v>152</v>
      </c>
      <c r="EW8" s="26" t="s">
        <v>11</v>
      </c>
      <c r="EX8" s="26" t="s">
        <v>12</v>
      </c>
      <c r="EY8" s="26" t="s">
        <v>4</v>
      </c>
    </row>
    <row r="9" spans="1:155" ht="12.75">
      <c r="A9" s="19">
        <v>42644</v>
      </c>
      <c r="D9" s="34">
        <v>974900</v>
      </c>
      <c r="E9" s="34">
        <f aca="true" t="shared" si="0" ref="E9:E29">C9+D9</f>
        <v>974900</v>
      </c>
      <c r="F9" s="34">
        <v>321152</v>
      </c>
      <c r="G9" s="34">
        <f aca="true" t="shared" si="1" ref="G9:G29">M9+S9</f>
        <v>241163</v>
      </c>
      <c r="I9" s="47">
        <f>'2012D Academic'!I9</f>
        <v>0</v>
      </c>
      <c r="J9" s="47">
        <f>'2012D Academic'!J9</f>
        <v>164204.25931000002</v>
      </c>
      <c r="K9" s="47">
        <f aca="true" t="shared" si="2" ref="K9:K29">I9+J9</f>
        <v>164204.25931000002</v>
      </c>
      <c r="L9" s="47">
        <f>'2012D Academic'!L9</f>
        <v>54092.2415488</v>
      </c>
      <c r="M9" s="47">
        <f>'2012D Academic'!M9</f>
        <v>40629</v>
      </c>
      <c r="O9" s="47">
        <f aca="true" t="shared" si="3" ref="O9:O29">U9+AA9+AG9+AM9+AS9+AY9+BE9+BK9+BQ9+BW9+CC9+CI9+CO9+CU9+DA9+DG9+DM9+DS9+DY9+EE9+EK9+EW9</f>
        <v>0</v>
      </c>
      <c r="P9" s="39">
        <f aca="true" t="shared" si="4" ref="P9:P29">V9+AB9+AH9+AN9+AT9+AZ9+BF9+BL9+BR9+BX9+CD9+CJ9+CP9+CV9+DB9+DH9+DN9+DT9+DZ9+EF9+EL9+EX9</f>
        <v>810695.83818</v>
      </c>
      <c r="Q9" s="47">
        <f aca="true" t="shared" si="5" ref="Q9:Q29">O9+P9</f>
        <v>810695.83818</v>
      </c>
      <c r="R9" s="39">
        <f aca="true" t="shared" si="6" ref="R9:R29">X9+AD9+AJ9+AP9+AV9+BB9+BH9+BN9+BT9+BZ9+CF9+CL9+CR9+CX9+DD9+DJ9+DP9+DV9+EB9+EH9+EN9+EZ9</f>
        <v>267059.7905664</v>
      </c>
      <c r="S9" s="39">
        <f aca="true" t="shared" si="7" ref="S9:S29">Y9+AE9+AK9+AQ9+AW9+BC9+BI9+BO9+BU9+CA9+CG9+CM9+CS9+CY9+DE9+DK9+DQ9+DW9+EC9+EI9+EO9+FA9+EU9</f>
        <v>200534</v>
      </c>
      <c r="U9" s="61">
        <f aca="true" t="shared" si="8" ref="U9:U29">$C9*W$7</f>
        <v>0</v>
      </c>
      <c r="V9" s="61">
        <f aca="true" t="shared" si="9" ref="V9:V29">$D9*W$7</f>
        <v>2727.86769</v>
      </c>
      <c r="W9" s="20">
        <f aca="true" t="shared" si="10" ref="W9:W29">U9+V9</f>
        <v>2727.86769</v>
      </c>
      <c r="X9" s="34">
        <f aca="true" t="shared" si="11" ref="X9:X29">$F9*W$7</f>
        <v>898.6154112</v>
      </c>
      <c r="Y9" s="34">
        <v>680</v>
      </c>
      <c r="AA9" s="61">
        <f>$C9*AC$7</f>
        <v>0</v>
      </c>
      <c r="AB9" s="61">
        <f aca="true" t="shared" si="12" ref="AB9:AB29">$D9*AC$7</f>
        <v>14681.896509999999</v>
      </c>
      <c r="AC9" s="20">
        <f aca="true" t="shared" si="13" ref="AC9:AC29">AA9+AB9</f>
        <v>14681.896509999999</v>
      </c>
      <c r="AD9" s="34">
        <f aca="true" t="shared" si="14" ref="AD9:AD29">$F9*AC$7</f>
        <v>4836.5170048</v>
      </c>
      <c r="AE9" s="34">
        <v>3653</v>
      </c>
      <c r="AG9" s="61">
        <f>$C9*AI$7</f>
        <v>0</v>
      </c>
      <c r="AH9" s="61">
        <f aca="true" t="shared" si="15" ref="AH9:AH29">$D9*AI$7</f>
        <v>23014.36681</v>
      </c>
      <c r="AI9" s="32">
        <f aca="true" t="shared" si="16" ref="AI9:AI29">AG9+AH9</f>
        <v>23014.36681</v>
      </c>
      <c r="AJ9" s="34">
        <f aca="true" t="shared" si="17" ref="AJ9:AJ29">$F9*AI$7</f>
        <v>7581.4031488</v>
      </c>
      <c r="AK9" s="34">
        <v>5743</v>
      </c>
      <c r="AM9" s="61">
        <f>$C9*AO$7</f>
        <v>0</v>
      </c>
      <c r="AN9" s="61">
        <f aca="true" t="shared" si="18" ref="AN9:AN29">$D9*AO$7</f>
        <v>4778.0823900000005</v>
      </c>
      <c r="AO9" s="20">
        <f aca="true" t="shared" si="19" ref="AO9:AO29">AM9+AN9</f>
        <v>4778.0823900000005</v>
      </c>
      <c r="AP9" s="34">
        <f aca="true" t="shared" si="20" ref="AP9:AP29">$F9*AO$7</f>
        <v>1573.9980672000002</v>
      </c>
      <c r="AQ9" s="34">
        <v>1181</v>
      </c>
      <c r="AS9" s="61">
        <f>$C9*AU$7</f>
        <v>0</v>
      </c>
      <c r="AT9" s="61">
        <f aca="true" t="shared" si="21" ref="AT9:AT29">$D9*AU$7</f>
        <v>289840.40222999995</v>
      </c>
      <c r="AU9" s="20">
        <f aca="true" t="shared" si="22" ref="AU9:AU29">AS9+AT9</f>
        <v>289840.40222999995</v>
      </c>
      <c r="AV9" s="34">
        <f aca="true" t="shared" si="23" ref="AV9:AV29">$F9*AU$7</f>
        <v>95479.3567104</v>
      </c>
      <c r="AW9" s="34">
        <v>71690</v>
      </c>
      <c r="AX9" s="32"/>
      <c r="AY9" s="61">
        <f>$C9*BA$7</f>
        <v>0</v>
      </c>
      <c r="AZ9" s="61">
        <f aca="true" t="shared" si="24" ref="AZ9:AZ29">$D9*BA$7</f>
        <v>1609.65739</v>
      </c>
      <c r="BA9" s="20">
        <f aca="true" t="shared" si="25" ref="BA9:BA29">AY9+AZ9</f>
        <v>1609.65739</v>
      </c>
      <c r="BB9" s="34">
        <f aca="true" t="shared" si="26" ref="BB9:BB29">$F9*BA$7</f>
        <v>530.2540672</v>
      </c>
      <c r="BC9" s="34">
        <v>398</v>
      </c>
      <c r="BD9" s="32"/>
      <c r="BE9" s="61">
        <f>$C9*BG$7</f>
        <v>0</v>
      </c>
      <c r="BF9" s="61">
        <f aca="true" t="shared" si="27" ref="BF9:BF29">$D9*BG$7</f>
        <v>5605.38253</v>
      </c>
      <c r="BG9" s="32">
        <f aca="true" t="shared" si="28" ref="BG9:BG29">BE9+BF9</f>
        <v>5605.38253</v>
      </c>
      <c r="BH9" s="34">
        <f aca="true" t="shared" si="29" ref="BH9:BH29">$F9*BG$7</f>
        <v>1846.5276544</v>
      </c>
      <c r="BI9" s="34">
        <v>1385</v>
      </c>
      <c r="BJ9" s="32"/>
      <c r="BK9" s="61">
        <f>$C9*BM$7</f>
        <v>0</v>
      </c>
      <c r="BL9" s="61">
        <f aca="true" t="shared" si="30" ref="BL9:BL29">$D9*BM$7</f>
        <v>42880.39156</v>
      </c>
      <c r="BM9" s="32">
        <f aca="true" t="shared" si="31" ref="BM9:BM29">BK9+BL9</f>
        <v>42880.39156</v>
      </c>
      <c r="BN9" s="34">
        <f aca="true" t="shared" si="32" ref="BN9:BN29">$F9*BM$7</f>
        <v>14125.678028799999</v>
      </c>
      <c r="BO9" s="34">
        <v>10596</v>
      </c>
      <c r="BP9" s="32"/>
      <c r="BQ9" s="61">
        <f>$C9*BS$7</f>
        <v>0</v>
      </c>
      <c r="BR9" s="61">
        <f aca="true" t="shared" si="33" ref="BR9:BR29">$D9*BS$7</f>
        <v>13508.89683</v>
      </c>
      <c r="BS9" s="32">
        <f aca="true" t="shared" si="34" ref="BS9:BS29">BQ9+BR9</f>
        <v>13508.89683</v>
      </c>
      <c r="BT9" s="34">
        <f aca="true" t="shared" si="35" ref="BT9:BT29">$F9*BS$7</f>
        <v>4450.1069184</v>
      </c>
      <c r="BU9" s="34">
        <v>3338</v>
      </c>
      <c r="BV9" s="32"/>
      <c r="BW9" s="61">
        <f>$C9*BY$7</f>
        <v>0</v>
      </c>
      <c r="BX9" s="61">
        <f aca="true" t="shared" si="36" ref="BX9:BX29">$D9*BY$7</f>
        <v>61123.69526</v>
      </c>
      <c r="BY9" s="32">
        <f aca="true" t="shared" si="37" ref="BY9:BY29">BW9+BX9</f>
        <v>61123.69526</v>
      </c>
      <c r="BZ9" s="34">
        <f aca="true" t="shared" si="38" ref="BZ9:BZ29">$F9*BY$7</f>
        <v>20135.3954048</v>
      </c>
      <c r="CA9" s="34">
        <v>15110</v>
      </c>
      <c r="CB9" s="32"/>
      <c r="CC9" s="61">
        <f>$C9*CE$7</f>
        <v>0</v>
      </c>
      <c r="CD9" s="61">
        <f aca="true" t="shared" si="39" ref="CD9:CD29">$D9*CE$7</f>
        <v>17.35322</v>
      </c>
      <c r="CE9" s="32">
        <f aca="true" t="shared" si="40" ref="CE9:CE29">CC9+CD9</f>
        <v>17.35322</v>
      </c>
      <c r="CF9" s="34">
        <f aca="true" t="shared" si="41" ref="CF9:CF29">$F9*CE$7</f>
        <v>5.7165056</v>
      </c>
      <c r="CG9" s="34">
        <v>4</v>
      </c>
      <c r="CH9" s="32"/>
      <c r="CI9" s="61">
        <f>$C9*CK$7</f>
        <v>0</v>
      </c>
      <c r="CJ9" s="61">
        <f aca="true" t="shared" si="42" ref="CJ9:CJ29">$D9*CK$7</f>
        <v>7862.568499999999</v>
      </c>
      <c r="CK9" s="32">
        <f aca="true" t="shared" si="43" ref="CK9:CK29">CI9+CJ9</f>
        <v>7862.568499999999</v>
      </c>
      <c r="CL9" s="34">
        <f aca="true" t="shared" si="44" ref="CL9:CL29">$F9*CK$7</f>
        <v>2590.0908799999997</v>
      </c>
      <c r="CM9" s="34">
        <v>1950</v>
      </c>
      <c r="CN9" s="32"/>
      <c r="CO9" s="61">
        <f>$C9*CQ$7</f>
        <v>0</v>
      </c>
      <c r="CP9" s="61">
        <f aca="true" t="shared" si="45" ref="CP9:CP29">$D9*CQ$7</f>
        <v>4391.33956</v>
      </c>
      <c r="CQ9" s="32">
        <f aca="true" t="shared" si="46" ref="CQ9:CQ29">CO9+CP9</f>
        <v>4391.33956</v>
      </c>
      <c r="CR9" s="34">
        <f aca="true" t="shared" si="47" ref="CR9:CR29">$F9*CQ$7</f>
        <v>1446.5970688000002</v>
      </c>
      <c r="CS9" s="34">
        <v>1087</v>
      </c>
      <c r="CT9" s="32"/>
      <c r="CU9" s="61">
        <f>$C9*CW$7</f>
        <v>0</v>
      </c>
      <c r="CV9" s="61">
        <f aca="true" t="shared" si="48" ref="CV9:CV29">$D9*CW$7</f>
        <v>2937.0812300000002</v>
      </c>
      <c r="CW9" s="32">
        <f aca="true" t="shared" si="49" ref="CW9:CW29">CU9+CV9</f>
        <v>2937.0812300000002</v>
      </c>
      <c r="CX9" s="34">
        <f aca="true" t="shared" si="50" ref="CX9:CX29">$F9*CW$7</f>
        <v>967.5346304000001</v>
      </c>
      <c r="CY9" s="34">
        <v>726</v>
      </c>
      <c r="CZ9" s="32"/>
      <c r="DA9" s="61">
        <f>$C9*DC$7</f>
        <v>0</v>
      </c>
      <c r="DB9" s="61">
        <f aca="true" t="shared" si="51" ref="DB9:DB29">$D9*DC$7</f>
        <v>3244.36971</v>
      </c>
      <c r="DC9" s="32">
        <f aca="true" t="shared" si="52" ref="DC9:DC29">DA9+DB9</f>
        <v>3244.36971</v>
      </c>
      <c r="DD9" s="34">
        <f aca="true" t="shared" si="53" ref="DD9:DD29">$F9*DC$7</f>
        <v>1068.7617408</v>
      </c>
      <c r="DE9" s="34">
        <v>805</v>
      </c>
      <c r="DF9" s="32"/>
      <c r="DG9" s="61">
        <f>$C9*DI$7</f>
        <v>0</v>
      </c>
      <c r="DH9" s="61">
        <f aca="true" t="shared" si="54" ref="DH9:DH29">$D9*DI$7</f>
        <v>39539.31177</v>
      </c>
      <c r="DI9" s="32">
        <f aca="true" t="shared" si="55" ref="DI9:DI29">DG9+DH9</f>
        <v>39539.31177</v>
      </c>
      <c r="DJ9" s="34">
        <f aca="true" t="shared" si="56" ref="DJ9:DJ29">$F9*DI$7</f>
        <v>13025.0580096</v>
      </c>
      <c r="DK9" s="34">
        <v>9771</v>
      </c>
      <c r="DL9" s="32"/>
      <c r="DM9" s="61">
        <f>$C9*DO$7</f>
        <v>0</v>
      </c>
      <c r="DN9" s="61">
        <f aca="true" t="shared" si="57" ref="DN9:DN29">$D9*DO$7</f>
        <v>5901.55715</v>
      </c>
      <c r="DO9" s="32">
        <f aca="true" t="shared" si="58" ref="DO9:DO29">DM9+DN9</f>
        <v>5901.55715</v>
      </c>
      <c r="DP9" s="34">
        <f aca="true" t="shared" si="59" ref="DP9:DP29">$F9*DO$7</f>
        <v>1944.0936319999998</v>
      </c>
      <c r="DQ9" s="34">
        <v>1458</v>
      </c>
      <c r="DR9" s="32"/>
      <c r="DS9" s="61">
        <f>$C9*DU$7</f>
        <v>0</v>
      </c>
      <c r="DT9" s="61">
        <f aca="true" t="shared" si="60" ref="DT9:DT29">$D9*DU$7</f>
        <v>115734.47358</v>
      </c>
      <c r="DU9" s="32">
        <f aca="true" t="shared" si="61" ref="DU9:DU29">DS9+DT9</f>
        <v>115734.47358</v>
      </c>
      <c r="DV9" s="34">
        <f aca="true" t="shared" si="62" ref="DV9:DV29">$F9*DU$7</f>
        <v>38125.3027584</v>
      </c>
      <c r="DW9" s="34">
        <v>28600</v>
      </c>
      <c r="DX9" s="32"/>
      <c r="DY9" s="61">
        <f>$C9*EA$7</f>
        <v>0</v>
      </c>
      <c r="DZ9" s="61">
        <f aca="true" t="shared" si="63" ref="DZ9:DZ29">$D9*EA$7</f>
        <v>5935.09371</v>
      </c>
      <c r="EA9" s="32">
        <f aca="true" t="shared" si="64" ref="EA9:EA29">DY9+DZ9</f>
        <v>5935.09371</v>
      </c>
      <c r="EB9" s="34">
        <f aca="true" t="shared" si="65" ref="EB9:EB29">$F9*EA$7</f>
        <v>1955.1412608</v>
      </c>
      <c r="EC9" s="34">
        <v>1466</v>
      </c>
      <c r="ED9" s="32"/>
      <c r="EE9" s="61">
        <f>$C9*EG$7</f>
        <v>0</v>
      </c>
      <c r="EF9" s="61">
        <f aca="true" t="shared" si="66" ref="EF9:EF29">$D9*EG$7</f>
        <v>14881.068580000001</v>
      </c>
      <c r="EG9" s="32">
        <f aca="true" t="shared" si="67" ref="EG9:EG29">EE9+EF9</f>
        <v>14881.068580000001</v>
      </c>
      <c r="EH9" s="34">
        <f aca="true" t="shared" si="68" ref="EH9:EH29">$F9*EG$7</f>
        <v>4902.1283584</v>
      </c>
      <c r="EI9" s="34">
        <v>3689</v>
      </c>
      <c r="EJ9" s="32"/>
      <c r="EK9" s="61">
        <f>$C9*EM$7</f>
        <v>0</v>
      </c>
      <c r="EL9" s="61">
        <f aca="true" t="shared" si="69" ref="EL9:EL29">$D9*EM$7</f>
        <v>150480.98197</v>
      </c>
      <c r="EM9" s="32">
        <f aca="true" t="shared" si="70" ref="EM9:EM29">EK9+EL9</f>
        <v>150480.98197</v>
      </c>
      <c r="EN9" s="34">
        <f aca="true" t="shared" si="71" ref="EN9:EN29">$F9*EM$7</f>
        <v>49571.5133056</v>
      </c>
      <c r="EO9" s="34">
        <v>37204</v>
      </c>
      <c r="EP9" s="32"/>
      <c r="EQ9" s="32"/>
      <c r="ER9" s="32"/>
      <c r="ES9" s="32"/>
      <c r="ET9" s="32"/>
      <c r="EU9" s="32"/>
      <c r="EV9" s="32"/>
      <c r="EW9" s="32"/>
      <c r="EX9" s="32"/>
      <c r="EY9" s="32">
        <f aca="true" t="shared" si="72" ref="EY9:EY28">EW9+EX9</f>
        <v>0</v>
      </c>
    </row>
    <row r="10" spans="1:155" ht="12.75">
      <c r="A10" s="19">
        <v>42826</v>
      </c>
      <c r="D10" s="34">
        <v>974900</v>
      </c>
      <c r="E10" s="34">
        <f t="shared" si="0"/>
        <v>974900</v>
      </c>
      <c r="F10" s="34">
        <v>321152</v>
      </c>
      <c r="G10" s="34">
        <f t="shared" si="1"/>
        <v>241163</v>
      </c>
      <c r="I10" s="47"/>
      <c r="J10" s="47">
        <f>'2012D Academic'!J10</f>
        <v>164204.25931000002</v>
      </c>
      <c r="K10" s="47">
        <f t="shared" si="2"/>
        <v>164204.25931000002</v>
      </c>
      <c r="L10" s="47">
        <f>'2012D Academic'!L10</f>
        <v>54092.2415488</v>
      </c>
      <c r="M10" s="47">
        <f>'2012D Academic'!M10</f>
        <v>40629</v>
      </c>
      <c r="O10" s="47"/>
      <c r="P10" s="39">
        <f t="shared" si="4"/>
        <v>810695.83818</v>
      </c>
      <c r="Q10" s="47">
        <f t="shared" si="5"/>
        <v>810695.83818</v>
      </c>
      <c r="R10" s="39">
        <f t="shared" si="6"/>
        <v>267059.7905664</v>
      </c>
      <c r="S10" s="39">
        <f t="shared" si="7"/>
        <v>200534</v>
      </c>
      <c r="U10" s="61"/>
      <c r="V10" s="61">
        <f t="shared" si="9"/>
        <v>2727.86769</v>
      </c>
      <c r="W10" s="20">
        <f t="shared" si="10"/>
        <v>2727.86769</v>
      </c>
      <c r="X10" s="34">
        <f t="shared" si="11"/>
        <v>898.6154112</v>
      </c>
      <c r="Y10" s="34">
        <v>680</v>
      </c>
      <c r="AA10" s="61"/>
      <c r="AB10" s="61">
        <f t="shared" si="12"/>
        <v>14681.896509999999</v>
      </c>
      <c r="AC10" s="20">
        <f t="shared" si="13"/>
        <v>14681.896509999999</v>
      </c>
      <c r="AD10" s="34">
        <f t="shared" si="14"/>
        <v>4836.5170048</v>
      </c>
      <c r="AE10" s="34">
        <v>3653</v>
      </c>
      <c r="AG10" s="61"/>
      <c r="AH10" s="61">
        <f t="shared" si="15"/>
        <v>23014.36681</v>
      </c>
      <c r="AI10" s="32">
        <f t="shared" si="16"/>
        <v>23014.36681</v>
      </c>
      <c r="AJ10" s="34">
        <f t="shared" si="17"/>
        <v>7581.4031488</v>
      </c>
      <c r="AK10" s="34">
        <v>5743</v>
      </c>
      <c r="AM10" s="61"/>
      <c r="AN10" s="61">
        <f t="shared" si="18"/>
        <v>4778.0823900000005</v>
      </c>
      <c r="AO10" s="20">
        <f t="shared" si="19"/>
        <v>4778.0823900000005</v>
      </c>
      <c r="AP10" s="34">
        <f t="shared" si="20"/>
        <v>1573.9980672000002</v>
      </c>
      <c r="AQ10" s="34">
        <v>1181</v>
      </c>
      <c r="AS10" s="61"/>
      <c r="AT10" s="61">
        <f t="shared" si="21"/>
        <v>289840.40222999995</v>
      </c>
      <c r="AU10" s="20">
        <f t="shared" si="22"/>
        <v>289840.40222999995</v>
      </c>
      <c r="AV10" s="34">
        <f t="shared" si="23"/>
        <v>95479.3567104</v>
      </c>
      <c r="AW10" s="34">
        <v>71690</v>
      </c>
      <c r="AX10" s="32"/>
      <c r="AY10" s="61"/>
      <c r="AZ10" s="61">
        <f t="shared" si="24"/>
        <v>1609.65739</v>
      </c>
      <c r="BA10" s="20">
        <f t="shared" si="25"/>
        <v>1609.65739</v>
      </c>
      <c r="BB10" s="34">
        <f t="shared" si="26"/>
        <v>530.2540672</v>
      </c>
      <c r="BC10" s="34">
        <v>398</v>
      </c>
      <c r="BD10" s="32"/>
      <c r="BE10" s="61"/>
      <c r="BF10" s="61">
        <f t="shared" si="27"/>
        <v>5605.38253</v>
      </c>
      <c r="BG10" s="32">
        <f t="shared" si="28"/>
        <v>5605.38253</v>
      </c>
      <c r="BH10" s="34">
        <f t="shared" si="29"/>
        <v>1846.5276544</v>
      </c>
      <c r="BI10" s="34">
        <v>1385</v>
      </c>
      <c r="BJ10" s="32"/>
      <c r="BK10" s="61"/>
      <c r="BL10" s="61">
        <f t="shared" si="30"/>
        <v>42880.39156</v>
      </c>
      <c r="BM10" s="32">
        <f t="shared" si="31"/>
        <v>42880.39156</v>
      </c>
      <c r="BN10" s="34">
        <f t="shared" si="32"/>
        <v>14125.678028799999</v>
      </c>
      <c r="BO10" s="34">
        <v>10596</v>
      </c>
      <c r="BP10" s="32"/>
      <c r="BQ10" s="61"/>
      <c r="BR10" s="61">
        <f t="shared" si="33"/>
        <v>13508.89683</v>
      </c>
      <c r="BS10" s="32">
        <f t="shared" si="34"/>
        <v>13508.89683</v>
      </c>
      <c r="BT10" s="34">
        <f t="shared" si="35"/>
        <v>4450.1069184</v>
      </c>
      <c r="BU10" s="34">
        <v>3338</v>
      </c>
      <c r="BV10" s="32"/>
      <c r="BW10" s="61"/>
      <c r="BX10" s="61">
        <f t="shared" si="36"/>
        <v>61123.69526</v>
      </c>
      <c r="BY10" s="32">
        <f t="shared" si="37"/>
        <v>61123.69526</v>
      </c>
      <c r="BZ10" s="34">
        <f t="shared" si="38"/>
        <v>20135.3954048</v>
      </c>
      <c r="CA10" s="34">
        <v>15110</v>
      </c>
      <c r="CB10" s="32"/>
      <c r="CC10" s="61"/>
      <c r="CD10" s="61">
        <f t="shared" si="39"/>
        <v>17.35322</v>
      </c>
      <c r="CE10" s="32">
        <f t="shared" si="40"/>
        <v>17.35322</v>
      </c>
      <c r="CF10" s="34">
        <f t="shared" si="41"/>
        <v>5.7165056</v>
      </c>
      <c r="CG10" s="34">
        <v>4</v>
      </c>
      <c r="CH10" s="32"/>
      <c r="CI10" s="61"/>
      <c r="CJ10" s="61">
        <f t="shared" si="42"/>
        <v>7862.568499999999</v>
      </c>
      <c r="CK10" s="32">
        <f t="shared" si="43"/>
        <v>7862.568499999999</v>
      </c>
      <c r="CL10" s="34">
        <f t="shared" si="44"/>
        <v>2590.0908799999997</v>
      </c>
      <c r="CM10" s="34">
        <v>1950</v>
      </c>
      <c r="CN10" s="32"/>
      <c r="CO10" s="61"/>
      <c r="CP10" s="61">
        <f t="shared" si="45"/>
        <v>4391.33956</v>
      </c>
      <c r="CQ10" s="32">
        <f t="shared" si="46"/>
        <v>4391.33956</v>
      </c>
      <c r="CR10" s="34">
        <f t="shared" si="47"/>
        <v>1446.5970688000002</v>
      </c>
      <c r="CS10" s="34">
        <v>1087</v>
      </c>
      <c r="CT10" s="32"/>
      <c r="CU10" s="61"/>
      <c r="CV10" s="61">
        <f t="shared" si="48"/>
        <v>2937.0812300000002</v>
      </c>
      <c r="CW10" s="32">
        <f t="shared" si="49"/>
        <v>2937.0812300000002</v>
      </c>
      <c r="CX10" s="34">
        <f t="shared" si="50"/>
        <v>967.5346304000001</v>
      </c>
      <c r="CY10" s="34">
        <v>726</v>
      </c>
      <c r="CZ10" s="32"/>
      <c r="DA10" s="61"/>
      <c r="DB10" s="61">
        <f t="shared" si="51"/>
        <v>3244.36971</v>
      </c>
      <c r="DC10" s="32">
        <f t="shared" si="52"/>
        <v>3244.36971</v>
      </c>
      <c r="DD10" s="34">
        <f t="shared" si="53"/>
        <v>1068.7617408</v>
      </c>
      <c r="DE10" s="34">
        <v>805</v>
      </c>
      <c r="DF10" s="32"/>
      <c r="DG10" s="61"/>
      <c r="DH10" s="61">
        <f t="shared" si="54"/>
        <v>39539.31177</v>
      </c>
      <c r="DI10" s="32">
        <f t="shared" si="55"/>
        <v>39539.31177</v>
      </c>
      <c r="DJ10" s="34">
        <f t="shared" si="56"/>
        <v>13025.0580096</v>
      </c>
      <c r="DK10" s="34">
        <v>9771</v>
      </c>
      <c r="DL10" s="32"/>
      <c r="DM10" s="61"/>
      <c r="DN10" s="61">
        <f t="shared" si="57"/>
        <v>5901.55715</v>
      </c>
      <c r="DO10" s="32">
        <f t="shared" si="58"/>
        <v>5901.55715</v>
      </c>
      <c r="DP10" s="34">
        <f t="shared" si="59"/>
        <v>1944.0936319999998</v>
      </c>
      <c r="DQ10" s="34">
        <v>1458</v>
      </c>
      <c r="DR10" s="32"/>
      <c r="DS10" s="61"/>
      <c r="DT10" s="61">
        <f t="shared" si="60"/>
        <v>115734.47358</v>
      </c>
      <c r="DU10" s="32">
        <f t="shared" si="61"/>
        <v>115734.47358</v>
      </c>
      <c r="DV10" s="34">
        <f t="shared" si="62"/>
        <v>38125.3027584</v>
      </c>
      <c r="DW10" s="34">
        <v>28600</v>
      </c>
      <c r="DX10" s="32"/>
      <c r="DY10" s="61"/>
      <c r="DZ10" s="61">
        <f t="shared" si="63"/>
        <v>5935.09371</v>
      </c>
      <c r="EA10" s="32">
        <f t="shared" si="64"/>
        <v>5935.09371</v>
      </c>
      <c r="EB10" s="34">
        <f t="shared" si="65"/>
        <v>1955.1412608</v>
      </c>
      <c r="EC10" s="34">
        <v>1466</v>
      </c>
      <c r="ED10" s="32"/>
      <c r="EE10" s="61"/>
      <c r="EF10" s="61">
        <f t="shared" si="66"/>
        <v>14881.068580000001</v>
      </c>
      <c r="EG10" s="32">
        <f t="shared" si="67"/>
        <v>14881.068580000001</v>
      </c>
      <c r="EH10" s="34">
        <f t="shared" si="68"/>
        <v>4902.1283584</v>
      </c>
      <c r="EI10" s="34">
        <v>3689</v>
      </c>
      <c r="EJ10" s="32"/>
      <c r="EK10" s="61"/>
      <c r="EL10" s="61">
        <f t="shared" si="69"/>
        <v>150480.98197</v>
      </c>
      <c r="EM10" s="32">
        <f t="shared" si="70"/>
        <v>150480.98197</v>
      </c>
      <c r="EN10" s="34">
        <f t="shared" si="71"/>
        <v>49571.5133056</v>
      </c>
      <c r="EO10" s="34">
        <v>37204</v>
      </c>
      <c r="EP10" s="32"/>
      <c r="EQ10" s="32"/>
      <c r="ER10" s="32"/>
      <c r="ES10" s="32"/>
      <c r="ET10" s="32"/>
      <c r="EU10" s="32"/>
      <c r="EV10" s="32"/>
      <c r="EW10" s="32"/>
      <c r="EX10" s="32"/>
      <c r="EY10" s="32">
        <f t="shared" si="72"/>
        <v>0</v>
      </c>
    </row>
    <row r="11" spans="1:155" ht="12.75">
      <c r="A11" s="19">
        <v>43009</v>
      </c>
      <c r="C11" s="34">
        <v>100000</v>
      </c>
      <c r="D11" s="34">
        <v>974900</v>
      </c>
      <c r="E11" s="34">
        <f t="shared" si="0"/>
        <v>1074900</v>
      </c>
      <c r="F11" s="34">
        <v>321152</v>
      </c>
      <c r="G11" s="34">
        <f t="shared" si="1"/>
        <v>241163</v>
      </c>
      <c r="I11" s="47">
        <f>'2012D Academic'!I11</f>
        <v>16843.190000000002</v>
      </c>
      <c r="J11" s="47">
        <f>'2012D Academic'!J11</f>
        <v>164204.25931000002</v>
      </c>
      <c r="K11" s="47">
        <f t="shared" si="2"/>
        <v>181047.44931000003</v>
      </c>
      <c r="L11" s="47">
        <f>'2012D Academic'!L11</f>
        <v>54092.2415488</v>
      </c>
      <c r="M11" s="47">
        <f>'2012D Academic'!M11</f>
        <v>40629</v>
      </c>
      <c r="O11" s="47">
        <f t="shared" si="3"/>
        <v>83156.81999999999</v>
      </c>
      <c r="P11" s="39">
        <f t="shared" si="4"/>
        <v>810695.83818</v>
      </c>
      <c r="Q11" s="47">
        <f t="shared" si="5"/>
        <v>893852.6581799999</v>
      </c>
      <c r="R11" s="39">
        <f t="shared" si="6"/>
        <v>267059.7905664</v>
      </c>
      <c r="S11" s="39">
        <f t="shared" si="7"/>
        <v>200534</v>
      </c>
      <c r="U11" s="61">
        <f t="shared" si="8"/>
        <v>279.81</v>
      </c>
      <c r="V11" s="61">
        <f t="shared" si="9"/>
        <v>2727.86769</v>
      </c>
      <c r="W11" s="20">
        <f t="shared" si="10"/>
        <v>3007.67769</v>
      </c>
      <c r="X11" s="34">
        <f t="shared" si="11"/>
        <v>898.6154112</v>
      </c>
      <c r="Y11" s="34">
        <v>680</v>
      </c>
      <c r="AA11" s="61">
        <f>$C11*AC$7</f>
        <v>1505.99</v>
      </c>
      <c r="AB11" s="61">
        <f t="shared" si="12"/>
        <v>14681.896509999999</v>
      </c>
      <c r="AC11" s="20">
        <f t="shared" si="13"/>
        <v>16187.886509999998</v>
      </c>
      <c r="AD11" s="34">
        <f t="shared" si="14"/>
        <v>4836.5170048</v>
      </c>
      <c r="AE11" s="34">
        <v>3653</v>
      </c>
      <c r="AG11" s="61">
        <f>$C11*AI$7</f>
        <v>2360.69</v>
      </c>
      <c r="AH11" s="61">
        <f t="shared" si="15"/>
        <v>23014.36681</v>
      </c>
      <c r="AI11" s="32">
        <f t="shared" si="16"/>
        <v>25375.05681</v>
      </c>
      <c r="AJ11" s="34">
        <f t="shared" si="17"/>
        <v>7581.4031488</v>
      </c>
      <c r="AK11" s="34">
        <v>5743</v>
      </c>
      <c r="AM11" s="61">
        <f>$C11*AO$7</f>
        <v>490.11</v>
      </c>
      <c r="AN11" s="61">
        <f t="shared" si="18"/>
        <v>4778.0823900000005</v>
      </c>
      <c r="AO11" s="20">
        <f t="shared" si="19"/>
        <v>5268.19239</v>
      </c>
      <c r="AP11" s="34">
        <f t="shared" si="20"/>
        <v>1573.9980672000002</v>
      </c>
      <c r="AQ11" s="34">
        <v>1181</v>
      </c>
      <c r="AS11" s="61">
        <f>$C11*AU$7</f>
        <v>29730.269999999997</v>
      </c>
      <c r="AT11" s="61">
        <f t="shared" si="21"/>
        <v>289840.40222999995</v>
      </c>
      <c r="AU11" s="20">
        <f t="shared" si="22"/>
        <v>319570.67222999997</v>
      </c>
      <c r="AV11" s="34">
        <f t="shared" si="23"/>
        <v>95479.3567104</v>
      </c>
      <c r="AW11" s="34">
        <v>71690</v>
      </c>
      <c r="AX11" s="32"/>
      <c r="AY11" s="61">
        <f>$C11*BA$7</f>
        <v>165.10999999999999</v>
      </c>
      <c r="AZ11" s="61">
        <f t="shared" si="24"/>
        <v>1609.65739</v>
      </c>
      <c r="BA11" s="20">
        <f t="shared" si="25"/>
        <v>1774.76739</v>
      </c>
      <c r="BB11" s="34">
        <f t="shared" si="26"/>
        <v>530.2540672</v>
      </c>
      <c r="BC11" s="34">
        <v>398</v>
      </c>
      <c r="BD11" s="32"/>
      <c r="BE11" s="61">
        <f>$C11*BG$7</f>
        <v>574.97</v>
      </c>
      <c r="BF11" s="61">
        <f t="shared" si="27"/>
        <v>5605.38253</v>
      </c>
      <c r="BG11" s="32">
        <f t="shared" si="28"/>
        <v>6180.35253</v>
      </c>
      <c r="BH11" s="34">
        <f t="shared" si="29"/>
        <v>1846.5276544</v>
      </c>
      <c r="BI11" s="34">
        <v>1385</v>
      </c>
      <c r="BJ11" s="32"/>
      <c r="BK11" s="61">
        <f>$C11*BM$7</f>
        <v>4398.44</v>
      </c>
      <c r="BL11" s="61">
        <f t="shared" si="30"/>
        <v>42880.39156</v>
      </c>
      <c r="BM11" s="32">
        <f t="shared" si="31"/>
        <v>47278.83156</v>
      </c>
      <c r="BN11" s="34">
        <f t="shared" si="32"/>
        <v>14125.678028799999</v>
      </c>
      <c r="BO11" s="34">
        <v>10596</v>
      </c>
      <c r="BP11" s="32"/>
      <c r="BQ11" s="61">
        <f>$C11*BS$7</f>
        <v>1385.6699999999998</v>
      </c>
      <c r="BR11" s="61">
        <f t="shared" si="33"/>
        <v>13508.89683</v>
      </c>
      <c r="BS11" s="32">
        <f t="shared" si="34"/>
        <v>14894.56683</v>
      </c>
      <c r="BT11" s="34">
        <f t="shared" si="35"/>
        <v>4450.1069184</v>
      </c>
      <c r="BU11" s="34">
        <v>3338</v>
      </c>
      <c r="BV11" s="32"/>
      <c r="BW11" s="61">
        <f>$C11*BY$7</f>
        <v>6269.74</v>
      </c>
      <c r="BX11" s="61">
        <f t="shared" si="36"/>
        <v>61123.69526</v>
      </c>
      <c r="BY11" s="32">
        <f t="shared" si="37"/>
        <v>67393.43526</v>
      </c>
      <c r="BZ11" s="34">
        <f t="shared" si="38"/>
        <v>20135.3954048</v>
      </c>
      <c r="CA11" s="34">
        <v>15110</v>
      </c>
      <c r="CB11" s="32"/>
      <c r="CC11" s="61">
        <f>$C11*CE$7</f>
        <v>1.7799999999999998</v>
      </c>
      <c r="CD11" s="61">
        <f t="shared" si="39"/>
        <v>17.35322</v>
      </c>
      <c r="CE11" s="32">
        <f t="shared" si="40"/>
        <v>19.13322</v>
      </c>
      <c r="CF11" s="34">
        <f t="shared" si="41"/>
        <v>5.7165056</v>
      </c>
      <c r="CG11" s="34">
        <v>4</v>
      </c>
      <c r="CH11" s="32"/>
      <c r="CI11" s="61">
        <f>$C11*CK$7</f>
        <v>806.4999999999999</v>
      </c>
      <c r="CJ11" s="61">
        <f t="shared" si="42"/>
        <v>7862.568499999999</v>
      </c>
      <c r="CK11" s="32">
        <f t="shared" si="43"/>
        <v>8669.0685</v>
      </c>
      <c r="CL11" s="34">
        <f t="shared" si="44"/>
        <v>2590.0908799999997</v>
      </c>
      <c r="CM11" s="34">
        <v>1950</v>
      </c>
      <c r="CN11" s="32"/>
      <c r="CO11" s="61">
        <f>$C11*CQ$7</f>
        <v>450.44000000000005</v>
      </c>
      <c r="CP11" s="61">
        <f t="shared" si="45"/>
        <v>4391.33956</v>
      </c>
      <c r="CQ11" s="32">
        <f t="shared" si="46"/>
        <v>4841.779560000001</v>
      </c>
      <c r="CR11" s="34">
        <f t="shared" si="47"/>
        <v>1446.5970688000002</v>
      </c>
      <c r="CS11" s="34">
        <v>1087</v>
      </c>
      <c r="CT11" s="32"/>
      <c r="CU11" s="61">
        <f>$C11*CW$7</f>
        <v>301.27</v>
      </c>
      <c r="CV11" s="61">
        <f t="shared" si="48"/>
        <v>2937.0812300000002</v>
      </c>
      <c r="CW11" s="32">
        <f t="shared" si="49"/>
        <v>3238.35123</v>
      </c>
      <c r="CX11" s="34">
        <f t="shared" si="50"/>
        <v>967.5346304000001</v>
      </c>
      <c r="CY11" s="34">
        <v>726</v>
      </c>
      <c r="CZ11" s="32"/>
      <c r="DA11" s="61">
        <f>$C11*DC$7</f>
        <v>332.79</v>
      </c>
      <c r="DB11" s="61">
        <f t="shared" si="51"/>
        <v>3244.36971</v>
      </c>
      <c r="DC11" s="32">
        <f t="shared" si="52"/>
        <v>3577.15971</v>
      </c>
      <c r="DD11" s="34">
        <f t="shared" si="53"/>
        <v>1068.7617408</v>
      </c>
      <c r="DE11" s="34">
        <v>805</v>
      </c>
      <c r="DF11" s="32"/>
      <c r="DG11" s="61">
        <f>$C11*DI$7</f>
        <v>4055.7299999999996</v>
      </c>
      <c r="DH11" s="61">
        <f t="shared" si="54"/>
        <v>39539.31177</v>
      </c>
      <c r="DI11" s="32">
        <f t="shared" si="55"/>
        <v>43595.041769999996</v>
      </c>
      <c r="DJ11" s="34">
        <f t="shared" si="56"/>
        <v>13025.0580096</v>
      </c>
      <c r="DK11" s="34">
        <v>9771</v>
      </c>
      <c r="DL11" s="32"/>
      <c r="DM11" s="61">
        <f>$C11*DO$7</f>
        <v>605.35</v>
      </c>
      <c r="DN11" s="61">
        <f t="shared" si="57"/>
        <v>5901.55715</v>
      </c>
      <c r="DO11" s="32">
        <f t="shared" si="58"/>
        <v>6506.90715</v>
      </c>
      <c r="DP11" s="34">
        <f t="shared" si="59"/>
        <v>1944.0936319999998</v>
      </c>
      <c r="DQ11" s="34">
        <v>1458</v>
      </c>
      <c r="DR11" s="32"/>
      <c r="DS11" s="61">
        <f>$C11*DU$7</f>
        <v>11871.42</v>
      </c>
      <c r="DT11" s="61">
        <f t="shared" si="60"/>
        <v>115734.47358</v>
      </c>
      <c r="DU11" s="32">
        <f t="shared" si="61"/>
        <v>127605.89358</v>
      </c>
      <c r="DV11" s="34">
        <f t="shared" si="62"/>
        <v>38125.3027584</v>
      </c>
      <c r="DW11" s="34">
        <v>28600</v>
      </c>
      <c r="DX11" s="32"/>
      <c r="DY11" s="61">
        <f>$C11*EA$7</f>
        <v>608.7900000000001</v>
      </c>
      <c r="DZ11" s="61">
        <f t="shared" si="63"/>
        <v>5935.09371</v>
      </c>
      <c r="EA11" s="32">
        <f t="shared" si="64"/>
        <v>6543.88371</v>
      </c>
      <c r="EB11" s="34">
        <f t="shared" si="65"/>
        <v>1955.1412608</v>
      </c>
      <c r="EC11" s="34">
        <v>1466</v>
      </c>
      <c r="ED11" s="32"/>
      <c r="EE11" s="61">
        <f>$C11*EG$7</f>
        <v>1526.42</v>
      </c>
      <c r="EF11" s="61">
        <f t="shared" si="66"/>
        <v>14881.068580000001</v>
      </c>
      <c r="EG11" s="32">
        <f t="shared" si="67"/>
        <v>16407.48858</v>
      </c>
      <c r="EH11" s="34">
        <f t="shared" si="68"/>
        <v>4902.1283584</v>
      </c>
      <c r="EI11" s="34">
        <v>3689</v>
      </c>
      <c r="EJ11" s="32"/>
      <c r="EK11" s="61">
        <f>$C11*EM$7</f>
        <v>15435.53</v>
      </c>
      <c r="EL11" s="61">
        <f t="shared" si="69"/>
        <v>150480.98197</v>
      </c>
      <c r="EM11" s="32">
        <f t="shared" si="70"/>
        <v>165916.51197</v>
      </c>
      <c r="EN11" s="34">
        <f t="shared" si="71"/>
        <v>49571.5133056</v>
      </c>
      <c r="EO11" s="34">
        <v>37204</v>
      </c>
      <c r="EP11" s="32"/>
      <c r="EQ11" s="32"/>
      <c r="ER11" s="32"/>
      <c r="ES11" s="32"/>
      <c r="ET11" s="32"/>
      <c r="EU11" s="32"/>
      <c r="EV11" s="32"/>
      <c r="EW11" s="32"/>
      <c r="EX11" s="32"/>
      <c r="EY11" s="32">
        <f t="shared" si="72"/>
        <v>0</v>
      </c>
    </row>
    <row r="12" spans="1:155" ht="12.75">
      <c r="A12" s="48">
        <v>43191</v>
      </c>
      <c r="D12" s="34">
        <v>972900</v>
      </c>
      <c r="E12" s="34">
        <f t="shared" si="0"/>
        <v>972900</v>
      </c>
      <c r="F12" s="34">
        <v>321152</v>
      </c>
      <c r="G12" s="34">
        <f t="shared" si="1"/>
        <v>241163</v>
      </c>
      <c r="I12" s="47"/>
      <c r="J12" s="47">
        <f>'2012D Academic'!J12</f>
        <v>163867.39551000006</v>
      </c>
      <c r="K12" s="47">
        <f t="shared" si="2"/>
        <v>163867.39551000006</v>
      </c>
      <c r="L12" s="47">
        <f>'2012D Academic'!L12</f>
        <v>54092.2415488</v>
      </c>
      <c r="M12" s="47">
        <f>'2012D Academic'!M12</f>
        <v>40629</v>
      </c>
      <c r="O12" s="47"/>
      <c r="P12" s="39">
        <f t="shared" si="4"/>
        <v>809032.7017799998</v>
      </c>
      <c r="Q12" s="47">
        <f t="shared" si="5"/>
        <v>809032.7017799998</v>
      </c>
      <c r="R12" s="39">
        <f t="shared" si="6"/>
        <v>267059.7905664</v>
      </c>
      <c r="S12" s="39">
        <f t="shared" si="7"/>
        <v>200534</v>
      </c>
      <c r="U12" s="61"/>
      <c r="V12" s="61">
        <f t="shared" si="9"/>
        <v>2722.27149</v>
      </c>
      <c r="W12" s="20">
        <f t="shared" si="10"/>
        <v>2722.27149</v>
      </c>
      <c r="X12" s="34">
        <f t="shared" si="11"/>
        <v>898.6154112</v>
      </c>
      <c r="Y12" s="34">
        <v>680</v>
      </c>
      <c r="AA12" s="61"/>
      <c r="AB12" s="61">
        <f t="shared" si="12"/>
        <v>14651.77671</v>
      </c>
      <c r="AC12" s="20">
        <f t="shared" si="13"/>
        <v>14651.77671</v>
      </c>
      <c r="AD12" s="34">
        <f t="shared" si="14"/>
        <v>4836.5170048</v>
      </c>
      <c r="AE12" s="34">
        <v>3653</v>
      </c>
      <c r="AG12" s="61"/>
      <c r="AH12" s="61">
        <f t="shared" si="15"/>
        <v>22967.15301</v>
      </c>
      <c r="AI12" s="32">
        <f t="shared" si="16"/>
        <v>22967.15301</v>
      </c>
      <c r="AJ12" s="34">
        <f t="shared" si="17"/>
        <v>7581.4031488</v>
      </c>
      <c r="AK12" s="34">
        <v>5743</v>
      </c>
      <c r="AM12" s="61"/>
      <c r="AN12" s="61">
        <f t="shared" si="18"/>
        <v>4768.28019</v>
      </c>
      <c r="AO12" s="20">
        <f t="shared" si="19"/>
        <v>4768.28019</v>
      </c>
      <c r="AP12" s="34">
        <f t="shared" si="20"/>
        <v>1573.9980672000002</v>
      </c>
      <c r="AQ12" s="34">
        <v>1181</v>
      </c>
      <c r="AS12" s="61"/>
      <c r="AT12" s="61">
        <f t="shared" si="21"/>
        <v>289245.79682999995</v>
      </c>
      <c r="AU12" s="20">
        <f t="shared" si="22"/>
        <v>289245.79682999995</v>
      </c>
      <c r="AV12" s="34">
        <f t="shared" si="23"/>
        <v>95479.3567104</v>
      </c>
      <c r="AW12" s="34">
        <v>71690</v>
      </c>
      <c r="AX12" s="32"/>
      <c r="AY12" s="61"/>
      <c r="AZ12" s="61">
        <f t="shared" si="24"/>
        <v>1606.35519</v>
      </c>
      <c r="BA12" s="20">
        <f t="shared" si="25"/>
        <v>1606.35519</v>
      </c>
      <c r="BB12" s="34">
        <f t="shared" si="26"/>
        <v>530.2540672</v>
      </c>
      <c r="BC12" s="34">
        <v>398</v>
      </c>
      <c r="BD12" s="32"/>
      <c r="BE12" s="61"/>
      <c r="BF12" s="61">
        <f t="shared" si="27"/>
        <v>5593.88313</v>
      </c>
      <c r="BG12" s="32">
        <f t="shared" si="28"/>
        <v>5593.88313</v>
      </c>
      <c r="BH12" s="34">
        <f t="shared" si="29"/>
        <v>1846.5276544</v>
      </c>
      <c r="BI12" s="34">
        <v>1385</v>
      </c>
      <c r="BJ12" s="32"/>
      <c r="BK12" s="61"/>
      <c r="BL12" s="61">
        <f t="shared" si="30"/>
        <v>42792.42276</v>
      </c>
      <c r="BM12" s="32">
        <f t="shared" si="31"/>
        <v>42792.42276</v>
      </c>
      <c r="BN12" s="34">
        <f t="shared" si="32"/>
        <v>14125.678028799999</v>
      </c>
      <c r="BO12" s="34">
        <v>10596</v>
      </c>
      <c r="BP12" s="32"/>
      <c r="BQ12" s="61"/>
      <c r="BR12" s="61">
        <f t="shared" si="33"/>
        <v>13481.18343</v>
      </c>
      <c r="BS12" s="32">
        <f t="shared" si="34"/>
        <v>13481.18343</v>
      </c>
      <c r="BT12" s="34">
        <f t="shared" si="35"/>
        <v>4450.1069184</v>
      </c>
      <c r="BU12" s="34">
        <v>3338</v>
      </c>
      <c r="BV12" s="32"/>
      <c r="BW12" s="61"/>
      <c r="BX12" s="61">
        <f t="shared" si="36"/>
        <v>60998.30046</v>
      </c>
      <c r="BY12" s="32">
        <f t="shared" si="37"/>
        <v>60998.30046</v>
      </c>
      <c r="BZ12" s="34">
        <f t="shared" si="38"/>
        <v>20135.3954048</v>
      </c>
      <c r="CA12" s="34">
        <v>15110</v>
      </c>
      <c r="CB12" s="32"/>
      <c r="CC12" s="61"/>
      <c r="CD12" s="61">
        <f t="shared" si="39"/>
        <v>17.317619999999998</v>
      </c>
      <c r="CE12" s="32">
        <f t="shared" si="40"/>
        <v>17.317619999999998</v>
      </c>
      <c r="CF12" s="34">
        <f t="shared" si="41"/>
        <v>5.7165056</v>
      </c>
      <c r="CG12" s="34">
        <v>4</v>
      </c>
      <c r="CH12" s="32"/>
      <c r="CI12" s="61"/>
      <c r="CJ12" s="61">
        <f t="shared" si="42"/>
        <v>7846.438499999999</v>
      </c>
      <c r="CK12" s="32">
        <f t="shared" si="43"/>
        <v>7846.438499999999</v>
      </c>
      <c r="CL12" s="34">
        <f t="shared" si="44"/>
        <v>2590.0908799999997</v>
      </c>
      <c r="CM12" s="34">
        <v>1950</v>
      </c>
      <c r="CN12" s="32"/>
      <c r="CO12" s="61"/>
      <c r="CP12" s="61">
        <f t="shared" si="45"/>
        <v>4382.330760000001</v>
      </c>
      <c r="CQ12" s="32">
        <f t="shared" si="46"/>
        <v>4382.330760000001</v>
      </c>
      <c r="CR12" s="34">
        <f t="shared" si="47"/>
        <v>1446.5970688000002</v>
      </c>
      <c r="CS12" s="34">
        <v>1087</v>
      </c>
      <c r="CT12" s="32"/>
      <c r="CU12" s="61"/>
      <c r="CV12" s="61">
        <f t="shared" si="48"/>
        <v>2931.0558300000002</v>
      </c>
      <c r="CW12" s="32">
        <f t="shared" si="49"/>
        <v>2931.0558300000002</v>
      </c>
      <c r="CX12" s="34">
        <f t="shared" si="50"/>
        <v>967.5346304000001</v>
      </c>
      <c r="CY12" s="34">
        <v>726</v>
      </c>
      <c r="CZ12" s="32"/>
      <c r="DA12" s="61"/>
      <c r="DB12" s="61">
        <f t="shared" si="51"/>
        <v>3237.71391</v>
      </c>
      <c r="DC12" s="32">
        <f t="shared" si="52"/>
        <v>3237.71391</v>
      </c>
      <c r="DD12" s="34">
        <f t="shared" si="53"/>
        <v>1068.7617408</v>
      </c>
      <c r="DE12" s="34">
        <v>805</v>
      </c>
      <c r="DF12" s="32"/>
      <c r="DG12" s="61"/>
      <c r="DH12" s="61">
        <f t="shared" si="54"/>
        <v>39458.19717</v>
      </c>
      <c r="DI12" s="32">
        <f t="shared" si="55"/>
        <v>39458.19717</v>
      </c>
      <c r="DJ12" s="34">
        <f t="shared" si="56"/>
        <v>13025.0580096</v>
      </c>
      <c r="DK12" s="34">
        <v>9771</v>
      </c>
      <c r="DL12" s="32"/>
      <c r="DM12" s="61"/>
      <c r="DN12" s="61">
        <f t="shared" si="57"/>
        <v>5889.45015</v>
      </c>
      <c r="DO12" s="32">
        <f t="shared" si="58"/>
        <v>5889.45015</v>
      </c>
      <c r="DP12" s="34">
        <f t="shared" si="59"/>
        <v>1944.0936319999998</v>
      </c>
      <c r="DQ12" s="34">
        <v>1458</v>
      </c>
      <c r="DR12" s="32"/>
      <c r="DS12" s="61"/>
      <c r="DT12" s="61">
        <f t="shared" si="60"/>
        <v>115497.04518</v>
      </c>
      <c r="DU12" s="32">
        <f t="shared" si="61"/>
        <v>115497.04518</v>
      </c>
      <c r="DV12" s="34">
        <f t="shared" si="62"/>
        <v>38125.3027584</v>
      </c>
      <c r="DW12" s="34">
        <v>28600</v>
      </c>
      <c r="DX12" s="32"/>
      <c r="DY12" s="61"/>
      <c r="DZ12" s="61">
        <f t="shared" si="63"/>
        <v>5922.91791</v>
      </c>
      <c r="EA12" s="32">
        <f t="shared" si="64"/>
        <v>5922.91791</v>
      </c>
      <c r="EB12" s="34">
        <f t="shared" si="65"/>
        <v>1955.1412608</v>
      </c>
      <c r="EC12" s="34">
        <v>1466</v>
      </c>
      <c r="ED12" s="32"/>
      <c r="EE12" s="61"/>
      <c r="EF12" s="61">
        <f t="shared" si="66"/>
        <v>14850.54018</v>
      </c>
      <c r="EG12" s="32">
        <f t="shared" si="67"/>
        <v>14850.54018</v>
      </c>
      <c r="EH12" s="34">
        <f t="shared" si="68"/>
        <v>4902.1283584</v>
      </c>
      <c r="EI12" s="34">
        <v>3689</v>
      </c>
      <c r="EJ12" s="32"/>
      <c r="EK12" s="61"/>
      <c r="EL12" s="61">
        <f t="shared" si="69"/>
        <v>150172.27137</v>
      </c>
      <c r="EM12" s="32">
        <f t="shared" si="70"/>
        <v>150172.27137</v>
      </c>
      <c r="EN12" s="34">
        <f t="shared" si="71"/>
        <v>49571.5133056</v>
      </c>
      <c r="EO12" s="34">
        <v>37204</v>
      </c>
      <c r="EP12" s="32"/>
      <c r="EQ12" s="32"/>
      <c r="ER12" s="32"/>
      <c r="ES12" s="32"/>
      <c r="ET12" s="32"/>
      <c r="EU12" s="32"/>
      <c r="EV12" s="32"/>
      <c r="EW12" s="32"/>
      <c r="EX12" s="32"/>
      <c r="EY12" s="32">
        <f t="shared" si="72"/>
        <v>0</v>
      </c>
    </row>
    <row r="13" spans="1:155" ht="12.75">
      <c r="A13" s="48">
        <v>43374</v>
      </c>
      <c r="C13" s="34">
        <v>4055000</v>
      </c>
      <c r="D13" s="34">
        <v>972900</v>
      </c>
      <c r="E13" s="34">
        <f t="shared" si="0"/>
        <v>5027900</v>
      </c>
      <c r="F13" s="34">
        <v>321152</v>
      </c>
      <c r="G13" s="34">
        <f t="shared" si="1"/>
        <v>241163</v>
      </c>
      <c r="I13" s="47">
        <f>'2012D Academic'!I13</f>
        <v>682991.3545</v>
      </c>
      <c r="J13" s="47">
        <f>'2012D Academic'!J13</f>
        <v>163867.39551000006</v>
      </c>
      <c r="K13" s="47">
        <f t="shared" si="2"/>
        <v>846858.7500100001</v>
      </c>
      <c r="L13" s="47">
        <f>'2012D Academic'!L13</f>
        <v>54092.2415488</v>
      </c>
      <c r="M13" s="47">
        <f>'2012D Academic'!M13</f>
        <v>40629</v>
      </c>
      <c r="O13" s="47">
        <f t="shared" si="3"/>
        <v>3372009.0509999995</v>
      </c>
      <c r="P13" s="39">
        <f t="shared" si="4"/>
        <v>809032.7017799998</v>
      </c>
      <c r="Q13" s="47">
        <f t="shared" si="5"/>
        <v>4181041.7527799993</v>
      </c>
      <c r="R13" s="39">
        <f t="shared" si="6"/>
        <v>267059.7905664</v>
      </c>
      <c r="S13" s="39">
        <f t="shared" si="7"/>
        <v>200534</v>
      </c>
      <c r="U13" s="61">
        <f t="shared" si="8"/>
        <v>11346.2955</v>
      </c>
      <c r="V13" s="61">
        <f t="shared" si="9"/>
        <v>2722.27149</v>
      </c>
      <c r="W13" s="20">
        <f t="shared" si="10"/>
        <v>14068.56699</v>
      </c>
      <c r="X13" s="34">
        <f t="shared" si="11"/>
        <v>898.6154112</v>
      </c>
      <c r="Y13" s="34">
        <v>680</v>
      </c>
      <c r="AA13" s="61">
        <f>$C13*AC$7</f>
        <v>61067.894499999995</v>
      </c>
      <c r="AB13" s="61">
        <f t="shared" si="12"/>
        <v>14651.77671</v>
      </c>
      <c r="AC13" s="20">
        <f t="shared" si="13"/>
        <v>75719.67121</v>
      </c>
      <c r="AD13" s="34">
        <f t="shared" si="14"/>
        <v>4836.5170048</v>
      </c>
      <c r="AE13" s="34">
        <v>3653</v>
      </c>
      <c r="AG13" s="61">
        <f>$C13*AI$7</f>
        <v>95725.9795</v>
      </c>
      <c r="AH13" s="61">
        <f t="shared" si="15"/>
        <v>22967.15301</v>
      </c>
      <c r="AI13" s="32">
        <f t="shared" si="16"/>
        <v>118693.13251</v>
      </c>
      <c r="AJ13" s="34">
        <f t="shared" si="17"/>
        <v>7581.4031488</v>
      </c>
      <c r="AK13" s="34">
        <v>5743</v>
      </c>
      <c r="AM13" s="61">
        <f>$C13*AO$7</f>
        <v>19873.9605</v>
      </c>
      <c r="AN13" s="61">
        <f t="shared" si="18"/>
        <v>4768.28019</v>
      </c>
      <c r="AO13" s="20">
        <f t="shared" si="19"/>
        <v>24642.240690000002</v>
      </c>
      <c r="AP13" s="34">
        <f t="shared" si="20"/>
        <v>1573.9980672000002</v>
      </c>
      <c r="AQ13" s="34">
        <v>1181</v>
      </c>
      <c r="AS13" s="61">
        <f>$C13*AU$7</f>
        <v>1205562.4485</v>
      </c>
      <c r="AT13" s="61">
        <f t="shared" si="21"/>
        <v>289245.79682999995</v>
      </c>
      <c r="AU13" s="20">
        <f t="shared" si="22"/>
        <v>1494808.2453299998</v>
      </c>
      <c r="AV13" s="34">
        <f t="shared" si="23"/>
        <v>95479.3567104</v>
      </c>
      <c r="AW13" s="34">
        <v>71690</v>
      </c>
      <c r="AX13" s="32"/>
      <c r="AY13" s="61">
        <f>$C13*BA$7</f>
        <v>6695.2105</v>
      </c>
      <c r="AZ13" s="61">
        <f t="shared" si="24"/>
        <v>1606.35519</v>
      </c>
      <c r="BA13" s="20">
        <f t="shared" si="25"/>
        <v>8301.56569</v>
      </c>
      <c r="BB13" s="34">
        <f t="shared" si="26"/>
        <v>530.2540672</v>
      </c>
      <c r="BC13" s="34">
        <v>398</v>
      </c>
      <c r="BD13" s="32"/>
      <c r="BE13" s="61">
        <f>$C13*BG$7</f>
        <v>23315.0335</v>
      </c>
      <c r="BF13" s="61">
        <f t="shared" si="27"/>
        <v>5593.88313</v>
      </c>
      <c r="BG13" s="32">
        <f t="shared" si="28"/>
        <v>28908.91663</v>
      </c>
      <c r="BH13" s="34">
        <f t="shared" si="29"/>
        <v>1846.5276544</v>
      </c>
      <c r="BI13" s="34">
        <v>1385</v>
      </c>
      <c r="BJ13" s="32"/>
      <c r="BK13" s="61">
        <f>$C13*BM$7</f>
        <v>178356.742</v>
      </c>
      <c r="BL13" s="61">
        <f t="shared" si="30"/>
        <v>42792.42276</v>
      </c>
      <c r="BM13" s="32">
        <f t="shared" si="31"/>
        <v>221149.16476</v>
      </c>
      <c r="BN13" s="34">
        <f t="shared" si="32"/>
        <v>14125.678028799999</v>
      </c>
      <c r="BO13" s="34">
        <v>10596</v>
      </c>
      <c r="BP13" s="32"/>
      <c r="BQ13" s="61">
        <f>$C13*BS$7</f>
        <v>56188.9185</v>
      </c>
      <c r="BR13" s="61">
        <f t="shared" si="33"/>
        <v>13481.18343</v>
      </c>
      <c r="BS13" s="32">
        <f t="shared" si="34"/>
        <v>69670.10193</v>
      </c>
      <c r="BT13" s="34">
        <f t="shared" si="35"/>
        <v>4450.1069184</v>
      </c>
      <c r="BU13" s="34">
        <v>3338</v>
      </c>
      <c r="BV13" s="32"/>
      <c r="BW13" s="61">
        <f>$C13*BY$7</f>
        <v>254237.957</v>
      </c>
      <c r="BX13" s="61">
        <f t="shared" si="36"/>
        <v>60998.30046</v>
      </c>
      <c r="BY13" s="32">
        <f t="shared" si="37"/>
        <v>315236.25746</v>
      </c>
      <c r="BZ13" s="34">
        <f t="shared" si="38"/>
        <v>20135.3954048</v>
      </c>
      <c r="CA13" s="34">
        <v>15110</v>
      </c>
      <c r="CB13" s="32"/>
      <c r="CC13" s="61">
        <f>$C13*CE$7</f>
        <v>72.179</v>
      </c>
      <c r="CD13" s="61">
        <f t="shared" si="39"/>
        <v>17.317619999999998</v>
      </c>
      <c r="CE13" s="32">
        <f t="shared" si="40"/>
        <v>89.49662000000001</v>
      </c>
      <c r="CF13" s="34">
        <f t="shared" si="41"/>
        <v>5.7165056</v>
      </c>
      <c r="CG13" s="34">
        <v>4</v>
      </c>
      <c r="CH13" s="32"/>
      <c r="CI13" s="61">
        <f>$C13*CK$7</f>
        <v>32703.574999999997</v>
      </c>
      <c r="CJ13" s="61">
        <f t="shared" si="42"/>
        <v>7846.438499999999</v>
      </c>
      <c r="CK13" s="32">
        <f t="shared" si="43"/>
        <v>40550.013499999994</v>
      </c>
      <c r="CL13" s="34">
        <f t="shared" si="44"/>
        <v>2590.0908799999997</v>
      </c>
      <c r="CM13" s="34">
        <v>1950</v>
      </c>
      <c r="CN13" s="32"/>
      <c r="CO13" s="61">
        <f>$C13*CQ$7</f>
        <v>18265.342</v>
      </c>
      <c r="CP13" s="61">
        <f t="shared" si="45"/>
        <v>4382.330760000001</v>
      </c>
      <c r="CQ13" s="32">
        <f t="shared" si="46"/>
        <v>22647.67276</v>
      </c>
      <c r="CR13" s="34">
        <f t="shared" si="47"/>
        <v>1446.5970688000002</v>
      </c>
      <c r="CS13" s="34">
        <v>1087</v>
      </c>
      <c r="CT13" s="32"/>
      <c r="CU13" s="61">
        <f>$C13*CW$7</f>
        <v>12216.4985</v>
      </c>
      <c r="CV13" s="61">
        <f t="shared" si="48"/>
        <v>2931.0558300000002</v>
      </c>
      <c r="CW13" s="32">
        <f t="shared" si="49"/>
        <v>15147.554329999999</v>
      </c>
      <c r="CX13" s="34">
        <f t="shared" si="50"/>
        <v>967.5346304000001</v>
      </c>
      <c r="CY13" s="34">
        <v>726</v>
      </c>
      <c r="CZ13" s="32"/>
      <c r="DA13" s="61">
        <f>$C13*DC$7</f>
        <v>13494.6345</v>
      </c>
      <c r="DB13" s="61">
        <f t="shared" si="51"/>
        <v>3237.71391</v>
      </c>
      <c r="DC13" s="32">
        <f t="shared" si="52"/>
        <v>16732.34841</v>
      </c>
      <c r="DD13" s="34">
        <f t="shared" si="53"/>
        <v>1068.7617408</v>
      </c>
      <c r="DE13" s="34">
        <v>805</v>
      </c>
      <c r="DF13" s="32"/>
      <c r="DG13" s="61">
        <f>$C13*DI$7</f>
        <v>164459.8515</v>
      </c>
      <c r="DH13" s="61">
        <f t="shared" si="54"/>
        <v>39458.19717</v>
      </c>
      <c r="DI13" s="32">
        <f t="shared" si="55"/>
        <v>203918.04867</v>
      </c>
      <c r="DJ13" s="34">
        <f t="shared" si="56"/>
        <v>13025.0580096</v>
      </c>
      <c r="DK13" s="34">
        <v>9771</v>
      </c>
      <c r="DL13" s="32"/>
      <c r="DM13" s="61">
        <f>$C13*DO$7</f>
        <v>24546.9425</v>
      </c>
      <c r="DN13" s="61">
        <f t="shared" si="57"/>
        <v>5889.45015</v>
      </c>
      <c r="DO13" s="32">
        <f t="shared" si="58"/>
        <v>30436.39265</v>
      </c>
      <c r="DP13" s="34">
        <f t="shared" si="59"/>
        <v>1944.0936319999998</v>
      </c>
      <c r="DQ13" s="34">
        <v>1458</v>
      </c>
      <c r="DR13" s="32"/>
      <c r="DS13" s="61">
        <f>$C13*DU$7</f>
        <v>481386.081</v>
      </c>
      <c r="DT13" s="61">
        <f t="shared" si="60"/>
        <v>115497.04518</v>
      </c>
      <c r="DU13" s="32">
        <f t="shared" si="61"/>
        <v>596883.12618</v>
      </c>
      <c r="DV13" s="34">
        <f t="shared" si="62"/>
        <v>38125.3027584</v>
      </c>
      <c r="DW13" s="34">
        <v>28600</v>
      </c>
      <c r="DX13" s="32"/>
      <c r="DY13" s="61">
        <f>$C13*EA$7</f>
        <v>24686.4345</v>
      </c>
      <c r="DZ13" s="61">
        <f t="shared" si="63"/>
        <v>5922.91791</v>
      </c>
      <c r="EA13" s="32">
        <f t="shared" si="64"/>
        <v>30609.35241</v>
      </c>
      <c r="EB13" s="34">
        <f t="shared" si="65"/>
        <v>1955.1412608</v>
      </c>
      <c r="EC13" s="34">
        <v>1466</v>
      </c>
      <c r="ED13" s="32"/>
      <c r="EE13" s="61">
        <f>$C13*EG$7</f>
        <v>61896.331</v>
      </c>
      <c r="EF13" s="61">
        <f t="shared" si="66"/>
        <v>14850.54018</v>
      </c>
      <c r="EG13" s="32">
        <f t="shared" si="67"/>
        <v>76746.87118</v>
      </c>
      <c r="EH13" s="34">
        <f t="shared" si="68"/>
        <v>4902.1283584</v>
      </c>
      <c r="EI13" s="34">
        <v>3689</v>
      </c>
      <c r="EJ13" s="32"/>
      <c r="EK13" s="61">
        <f>$C13*EM$7</f>
        <v>625910.7415</v>
      </c>
      <c r="EL13" s="61">
        <f t="shared" si="69"/>
        <v>150172.27137</v>
      </c>
      <c r="EM13" s="32">
        <f t="shared" si="70"/>
        <v>776083.01287</v>
      </c>
      <c r="EN13" s="34">
        <f t="shared" si="71"/>
        <v>49571.5133056</v>
      </c>
      <c r="EO13" s="34">
        <v>37204</v>
      </c>
      <c r="EP13" s="32"/>
      <c r="EQ13" s="32"/>
      <c r="ER13" s="32"/>
      <c r="ES13" s="32"/>
      <c r="ET13" s="32"/>
      <c r="EU13" s="32"/>
      <c r="EV13" s="32"/>
      <c r="EW13" s="32"/>
      <c r="EX13" s="32"/>
      <c r="EY13" s="32">
        <f t="shared" si="72"/>
        <v>0</v>
      </c>
    </row>
    <row r="14" spans="1:155" ht="12.75">
      <c r="A14" s="48">
        <v>43556</v>
      </c>
      <c r="D14" s="34">
        <v>871525</v>
      </c>
      <c r="E14" s="34">
        <f t="shared" si="0"/>
        <v>871525</v>
      </c>
      <c r="F14" s="34">
        <v>321152</v>
      </c>
      <c r="G14" s="34">
        <f t="shared" si="1"/>
        <v>241163</v>
      </c>
      <c r="I14" s="47"/>
      <c r="J14" s="47">
        <f>'2012D Academic'!J14</f>
        <v>146792.6116475</v>
      </c>
      <c r="K14" s="47">
        <f t="shared" si="2"/>
        <v>146792.6116475</v>
      </c>
      <c r="L14" s="47">
        <f>'2012D Academic'!L14</f>
        <v>54092.2415488</v>
      </c>
      <c r="M14" s="47">
        <f>'2012D Academic'!M14</f>
        <v>40629</v>
      </c>
      <c r="O14" s="47"/>
      <c r="P14" s="39">
        <f t="shared" si="4"/>
        <v>724732.475505</v>
      </c>
      <c r="Q14" s="47">
        <f t="shared" si="5"/>
        <v>724732.475505</v>
      </c>
      <c r="R14" s="39">
        <f t="shared" si="6"/>
        <v>267059.7905664</v>
      </c>
      <c r="S14" s="39">
        <f t="shared" si="7"/>
        <v>200534</v>
      </c>
      <c r="U14" s="61"/>
      <c r="V14" s="61">
        <f t="shared" si="9"/>
        <v>2438.6141025</v>
      </c>
      <c r="W14" s="20">
        <f t="shared" si="10"/>
        <v>2438.6141025</v>
      </c>
      <c r="X14" s="34">
        <f t="shared" si="11"/>
        <v>898.6154112</v>
      </c>
      <c r="Y14" s="34">
        <v>680</v>
      </c>
      <c r="AA14" s="61"/>
      <c r="AB14" s="61">
        <f t="shared" si="12"/>
        <v>13125.0793475</v>
      </c>
      <c r="AC14" s="20">
        <f t="shared" si="13"/>
        <v>13125.0793475</v>
      </c>
      <c r="AD14" s="34">
        <f t="shared" si="14"/>
        <v>4836.5170048</v>
      </c>
      <c r="AE14" s="34">
        <v>3653</v>
      </c>
      <c r="AG14" s="61"/>
      <c r="AH14" s="61">
        <f t="shared" si="15"/>
        <v>20574.0035225</v>
      </c>
      <c r="AI14" s="32">
        <f t="shared" si="16"/>
        <v>20574.0035225</v>
      </c>
      <c r="AJ14" s="34">
        <f t="shared" si="17"/>
        <v>7581.4031488</v>
      </c>
      <c r="AK14" s="34">
        <v>5743</v>
      </c>
      <c r="AM14" s="61"/>
      <c r="AN14" s="61">
        <f t="shared" si="18"/>
        <v>4271.431177500001</v>
      </c>
      <c r="AO14" s="20">
        <f t="shared" si="19"/>
        <v>4271.431177500001</v>
      </c>
      <c r="AP14" s="34">
        <f t="shared" si="20"/>
        <v>1573.9980672000002</v>
      </c>
      <c r="AQ14" s="34">
        <v>1181</v>
      </c>
      <c r="AS14" s="61"/>
      <c r="AT14" s="61">
        <f t="shared" si="21"/>
        <v>259106.73561749997</v>
      </c>
      <c r="AU14" s="20">
        <f t="shared" si="22"/>
        <v>259106.73561749997</v>
      </c>
      <c r="AV14" s="34">
        <f t="shared" si="23"/>
        <v>95479.3567104</v>
      </c>
      <c r="AW14" s="34">
        <v>71690</v>
      </c>
      <c r="AX14" s="32"/>
      <c r="AY14" s="61"/>
      <c r="AZ14" s="61">
        <f t="shared" si="24"/>
        <v>1438.9749275</v>
      </c>
      <c r="BA14" s="20">
        <f t="shared" si="25"/>
        <v>1438.9749275</v>
      </c>
      <c r="BB14" s="34">
        <f t="shared" si="26"/>
        <v>530.2540672</v>
      </c>
      <c r="BC14" s="34">
        <v>398</v>
      </c>
      <c r="BD14" s="32"/>
      <c r="BE14" s="61"/>
      <c r="BF14" s="61">
        <f t="shared" si="27"/>
        <v>5011.0072925</v>
      </c>
      <c r="BG14" s="32">
        <f t="shared" si="28"/>
        <v>5011.0072925</v>
      </c>
      <c r="BH14" s="34">
        <f t="shared" si="29"/>
        <v>1846.5276544</v>
      </c>
      <c r="BI14" s="34">
        <v>1385</v>
      </c>
      <c r="BJ14" s="32"/>
      <c r="BK14" s="61"/>
      <c r="BL14" s="61">
        <f t="shared" si="30"/>
        <v>38333.50421</v>
      </c>
      <c r="BM14" s="32">
        <f t="shared" si="31"/>
        <v>38333.50421</v>
      </c>
      <c r="BN14" s="34">
        <f t="shared" si="32"/>
        <v>14125.678028799999</v>
      </c>
      <c r="BO14" s="34">
        <v>10596</v>
      </c>
      <c r="BP14" s="32"/>
      <c r="BQ14" s="61"/>
      <c r="BR14" s="61">
        <f t="shared" si="33"/>
        <v>12076.4604675</v>
      </c>
      <c r="BS14" s="32">
        <f t="shared" si="34"/>
        <v>12076.4604675</v>
      </c>
      <c r="BT14" s="34">
        <f t="shared" si="35"/>
        <v>4450.1069184</v>
      </c>
      <c r="BU14" s="34">
        <v>3338</v>
      </c>
      <c r="BV14" s="32"/>
      <c r="BW14" s="61"/>
      <c r="BX14" s="61">
        <f t="shared" si="36"/>
        <v>54642.351535</v>
      </c>
      <c r="BY14" s="32">
        <f t="shared" si="37"/>
        <v>54642.351535</v>
      </c>
      <c r="BZ14" s="34">
        <f t="shared" si="38"/>
        <v>20135.3954048</v>
      </c>
      <c r="CA14" s="34">
        <v>15110</v>
      </c>
      <c r="CB14" s="32"/>
      <c r="CC14" s="61"/>
      <c r="CD14" s="61">
        <f t="shared" si="39"/>
        <v>15.513145</v>
      </c>
      <c r="CE14" s="32">
        <f t="shared" si="40"/>
        <v>15.513145</v>
      </c>
      <c r="CF14" s="34">
        <f t="shared" si="41"/>
        <v>5.7165056</v>
      </c>
      <c r="CG14" s="34">
        <v>4</v>
      </c>
      <c r="CH14" s="32"/>
      <c r="CI14" s="61"/>
      <c r="CJ14" s="61">
        <f t="shared" si="42"/>
        <v>7028.849125</v>
      </c>
      <c r="CK14" s="32">
        <f t="shared" si="43"/>
        <v>7028.849125</v>
      </c>
      <c r="CL14" s="34">
        <f t="shared" si="44"/>
        <v>2590.0908799999997</v>
      </c>
      <c r="CM14" s="34">
        <v>1950</v>
      </c>
      <c r="CN14" s="32"/>
      <c r="CO14" s="61"/>
      <c r="CP14" s="61">
        <f t="shared" si="45"/>
        <v>3925.6972100000003</v>
      </c>
      <c r="CQ14" s="32">
        <f t="shared" si="46"/>
        <v>3925.6972100000003</v>
      </c>
      <c r="CR14" s="34">
        <f t="shared" si="47"/>
        <v>1446.5970688000002</v>
      </c>
      <c r="CS14" s="34">
        <v>1087</v>
      </c>
      <c r="CT14" s="32"/>
      <c r="CU14" s="61"/>
      <c r="CV14" s="61">
        <f t="shared" si="48"/>
        <v>2625.6433675000003</v>
      </c>
      <c r="CW14" s="32">
        <f t="shared" si="49"/>
        <v>2625.6433675000003</v>
      </c>
      <c r="CX14" s="34">
        <f t="shared" si="50"/>
        <v>967.5346304000001</v>
      </c>
      <c r="CY14" s="34">
        <v>726</v>
      </c>
      <c r="CZ14" s="32"/>
      <c r="DA14" s="61"/>
      <c r="DB14" s="61">
        <f t="shared" si="51"/>
        <v>2900.3480475</v>
      </c>
      <c r="DC14" s="32">
        <f t="shared" si="52"/>
        <v>2900.3480475</v>
      </c>
      <c r="DD14" s="34">
        <f t="shared" si="53"/>
        <v>1068.7617408</v>
      </c>
      <c r="DE14" s="34">
        <v>805</v>
      </c>
      <c r="DF14" s="32"/>
      <c r="DG14" s="61"/>
      <c r="DH14" s="61">
        <f t="shared" si="54"/>
        <v>35346.7008825</v>
      </c>
      <c r="DI14" s="32">
        <f t="shared" si="55"/>
        <v>35346.7008825</v>
      </c>
      <c r="DJ14" s="34">
        <f t="shared" si="56"/>
        <v>13025.0580096</v>
      </c>
      <c r="DK14" s="34">
        <v>9771</v>
      </c>
      <c r="DL14" s="32"/>
      <c r="DM14" s="61"/>
      <c r="DN14" s="61">
        <f t="shared" si="57"/>
        <v>5275.7765875</v>
      </c>
      <c r="DO14" s="32">
        <f t="shared" si="58"/>
        <v>5275.7765875</v>
      </c>
      <c r="DP14" s="34">
        <f t="shared" si="59"/>
        <v>1944.0936319999998</v>
      </c>
      <c r="DQ14" s="34">
        <v>1458</v>
      </c>
      <c r="DR14" s="32"/>
      <c r="DS14" s="61"/>
      <c r="DT14" s="61">
        <f t="shared" si="60"/>
        <v>103462.393155</v>
      </c>
      <c r="DU14" s="32">
        <f t="shared" si="61"/>
        <v>103462.393155</v>
      </c>
      <c r="DV14" s="34">
        <f t="shared" si="62"/>
        <v>38125.3027584</v>
      </c>
      <c r="DW14" s="34">
        <v>28600</v>
      </c>
      <c r="DX14" s="32"/>
      <c r="DY14" s="61"/>
      <c r="DZ14" s="61">
        <f t="shared" si="63"/>
        <v>5305.7570475</v>
      </c>
      <c r="EA14" s="32">
        <f t="shared" si="64"/>
        <v>5305.7570475</v>
      </c>
      <c r="EB14" s="34">
        <f t="shared" si="65"/>
        <v>1955.1412608</v>
      </c>
      <c r="EC14" s="34">
        <v>1466</v>
      </c>
      <c r="ED14" s="32"/>
      <c r="EE14" s="61"/>
      <c r="EF14" s="61">
        <f t="shared" si="66"/>
        <v>13303.131905</v>
      </c>
      <c r="EG14" s="32">
        <f t="shared" si="67"/>
        <v>13303.131905</v>
      </c>
      <c r="EH14" s="34">
        <f t="shared" si="68"/>
        <v>4902.1283584</v>
      </c>
      <c r="EI14" s="34">
        <v>3689</v>
      </c>
      <c r="EJ14" s="32"/>
      <c r="EK14" s="61"/>
      <c r="EL14" s="61">
        <f t="shared" si="69"/>
        <v>134524.5028325</v>
      </c>
      <c r="EM14" s="32">
        <f t="shared" si="70"/>
        <v>134524.5028325</v>
      </c>
      <c r="EN14" s="34">
        <f t="shared" si="71"/>
        <v>49571.5133056</v>
      </c>
      <c r="EO14" s="34">
        <v>37204</v>
      </c>
      <c r="EP14" s="32"/>
      <c r="EQ14" s="32"/>
      <c r="ER14" s="32"/>
      <c r="ES14" s="32"/>
      <c r="ET14" s="32"/>
      <c r="EU14" s="32"/>
      <c r="EV14" s="32"/>
      <c r="EW14" s="32"/>
      <c r="EX14" s="32"/>
      <c r="EY14" s="32">
        <f t="shared" si="72"/>
        <v>0</v>
      </c>
    </row>
    <row r="15" spans="1:155" ht="12.75">
      <c r="A15" s="48">
        <v>43739</v>
      </c>
      <c r="C15" s="34">
        <v>4265000</v>
      </c>
      <c r="D15" s="34">
        <v>871525</v>
      </c>
      <c r="E15" s="34">
        <f t="shared" si="0"/>
        <v>5136525</v>
      </c>
      <c r="F15" s="34">
        <v>321152</v>
      </c>
      <c r="G15" s="34">
        <f t="shared" si="1"/>
        <v>241163</v>
      </c>
      <c r="I15" s="47">
        <f>'2012D Academic'!I15</f>
        <v>718362.0534999999</v>
      </c>
      <c r="J15" s="47">
        <f>'2012D Academic'!J15</f>
        <v>146792.6116475</v>
      </c>
      <c r="K15" s="47">
        <f t="shared" si="2"/>
        <v>865154.6651474999</v>
      </c>
      <c r="L15" s="47">
        <f>'2012D Academic'!L15</f>
        <v>54092.2415488</v>
      </c>
      <c r="M15" s="47">
        <f>'2012D Academic'!M15</f>
        <v>40629</v>
      </c>
      <c r="O15" s="47">
        <f t="shared" si="3"/>
        <v>3546638.373</v>
      </c>
      <c r="P15" s="39">
        <f t="shared" si="4"/>
        <v>724732.475505</v>
      </c>
      <c r="Q15" s="47">
        <f t="shared" si="5"/>
        <v>4271370.848505</v>
      </c>
      <c r="R15" s="39">
        <f t="shared" si="6"/>
        <v>267059.7905664</v>
      </c>
      <c r="S15" s="39">
        <f t="shared" si="7"/>
        <v>200534</v>
      </c>
      <c r="U15" s="61">
        <f t="shared" si="8"/>
        <v>11933.8965</v>
      </c>
      <c r="V15" s="61">
        <f t="shared" si="9"/>
        <v>2438.6141025</v>
      </c>
      <c r="W15" s="20">
        <f t="shared" si="10"/>
        <v>14372.5106025</v>
      </c>
      <c r="X15" s="34">
        <f t="shared" si="11"/>
        <v>898.6154112</v>
      </c>
      <c r="Y15" s="34">
        <v>680</v>
      </c>
      <c r="AA15" s="61">
        <f>$C15*AC$7</f>
        <v>64230.4735</v>
      </c>
      <c r="AB15" s="61">
        <f t="shared" si="12"/>
        <v>13125.0793475</v>
      </c>
      <c r="AC15" s="20">
        <f t="shared" si="13"/>
        <v>77355.5528475</v>
      </c>
      <c r="AD15" s="34">
        <f t="shared" si="14"/>
        <v>4836.5170048</v>
      </c>
      <c r="AE15" s="34">
        <v>3653</v>
      </c>
      <c r="AG15" s="61">
        <f>$C15*AI$7</f>
        <v>100683.4285</v>
      </c>
      <c r="AH15" s="61">
        <f t="shared" si="15"/>
        <v>20574.0035225</v>
      </c>
      <c r="AI15" s="32">
        <f t="shared" si="16"/>
        <v>121257.4320225</v>
      </c>
      <c r="AJ15" s="34">
        <f t="shared" si="17"/>
        <v>7581.4031488</v>
      </c>
      <c r="AK15" s="34">
        <v>5743</v>
      </c>
      <c r="AM15" s="61">
        <f>$C15*AO$7</f>
        <v>20903.1915</v>
      </c>
      <c r="AN15" s="61">
        <f t="shared" si="18"/>
        <v>4271.431177500001</v>
      </c>
      <c r="AO15" s="20">
        <f t="shared" si="19"/>
        <v>25174.622677500003</v>
      </c>
      <c r="AP15" s="34">
        <f t="shared" si="20"/>
        <v>1573.9980672000002</v>
      </c>
      <c r="AQ15" s="34">
        <v>1181</v>
      </c>
      <c r="AS15" s="61">
        <f>$C15*AU$7</f>
        <v>1267996.0155</v>
      </c>
      <c r="AT15" s="61">
        <f t="shared" si="21"/>
        <v>259106.73561749997</v>
      </c>
      <c r="AU15" s="20">
        <f t="shared" si="22"/>
        <v>1527102.7511175</v>
      </c>
      <c r="AV15" s="34">
        <f t="shared" si="23"/>
        <v>95479.3567104</v>
      </c>
      <c r="AW15" s="34">
        <v>71690</v>
      </c>
      <c r="AX15" s="32"/>
      <c r="AY15" s="61">
        <f>$C15*BA$7</f>
        <v>7041.9415</v>
      </c>
      <c r="AZ15" s="61">
        <f t="shared" si="24"/>
        <v>1438.9749275</v>
      </c>
      <c r="BA15" s="20">
        <f t="shared" si="25"/>
        <v>8480.9164275</v>
      </c>
      <c r="BB15" s="34">
        <f t="shared" si="26"/>
        <v>530.2540672</v>
      </c>
      <c r="BC15" s="34">
        <v>398</v>
      </c>
      <c r="BD15" s="32"/>
      <c r="BE15" s="61">
        <f>$C15*BG$7</f>
        <v>24522.4705</v>
      </c>
      <c r="BF15" s="61">
        <f t="shared" si="27"/>
        <v>5011.0072925</v>
      </c>
      <c r="BG15" s="32">
        <f t="shared" si="28"/>
        <v>29533.4777925</v>
      </c>
      <c r="BH15" s="34">
        <f t="shared" si="29"/>
        <v>1846.5276544</v>
      </c>
      <c r="BI15" s="34">
        <v>1385</v>
      </c>
      <c r="BJ15" s="32"/>
      <c r="BK15" s="61">
        <f>$C15*BM$7</f>
        <v>187593.466</v>
      </c>
      <c r="BL15" s="61">
        <f t="shared" si="30"/>
        <v>38333.50421</v>
      </c>
      <c r="BM15" s="32">
        <f t="shared" si="31"/>
        <v>225926.97021</v>
      </c>
      <c r="BN15" s="34">
        <f t="shared" si="32"/>
        <v>14125.678028799999</v>
      </c>
      <c r="BO15" s="34">
        <v>10596</v>
      </c>
      <c r="BP15" s="32"/>
      <c r="BQ15" s="61">
        <f>$C15*BS$7</f>
        <v>59098.8255</v>
      </c>
      <c r="BR15" s="61">
        <f t="shared" si="33"/>
        <v>12076.4604675</v>
      </c>
      <c r="BS15" s="32">
        <f t="shared" si="34"/>
        <v>71175.28596749999</v>
      </c>
      <c r="BT15" s="34">
        <f t="shared" si="35"/>
        <v>4450.1069184</v>
      </c>
      <c r="BU15" s="34">
        <v>3338</v>
      </c>
      <c r="BV15" s="32"/>
      <c r="BW15" s="61">
        <f>$C15*BY$7</f>
        <v>267404.411</v>
      </c>
      <c r="BX15" s="61">
        <f t="shared" si="36"/>
        <v>54642.351535</v>
      </c>
      <c r="BY15" s="32">
        <f t="shared" si="37"/>
        <v>322046.76253500005</v>
      </c>
      <c r="BZ15" s="34">
        <f t="shared" si="38"/>
        <v>20135.3954048</v>
      </c>
      <c r="CA15" s="34">
        <v>15110</v>
      </c>
      <c r="CB15" s="32"/>
      <c r="CC15" s="61">
        <f>$C15*CE$7</f>
        <v>75.917</v>
      </c>
      <c r="CD15" s="61">
        <f t="shared" si="39"/>
        <v>15.513145</v>
      </c>
      <c r="CE15" s="32">
        <f t="shared" si="40"/>
        <v>91.430145</v>
      </c>
      <c r="CF15" s="34">
        <f t="shared" si="41"/>
        <v>5.7165056</v>
      </c>
      <c r="CG15" s="34">
        <v>4</v>
      </c>
      <c r="CH15" s="32"/>
      <c r="CI15" s="61">
        <f>$C15*CK$7</f>
        <v>34397.225</v>
      </c>
      <c r="CJ15" s="61">
        <f t="shared" si="42"/>
        <v>7028.849125</v>
      </c>
      <c r="CK15" s="32">
        <f t="shared" si="43"/>
        <v>41426.074125</v>
      </c>
      <c r="CL15" s="34">
        <f t="shared" si="44"/>
        <v>2590.0908799999997</v>
      </c>
      <c r="CM15" s="34">
        <v>1950</v>
      </c>
      <c r="CN15" s="32"/>
      <c r="CO15" s="61">
        <f>$C15*CQ$7</f>
        <v>19211.266000000003</v>
      </c>
      <c r="CP15" s="61">
        <f t="shared" si="45"/>
        <v>3925.6972100000003</v>
      </c>
      <c r="CQ15" s="32">
        <f t="shared" si="46"/>
        <v>23136.96321</v>
      </c>
      <c r="CR15" s="34">
        <f t="shared" si="47"/>
        <v>1446.5970688000002</v>
      </c>
      <c r="CS15" s="34">
        <v>1087</v>
      </c>
      <c r="CT15" s="32"/>
      <c r="CU15" s="61">
        <f>$C15*CW$7</f>
        <v>12849.165500000001</v>
      </c>
      <c r="CV15" s="61">
        <f t="shared" si="48"/>
        <v>2625.6433675000003</v>
      </c>
      <c r="CW15" s="32">
        <f t="shared" si="49"/>
        <v>15474.808867500002</v>
      </c>
      <c r="CX15" s="34">
        <f t="shared" si="50"/>
        <v>967.5346304000001</v>
      </c>
      <c r="CY15" s="34">
        <v>726</v>
      </c>
      <c r="CZ15" s="32"/>
      <c r="DA15" s="61">
        <f>$C15*DC$7</f>
        <v>14193.4935</v>
      </c>
      <c r="DB15" s="61">
        <f t="shared" si="51"/>
        <v>2900.3480475</v>
      </c>
      <c r="DC15" s="32">
        <f t="shared" si="52"/>
        <v>17093.8415475</v>
      </c>
      <c r="DD15" s="34">
        <f t="shared" si="53"/>
        <v>1068.7617408</v>
      </c>
      <c r="DE15" s="34">
        <v>805</v>
      </c>
      <c r="DF15" s="32"/>
      <c r="DG15" s="61">
        <f>$C15*DI$7</f>
        <v>172976.8845</v>
      </c>
      <c r="DH15" s="61">
        <f t="shared" si="54"/>
        <v>35346.7008825</v>
      </c>
      <c r="DI15" s="32">
        <f t="shared" si="55"/>
        <v>208323.5853825</v>
      </c>
      <c r="DJ15" s="34">
        <f t="shared" si="56"/>
        <v>13025.0580096</v>
      </c>
      <c r="DK15" s="34">
        <v>9771</v>
      </c>
      <c r="DL15" s="32"/>
      <c r="DM15" s="61">
        <f>$C15*DO$7</f>
        <v>25818.177499999998</v>
      </c>
      <c r="DN15" s="61">
        <f t="shared" si="57"/>
        <v>5275.7765875</v>
      </c>
      <c r="DO15" s="32">
        <f t="shared" si="58"/>
        <v>31093.9540875</v>
      </c>
      <c r="DP15" s="34">
        <f t="shared" si="59"/>
        <v>1944.0936319999998</v>
      </c>
      <c r="DQ15" s="34">
        <v>1458</v>
      </c>
      <c r="DR15" s="32"/>
      <c r="DS15" s="61">
        <f>$C15*DU$7</f>
        <v>506316.063</v>
      </c>
      <c r="DT15" s="61">
        <f t="shared" si="60"/>
        <v>103462.393155</v>
      </c>
      <c r="DU15" s="32">
        <f t="shared" si="61"/>
        <v>609778.456155</v>
      </c>
      <c r="DV15" s="34">
        <f t="shared" si="62"/>
        <v>38125.3027584</v>
      </c>
      <c r="DW15" s="34">
        <v>28600</v>
      </c>
      <c r="DX15" s="32"/>
      <c r="DY15" s="61">
        <f>$C15*EA$7</f>
        <v>25964.893500000002</v>
      </c>
      <c r="DZ15" s="61">
        <f t="shared" si="63"/>
        <v>5305.7570475</v>
      </c>
      <c r="EA15" s="32">
        <f t="shared" si="64"/>
        <v>31270.6505475</v>
      </c>
      <c r="EB15" s="34">
        <f t="shared" si="65"/>
        <v>1955.1412608</v>
      </c>
      <c r="EC15" s="34">
        <v>1466</v>
      </c>
      <c r="ED15" s="32"/>
      <c r="EE15" s="61">
        <f>$C15*EG$7</f>
        <v>65101.813</v>
      </c>
      <c r="EF15" s="61">
        <f t="shared" si="66"/>
        <v>13303.131905</v>
      </c>
      <c r="EG15" s="32">
        <f t="shared" si="67"/>
        <v>78404.944905</v>
      </c>
      <c r="EH15" s="34">
        <f t="shared" si="68"/>
        <v>4902.1283584</v>
      </c>
      <c r="EI15" s="34">
        <v>3689</v>
      </c>
      <c r="EJ15" s="32"/>
      <c r="EK15" s="61">
        <f>$C15*EM$7</f>
        <v>658325.3545</v>
      </c>
      <c r="EL15" s="61">
        <f t="shared" si="69"/>
        <v>134524.5028325</v>
      </c>
      <c r="EM15" s="32">
        <f t="shared" si="70"/>
        <v>792849.8573325</v>
      </c>
      <c r="EN15" s="34">
        <f t="shared" si="71"/>
        <v>49571.5133056</v>
      </c>
      <c r="EO15" s="34">
        <v>37204</v>
      </c>
      <c r="EP15" s="32"/>
      <c r="EQ15" s="32"/>
      <c r="ER15" s="32"/>
      <c r="ES15" s="32"/>
      <c r="ET15" s="32"/>
      <c r="EU15" s="32"/>
      <c r="EV15" s="32"/>
      <c r="EW15" s="32"/>
      <c r="EX15" s="32"/>
      <c r="EY15" s="32">
        <f t="shared" si="72"/>
        <v>0</v>
      </c>
    </row>
    <row r="16" spans="1:155" s="49" customFormat="1" ht="12.75">
      <c r="A16" s="48">
        <v>43922</v>
      </c>
      <c r="C16" s="39"/>
      <c r="D16" s="39">
        <v>764900</v>
      </c>
      <c r="E16" s="34">
        <f t="shared" si="0"/>
        <v>764900</v>
      </c>
      <c r="F16" s="34">
        <v>321152</v>
      </c>
      <c r="G16" s="34">
        <f t="shared" si="1"/>
        <v>241163</v>
      </c>
      <c r="H16" s="47"/>
      <c r="I16" s="47"/>
      <c r="J16" s="47">
        <f>'2012D Academic'!J16</f>
        <v>128833.56030999999</v>
      </c>
      <c r="K16" s="47">
        <f t="shared" si="2"/>
        <v>128833.56030999999</v>
      </c>
      <c r="L16" s="47">
        <f>'2012D Academic'!L16</f>
        <v>54092.2415488</v>
      </c>
      <c r="M16" s="47">
        <f>'2012D Academic'!M16</f>
        <v>40629</v>
      </c>
      <c r="N16" s="47"/>
      <c r="O16" s="47"/>
      <c r="P16" s="39">
        <f t="shared" si="4"/>
        <v>636066.5161799999</v>
      </c>
      <c r="Q16" s="47">
        <f t="shared" si="5"/>
        <v>636066.5161799999</v>
      </c>
      <c r="R16" s="39">
        <f t="shared" si="6"/>
        <v>267059.7905664</v>
      </c>
      <c r="S16" s="39">
        <f t="shared" si="7"/>
        <v>200534</v>
      </c>
      <c r="T16" s="47"/>
      <c r="U16" s="61"/>
      <c r="V16" s="61">
        <f t="shared" si="9"/>
        <v>2140.26669</v>
      </c>
      <c r="W16" s="20">
        <f t="shared" si="10"/>
        <v>2140.26669</v>
      </c>
      <c r="X16" s="34">
        <f t="shared" si="11"/>
        <v>898.6154112</v>
      </c>
      <c r="Y16" s="34">
        <v>680</v>
      </c>
      <c r="Z16" s="47"/>
      <c r="AA16" s="61"/>
      <c r="AB16" s="61">
        <f t="shared" si="12"/>
        <v>11519.317509999999</v>
      </c>
      <c r="AC16" s="20">
        <f t="shared" si="13"/>
        <v>11519.317509999999</v>
      </c>
      <c r="AD16" s="34">
        <f t="shared" si="14"/>
        <v>4836.5170048</v>
      </c>
      <c r="AE16" s="34">
        <v>3653</v>
      </c>
      <c r="AF16" s="47"/>
      <c r="AG16" s="61"/>
      <c r="AH16" s="61">
        <f t="shared" si="15"/>
        <v>18056.91781</v>
      </c>
      <c r="AI16" s="32">
        <f t="shared" si="16"/>
        <v>18056.91781</v>
      </c>
      <c r="AJ16" s="34">
        <f t="shared" si="17"/>
        <v>7581.4031488</v>
      </c>
      <c r="AK16" s="34">
        <v>5743</v>
      </c>
      <c r="AL16" s="47"/>
      <c r="AM16" s="61"/>
      <c r="AN16" s="61">
        <f t="shared" si="18"/>
        <v>3748.8513900000003</v>
      </c>
      <c r="AO16" s="20">
        <f t="shared" si="19"/>
        <v>3748.8513900000003</v>
      </c>
      <c r="AP16" s="34">
        <f t="shared" si="20"/>
        <v>1573.9980672000002</v>
      </c>
      <c r="AQ16" s="34">
        <v>1181</v>
      </c>
      <c r="AR16" s="47"/>
      <c r="AS16" s="61"/>
      <c r="AT16" s="61">
        <f t="shared" si="21"/>
        <v>227406.83522999997</v>
      </c>
      <c r="AU16" s="20">
        <f t="shared" si="22"/>
        <v>227406.83522999997</v>
      </c>
      <c r="AV16" s="34">
        <f t="shared" si="23"/>
        <v>95479.3567104</v>
      </c>
      <c r="AW16" s="34">
        <v>71690</v>
      </c>
      <c r="AX16" s="47"/>
      <c r="AY16" s="61"/>
      <c r="AZ16" s="61">
        <f t="shared" si="24"/>
        <v>1262.92639</v>
      </c>
      <c r="BA16" s="20">
        <f t="shared" si="25"/>
        <v>1262.92639</v>
      </c>
      <c r="BB16" s="34">
        <f t="shared" si="26"/>
        <v>530.2540672</v>
      </c>
      <c r="BC16" s="34">
        <v>398</v>
      </c>
      <c r="BD16" s="47"/>
      <c r="BE16" s="61"/>
      <c r="BF16" s="61">
        <f t="shared" si="27"/>
        <v>4397.94553</v>
      </c>
      <c r="BG16" s="32">
        <f t="shared" si="28"/>
        <v>4397.94553</v>
      </c>
      <c r="BH16" s="34">
        <f t="shared" si="29"/>
        <v>1846.5276544</v>
      </c>
      <c r="BI16" s="34">
        <v>1385</v>
      </c>
      <c r="BJ16" s="47"/>
      <c r="BK16" s="61"/>
      <c r="BL16" s="61">
        <f t="shared" si="30"/>
        <v>33643.66756</v>
      </c>
      <c r="BM16" s="32">
        <f t="shared" si="31"/>
        <v>33643.66756</v>
      </c>
      <c r="BN16" s="34">
        <f t="shared" si="32"/>
        <v>14125.678028799999</v>
      </c>
      <c r="BO16" s="34">
        <v>10596</v>
      </c>
      <c r="BP16" s="47"/>
      <c r="BQ16" s="61"/>
      <c r="BR16" s="61">
        <f t="shared" si="33"/>
        <v>10598.98983</v>
      </c>
      <c r="BS16" s="32">
        <f t="shared" si="34"/>
        <v>10598.98983</v>
      </c>
      <c r="BT16" s="34">
        <f t="shared" si="35"/>
        <v>4450.1069184</v>
      </c>
      <c r="BU16" s="34">
        <v>3338</v>
      </c>
      <c r="BV16" s="47"/>
      <c r="BW16" s="61"/>
      <c r="BX16" s="61">
        <f t="shared" si="36"/>
        <v>47957.24126</v>
      </c>
      <c r="BY16" s="32">
        <f t="shared" si="37"/>
        <v>47957.24126</v>
      </c>
      <c r="BZ16" s="34">
        <f t="shared" si="38"/>
        <v>20135.3954048</v>
      </c>
      <c r="CA16" s="34">
        <v>15110</v>
      </c>
      <c r="CB16" s="47"/>
      <c r="CC16" s="61"/>
      <c r="CD16" s="61">
        <f t="shared" si="39"/>
        <v>13.615219999999999</v>
      </c>
      <c r="CE16" s="32">
        <f t="shared" si="40"/>
        <v>13.615219999999999</v>
      </c>
      <c r="CF16" s="34">
        <f t="shared" si="41"/>
        <v>5.7165056</v>
      </c>
      <c r="CG16" s="34">
        <v>4</v>
      </c>
      <c r="CH16" s="47"/>
      <c r="CI16" s="61"/>
      <c r="CJ16" s="61">
        <f t="shared" si="42"/>
        <v>6168.9185</v>
      </c>
      <c r="CK16" s="32">
        <f t="shared" si="43"/>
        <v>6168.9185</v>
      </c>
      <c r="CL16" s="34">
        <f t="shared" si="44"/>
        <v>2590.0908799999997</v>
      </c>
      <c r="CM16" s="34">
        <v>1950</v>
      </c>
      <c r="CN16" s="47"/>
      <c r="CO16" s="61"/>
      <c r="CP16" s="61">
        <f t="shared" si="45"/>
        <v>3445.4155600000004</v>
      </c>
      <c r="CQ16" s="32">
        <f t="shared" si="46"/>
        <v>3445.4155600000004</v>
      </c>
      <c r="CR16" s="34">
        <f t="shared" si="47"/>
        <v>1446.5970688000002</v>
      </c>
      <c r="CS16" s="34">
        <v>1087</v>
      </c>
      <c r="CT16" s="47"/>
      <c r="CU16" s="61"/>
      <c r="CV16" s="61">
        <f t="shared" si="48"/>
        <v>2304.41423</v>
      </c>
      <c r="CW16" s="32">
        <f t="shared" si="49"/>
        <v>2304.41423</v>
      </c>
      <c r="CX16" s="34">
        <f t="shared" si="50"/>
        <v>967.5346304000001</v>
      </c>
      <c r="CY16" s="34">
        <v>726</v>
      </c>
      <c r="CZ16" s="47"/>
      <c r="DA16" s="61"/>
      <c r="DB16" s="61">
        <f t="shared" si="51"/>
        <v>2545.51071</v>
      </c>
      <c r="DC16" s="32">
        <f t="shared" si="52"/>
        <v>2545.51071</v>
      </c>
      <c r="DD16" s="34">
        <f t="shared" si="53"/>
        <v>1068.7617408</v>
      </c>
      <c r="DE16" s="34">
        <v>805</v>
      </c>
      <c r="DF16" s="47"/>
      <c r="DG16" s="61"/>
      <c r="DH16" s="61">
        <f t="shared" si="54"/>
        <v>31022.278769999997</v>
      </c>
      <c r="DI16" s="32">
        <f t="shared" si="55"/>
        <v>31022.278769999997</v>
      </c>
      <c r="DJ16" s="34">
        <f t="shared" si="56"/>
        <v>13025.0580096</v>
      </c>
      <c r="DK16" s="34">
        <v>9771</v>
      </c>
      <c r="DL16" s="47"/>
      <c r="DM16" s="61"/>
      <c r="DN16" s="61">
        <f t="shared" si="57"/>
        <v>4630.32215</v>
      </c>
      <c r="DO16" s="32">
        <f t="shared" si="58"/>
        <v>4630.32215</v>
      </c>
      <c r="DP16" s="34">
        <f t="shared" si="59"/>
        <v>1944.0936319999998</v>
      </c>
      <c r="DQ16" s="34">
        <v>1458</v>
      </c>
      <c r="DR16" s="47"/>
      <c r="DS16" s="61"/>
      <c r="DT16" s="61">
        <f t="shared" si="60"/>
        <v>90804.49158</v>
      </c>
      <c r="DU16" s="32">
        <f t="shared" si="61"/>
        <v>90804.49158</v>
      </c>
      <c r="DV16" s="34">
        <f t="shared" si="62"/>
        <v>38125.3027584</v>
      </c>
      <c r="DW16" s="34">
        <v>28600</v>
      </c>
      <c r="DX16" s="32"/>
      <c r="DY16" s="61"/>
      <c r="DZ16" s="61">
        <f t="shared" si="63"/>
        <v>4656.63471</v>
      </c>
      <c r="EA16" s="32">
        <f t="shared" si="64"/>
        <v>4656.63471</v>
      </c>
      <c r="EB16" s="34">
        <f t="shared" si="65"/>
        <v>1955.1412608</v>
      </c>
      <c r="EC16" s="34">
        <v>1466</v>
      </c>
      <c r="ED16" s="47"/>
      <c r="EE16" s="61"/>
      <c r="EF16" s="61">
        <f t="shared" si="66"/>
        <v>11675.586580000001</v>
      </c>
      <c r="EG16" s="32">
        <f t="shared" si="67"/>
        <v>11675.586580000001</v>
      </c>
      <c r="EH16" s="34">
        <f t="shared" si="68"/>
        <v>4902.1283584</v>
      </c>
      <c r="EI16" s="34">
        <v>3689</v>
      </c>
      <c r="EJ16" s="47"/>
      <c r="EK16" s="61"/>
      <c r="EL16" s="61">
        <f t="shared" si="69"/>
        <v>118066.36897</v>
      </c>
      <c r="EM16" s="32">
        <f t="shared" si="70"/>
        <v>118066.36897</v>
      </c>
      <c r="EN16" s="34">
        <f t="shared" si="71"/>
        <v>49571.5133056</v>
      </c>
      <c r="EO16" s="34">
        <v>37204</v>
      </c>
      <c r="EP16" s="47"/>
      <c r="EQ16" s="47"/>
      <c r="ER16" s="47"/>
      <c r="ES16" s="47"/>
      <c r="ET16" s="47"/>
      <c r="EU16" s="47"/>
      <c r="EV16" s="47"/>
      <c r="EW16" s="32"/>
      <c r="EX16" s="32"/>
      <c r="EY16" s="32">
        <f t="shared" si="72"/>
        <v>0</v>
      </c>
    </row>
    <row r="17" spans="1:155" s="49" customFormat="1" ht="12.75">
      <c r="A17" s="48">
        <v>44105</v>
      </c>
      <c r="C17" s="39">
        <v>4485000</v>
      </c>
      <c r="D17" s="39">
        <v>764900</v>
      </c>
      <c r="E17" s="34">
        <f t="shared" si="0"/>
        <v>5249900</v>
      </c>
      <c r="F17" s="34">
        <v>321152</v>
      </c>
      <c r="G17" s="34">
        <f t="shared" si="1"/>
        <v>241163</v>
      </c>
      <c r="H17" s="47"/>
      <c r="I17" s="47">
        <f>'2012D Academic'!I17</f>
        <v>755417.0715000001</v>
      </c>
      <c r="J17" s="47">
        <f>'2012D Academic'!J17</f>
        <v>128833.56030999999</v>
      </c>
      <c r="K17" s="47">
        <f t="shared" si="2"/>
        <v>884250.63181</v>
      </c>
      <c r="L17" s="47">
        <f>'2012D Academic'!L17</f>
        <v>54092.2415488</v>
      </c>
      <c r="M17" s="47">
        <f>'2012D Academic'!M17</f>
        <v>40629</v>
      </c>
      <c r="N17" s="47"/>
      <c r="O17" s="47">
        <f t="shared" si="3"/>
        <v>3729583.377</v>
      </c>
      <c r="P17" s="39">
        <f t="shared" si="4"/>
        <v>636066.5161799999</v>
      </c>
      <c r="Q17" s="47">
        <f t="shared" si="5"/>
        <v>4365649.89318</v>
      </c>
      <c r="R17" s="39">
        <f t="shared" si="6"/>
        <v>267059.7905664</v>
      </c>
      <c r="S17" s="39">
        <f t="shared" si="7"/>
        <v>200534</v>
      </c>
      <c r="T17" s="47"/>
      <c r="U17" s="61">
        <f t="shared" si="8"/>
        <v>12549.4785</v>
      </c>
      <c r="V17" s="61">
        <f t="shared" si="9"/>
        <v>2140.26669</v>
      </c>
      <c r="W17" s="20">
        <f t="shared" si="10"/>
        <v>14689.74519</v>
      </c>
      <c r="X17" s="34">
        <f t="shared" si="11"/>
        <v>898.6154112</v>
      </c>
      <c r="Y17" s="34">
        <v>680</v>
      </c>
      <c r="Z17" s="47"/>
      <c r="AA17" s="61">
        <f>$C17*AC$7</f>
        <v>67543.65149999999</v>
      </c>
      <c r="AB17" s="61">
        <f t="shared" si="12"/>
        <v>11519.317509999999</v>
      </c>
      <c r="AC17" s="20">
        <f t="shared" si="13"/>
        <v>79062.96900999999</v>
      </c>
      <c r="AD17" s="34">
        <f t="shared" si="14"/>
        <v>4836.5170048</v>
      </c>
      <c r="AE17" s="34">
        <v>3653</v>
      </c>
      <c r="AF17" s="47"/>
      <c r="AG17" s="61">
        <f>$C17*AI$7</f>
        <v>105876.9465</v>
      </c>
      <c r="AH17" s="61">
        <f t="shared" si="15"/>
        <v>18056.91781</v>
      </c>
      <c r="AI17" s="32">
        <f t="shared" si="16"/>
        <v>123933.86431</v>
      </c>
      <c r="AJ17" s="34">
        <f t="shared" si="17"/>
        <v>7581.4031488</v>
      </c>
      <c r="AK17" s="34">
        <v>5743</v>
      </c>
      <c r="AL17" s="47"/>
      <c r="AM17" s="61">
        <f>$C17*AO$7</f>
        <v>21981.433500000003</v>
      </c>
      <c r="AN17" s="61">
        <f t="shared" si="18"/>
        <v>3748.8513900000003</v>
      </c>
      <c r="AO17" s="20">
        <f t="shared" si="19"/>
        <v>25730.284890000003</v>
      </c>
      <c r="AP17" s="34">
        <f t="shared" si="20"/>
        <v>1573.9980672000002</v>
      </c>
      <c r="AQ17" s="34">
        <v>1181</v>
      </c>
      <c r="AR17" s="47"/>
      <c r="AS17" s="61">
        <f>$C17*AU$7</f>
        <v>1333402.6094999998</v>
      </c>
      <c r="AT17" s="61">
        <f t="shared" si="21"/>
        <v>227406.83522999997</v>
      </c>
      <c r="AU17" s="20">
        <f t="shared" si="22"/>
        <v>1560809.4447299996</v>
      </c>
      <c r="AV17" s="34">
        <f t="shared" si="23"/>
        <v>95479.3567104</v>
      </c>
      <c r="AW17" s="34">
        <v>71690</v>
      </c>
      <c r="AX17" s="47"/>
      <c r="AY17" s="61">
        <f>$C17*BA$7</f>
        <v>7405.1835</v>
      </c>
      <c r="AZ17" s="61">
        <f t="shared" si="24"/>
        <v>1262.92639</v>
      </c>
      <c r="BA17" s="20">
        <f t="shared" si="25"/>
        <v>8668.10989</v>
      </c>
      <c r="BB17" s="34">
        <f t="shared" si="26"/>
        <v>530.2540672</v>
      </c>
      <c r="BC17" s="34">
        <v>398</v>
      </c>
      <c r="BD17" s="47"/>
      <c r="BE17" s="61">
        <f>$C17*BG$7</f>
        <v>25787.4045</v>
      </c>
      <c r="BF17" s="61">
        <f t="shared" si="27"/>
        <v>4397.94553</v>
      </c>
      <c r="BG17" s="32">
        <f t="shared" si="28"/>
        <v>30185.35003</v>
      </c>
      <c r="BH17" s="34">
        <f t="shared" si="29"/>
        <v>1846.5276544</v>
      </c>
      <c r="BI17" s="34">
        <v>1385</v>
      </c>
      <c r="BJ17" s="47"/>
      <c r="BK17" s="61">
        <f>$C17*BM$7</f>
        <v>197270.03399999999</v>
      </c>
      <c r="BL17" s="61">
        <f t="shared" si="30"/>
        <v>33643.66756</v>
      </c>
      <c r="BM17" s="32">
        <f t="shared" si="31"/>
        <v>230913.70156</v>
      </c>
      <c r="BN17" s="34">
        <f t="shared" si="32"/>
        <v>14125.678028799999</v>
      </c>
      <c r="BO17" s="34">
        <v>10596</v>
      </c>
      <c r="BP17" s="47"/>
      <c r="BQ17" s="61">
        <f>$C17*BS$7</f>
        <v>62147.2995</v>
      </c>
      <c r="BR17" s="61">
        <f t="shared" si="33"/>
        <v>10598.98983</v>
      </c>
      <c r="BS17" s="32">
        <f t="shared" si="34"/>
        <v>72746.28933</v>
      </c>
      <c r="BT17" s="34">
        <f t="shared" si="35"/>
        <v>4450.1069184</v>
      </c>
      <c r="BU17" s="34">
        <v>3338</v>
      </c>
      <c r="BV17" s="47"/>
      <c r="BW17" s="61">
        <f>$C17*BY$7</f>
        <v>281197.839</v>
      </c>
      <c r="BX17" s="61">
        <f t="shared" si="36"/>
        <v>47957.24126</v>
      </c>
      <c r="BY17" s="32">
        <f t="shared" si="37"/>
        <v>329155.08025999996</v>
      </c>
      <c r="BZ17" s="34">
        <f t="shared" si="38"/>
        <v>20135.3954048</v>
      </c>
      <c r="CA17" s="34">
        <v>15110</v>
      </c>
      <c r="CB17" s="47"/>
      <c r="CC17" s="61">
        <f>$C17*CE$7</f>
        <v>79.833</v>
      </c>
      <c r="CD17" s="61">
        <f t="shared" si="39"/>
        <v>13.615219999999999</v>
      </c>
      <c r="CE17" s="32">
        <f t="shared" si="40"/>
        <v>93.44821999999999</v>
      </c>
      <c r="CF17" s="34">
        <f t="shared" si="41"/>
        <v>5.7165056</v>
      </c>
      <c r="CG17" s="34">
        <v>4</v>
      </c>
      <c r="CH17" s="47"/>
      <c r="CI17" s="61">
        <f>$C17*CK$7</f>
        <v>36171.524999999994</v>
      </c>
      <c r="CJ17" s="61">
        <f t="shared" si="42"/>
        <v>6168.9185</v>
      </c>
      <c r="CK17" s="32">
        <f t="shared" si="43"/>
        <v>42340.443499999994</v>
      </c>
      <c r="CL17" s="34">
        <f t="shared" si="44"/>
        <v>2590.0908799999997</v>
      </c>
      <c r="CM17" s="34">
        <v>1950</v>
      </c>
      <c r="CN17" s="47"/>
      <c r="CO17" s="61">
        <f>$C17*CQ$7</f>
        <v>20202.234</v>
      </c>
      <c r="CP17" s="61">
        <f t="shared" si="45"/>
        <v>3445.4155600000004</v>
      </c>
      <c r="CQ17" s="32">
        <f t="shared" si="46"/>
        <v>23647.64956</v>
      </c>
      <c r="CR17" s="34">
        <f t="shared" si="47"/>
        <v>1446.5970688000002</v>
      </c>
      <c r="CS17" s="34">
        <v>1087</v>
      </c>
      <c r="CT17" s="47"/>
      <c r="CU17" s="61">
        <f>$C17*CW$7</f>
        <v>13511.9595</v>
      </c>
      <c r="CV17" s="61">
        <f t="shared" si="48"/>
        <v>2304.41423</v>
      </c>
      <c r="CW17" s="32">
        <f t="shared" si="49"/>
        <v>15816.373730000001</v>
      </c>
      <c r="CX17" s="34">
        <f t="shared" si="50"/>
        <v>967.5346304000001</v>
      </c>
      <c r="CY17" s="34">
        <v>726</v>
      </c>
      <c r="CZ17" s="47"/>
      <c r="DA17" s="61">
        <f>$C17*DC$7</f>
        <v>14925.6315</v>
      </c>
      <c r="DB17" s="61">
        <f t="shared" si="51"/>
        <v>2545.51071</v>
      </c>
      <c r="DC17" s="32">
        <f t="shared" si="52"/>
        <v>17471.142209999998</v>
      </c>
      <c r="DD17" s="34">
        <f t="shared" si="53"/>
        <v>1068.7617408</v>
      </c>
      <c r="DE17" s="34">
        <v>805</v>
      </c>
      <c r="DF17" s="47"/>
      <c r="DG17" s="61">
        <f>$C17*DI$7</f>
        <v>181899.49049999999</v>
      </c>
      <c r="DH17" s="61">
        <f t="shared" si="54"/>
        <v>31022.278769999997</v>
      </c>
      <c r="DI17" s="32">
        <f t="shared" si="55"/>
        <v>212921.76927</v>
      </c>
      <c r="DJ17" s="34">
        <f t="shared" si="56"/>
        <v>13025.0580096</v>
      </c>
      <c r="DK17" s="34">
        <v>9771</v>
      </c>
      <c r="DL17" s="47"/>
      <c r="DM17" s="61">
        <f>$C17*DO$7</f>
        <v>27149.9475</v>
      </c>
      <c r="DN17" s="61">
        <f t="shared" si="57"/>
        <v>4630.32215</v>
      </c>
      <c r="DO17" s="32">
        <f t="shared" si="58"/>
        <v>31780.26965</v>
      </c>
      <c r="DP17" s="34">
        <f t="shared" si="59"/>
        <v>1944.0936319999998</v>
      </c>
      <c r="DQ17" s="34">
        <v>1458</v>
      </c>
      <c r="DR17" s="47"/>
      <c r="DS17" s="61">
        <f>$C17*DU$7</f>
        <v>532433.187</v>
      </c>
      <c r="DT17" s="61">
        <f t="shared" si="60"/>
        <v>90804.49158</v>
      </c>
      <c r="DU17" s="32">
        <f t="shared" si="61"/>
        <v>623237.6785800001</v>
      </c>
      <c r="DV17" s="34">
        <f t="shared" si="62"/>
        <v>38125.3027584</v>
      </c>
      <c r="DW17" s="34">
        <v>28600</v>
      </c>
      <c r="DX17" s="32"/>
      <c r="DY17" s="61">
        <f>$C17*EA$7</f>
        <v>27304.2315</v>
      </c>
      <c r="DZ17" s="61">
        <f t="shared" si="63"/>
        <v>4656.63471</v>
      </c>
      <c r="EA17" s="32">
        <f t="shared" si="64"/>
        <v>31960.86621</v>
      </c>
      <c r="EB17" s="34">
        <f t="shared" si="65"/>
        <v>1955.1412608</v>
      </c>
      <c r="EC17" s="34">
        <v>1466</v>
      </c>
      <c r="ED17" s="47"/>
      <c r="EE17" s="61">
        <f>$C17*EG$7</f>
        <v>68459.937</v>
      </c>
      <c r="EF17" s="61">
        <f t="shared" si="66"/>
        <v>11675.586580000001</v>
      </c>
      <c r="EG17" s="32">
        <f t="shared" si="67"/>
        <v>80135.52358000001</v>
      </c>
      <c r="EH17" s="34">
        <f t="shared" si="68"/>
        <v>4902.1283584</v>
      </c>
      <c r="EI17" s="34">
        <v>3689</v>
      </c>
      <c r="EJ17" s="47"/>
      <c r="EK17" s="61">
        <f>$C17*EM$7</f>
        <v>692283.5205</v>
      </c>
      <c r="EL17" s="61">
        <f t="shared" si="69"/>
        <v>118066.36897</v>
      </c>
      <c r="EM17" s="32">
        <f t="shared" si="70"/>
        <v>810349.8894699999</v>
      </c>
      <c r="EN17" s="34">
        <f t="shared" si="71"/>
        <v>49571.5133056</v>
      </c>
      <c r="EO17" s="34">
        <v>37204</v>
      </c>
      <c r="EP17" s="47"/>
      <c r="EQ17" s="47"/>
      <c r="ER17" s="47"/>
      <c r="ES17" s="47"/>
      <c r="ET17" s="47"/>
      <c r="EU17" s="47"/>
      <c r="EV17" s="47"/>
      <c r="EW17" s="32"/>
      <c r="EX17" s="32"/>
      <c r="EY17" s="32">
        <f t="shared" si="72"/>
        <v>0</v>
      </c>
    </row>
    <row r="18" spans="1:155" s="49" customFormat="1" ht="12.75">
      <c r="A18" s="48">
        <v>44287</v>
      </c>
      <c r="C18" s="39"/>
      <c r="D18" s="39">
        <v>652775</v>
      </c>
      <c r="E18" s="34">
        <f t="shared" si="0"/>
        <v>652775</v>
      </c>
      <c r="F18" s="34">
        <v>321152</v>
      </c>
      <c r="G18" s="34">
        <f t="shared" si="1"/>
        <v>241163</v>
      </c>
      <c r="H18" s="47"/>
      <c r="I18" s="47"/>
      <c r="J18" s="47">
        <f>'2012D Academic'!J18</f>
        <v>109948.13352249998</v>
      </c>
      <c r="K18" s="47">
        <f t="shared" si="2"/>
        <v>109948.13352249998</v>
      </c>
      <c r="L18" s="47">
        <f>'2012D Academic'!L18</f>
        <v>54092.2415488</v>
      </c>
      <c r="M18" s="47">
        <f>'2012D Academic'!M18</f>
        <v>40629</v>
      </c>
      <c r="N18" s="47"/>
      <c r="O18" s="47"/>
      <c r="P18" s="39">
        <f t="shared" si="4"/>
        <v>542826.9317549999</v>
      </c>
      <c r="Q18" s="47">
        <f t="shared" si="5"/>
        <v>542826.9317549999</v>
      </c>
      <c r="R18" s="39">
        <f t="shared" si="6"/>
        <v>267059.7905664</v>
      </c>
      <c r="S18" s="39">
        <f t="shared" si="7"/>
        <v>200534</v>
      </c>
      <c r="T18" s="47"/>
      <c r="U18" s="61"/>
      <c r="V18" s="61">
        <f t="shared" si="9"/>
        <v>1826.5297275</v>
      </c>
      <c r="W18" s="20">
        <f t="shared" si="10"/>
        <v>1826.5297275</v>
      </c>
      <c r="X18" s="34">
        <f t="shared" si="11"/>
        <v>898.6154112</v>
      </c>
      <c r="Y18" s="34">
        <v>680</v>
      </c>
      <c r="Z18" s="47"/>
      <c r="AA18" s="61"/>
      <c r="AB18" s="61">
        <f t="shared" si="12"/>
        <v>9830.7262225</v>
      </c>
      <c r="AC18" s="20">
        <f t="shared" si="13"/>
        <v>9830.7262225</v>
      </c>
      <c r="AD18" s="34">
        <f t="shared" si="14"/>
        <v>4836.5170048</v>
      </c>
      <c r="AE18" s="34">
        <v>3653</v>
      </c>
      <c r="AF18" s="47"/>
      <c r="AG18" s="61"/>
      <c r="AH18" s="61">
        <f t="shared" si="15"/>
        <v>15409.9941475</v>
      </c>
      <c r="AI18" s="32">
        <f t="shared" si="16"/>
        <v>15409.9941475</v>
      </c>
      <c r="AJ18" s="34">
        <f t="shared" si="17"/>
        <v>7581.4031488</v>
      </c>
      <c r="AK18" s="34">
        <v>5743</v>
      </c>
      <c r="AL18" s="47"/>
      <c r="AM18" s="61"/>
      <c r="AN18" s="61">
        <f t="shared" si="18"/>
        <v>3199.3155525</v>
      </c>
      <c r="AO18" s="20">
        <f t="shared" si="19"/>
        <v>3199.3155525</v>
      </c>
      <c r="AP18" s="34">
        <f t="shared" si="20"/>
        <v>1573.9980672000002</v>
      </c>
      <c r="AQ18" s="34">
        <v>1181</v>
      </c>
      <c r="AR18" s="47"/>
      <c r="AS18" s="61"/>
      <c r="AT18" s="61">
        <f t="shared" si="21"/>
        <v>194071.7699925</v>
      </c>
      <c r="AU18" s="20">
        <f t="shared" si="22"/>
        <v>194071.7699925</v>
      </c>
      <c r="AV18" s="34">
        <f t="shared" si="23"/>
        <v>95479.3567104</v>
      </c>
      <c r="AW18" s="34">
        <v>71690</v>
      </c>
      <c r="AX18" s="47"/>
      <c r="AY18" s="61"/>
      <c r="AZ18" s="61">
        <f t="shared" si="24"/>
        <v>1077.7968025</v>
      </c>
      <c r="BA18" s="20">
        <f t="shared" si="25"/>
        <v>1077.7968025</v>
      </c>
      <c r="BB18" s="34">
        <f t="shared" si="26"/>
        <v>530.2540672</v>
      </c>
      <c r="BC18" s="34">
        <v>398</v>
      </c>
      <c r="BD18" s="47"/>
      <c r="BE18" s="61"/>
      <c r="BF18" s="61">
        <f t="shared" si="27"/>
        <v>3753.2604175</v>
      </c>
      <c r="BG18" s="32">
        <f t="shared" si="28"/>
        <v>3753.2604175</v>
      </c>
      <c r="BH18" s="34">
        <f t="shared" si="29"/>
        <v>1846.5276544</v>
      </c>
      <c r="BI18" s="34">
        <v>1385</v>
      </c>
      <c r="BJ18" s="47"/>
      <c r="BK18" s="61"/>
      <c r="BL18" s="61">
        <f t="shared" si="30"/>
        <v>28711.91671</v>
      </c>
      <c r="BM18" s="32">
        <f t="shared" si="31"/>
        <v>28711.91671</v>
      </c>
      <c r="BN18" s="34">
        <f t="shared" si="32"/>
        <v>14125.678028799999</v>
      </c>
      <c r="BO18" s="34">
        <v>10596</v>
      </c>
      <c r="BP18" s="47"/>
      <c r="BQ18" s="61"/>
      <c r="BR18" s="61">
        <f t="shared" si="33"/>
        <v>9045.3073425</v>
      </c>
      <c r="BS18" s="32">
        <f t="shared" si="34"/>
        <v>9045.3073425</v>
      </c>
      <c r="BT18" s="34">
        <f t="shared" si="35"/>
        <v>4450.1069184</v>
      </c>
      <c r="BU18" s="34">
        <v>3338</v>
      </c>
      <c r="BV18" s="47"/>
      <c r="BW18" s="61"/>
      <c r="BX18" s="61">
        <f t="shared" si="36"/>
        <v>40927.295285</v>
      </c>
      <c r="BY18" s="32">
        <f t="shared" si="37"/>
        <v>40927.295285</v>
      </c>
      <c r="BZ18" s="34">
        <f t="shared" si="38"/>
        <v>20135.3954048</v>
      </c>
      <c r="CA18" s="34">
        <v>15110</v>
      </c>
      <c r="CB18" s="47"/>
      <c r="CC18" s="61"/>
      <c r="CD18" s="61">
        <f t="shared" si="39"/>
        <v>11.619394999999999</v>
      </c>
      <c r="CE18" s="32">
        <f t="shared" si="40"/>
        <v>11.619394999999999</v>
      </c>
      <c r="CF18" s="34">
        <f t="shared" si="41"/>
        <v>5.7165056</v>
      </c>
      <c r="CG18" s="34">
        <v>4</v>
      </c>
      <c r="CH18" s="47"/>
      <c r="CI18" s="61"/>
      <c r="CJ18" s="61">
        <f t="shared" si="42"/>
        <v>5264.630375</v>
      </c>
      <c r="CK18" s="32">
        <f t="shared" si="43"/>
        <v>5264.630375</v>
      </c>
      <c r="CL18" s="34">
        <f t="shared" si="44"/>
        <v>2590.0908799999997</v>
      </c>
      <c r="CM18" s="34">
        <v>1950</v>
      </c>
      <c r="CN18" s="47"/>
      <c r="CO18" s="61"/>
      <c r="CP18" s="61">
        <f t="shared" si="45"/>
        <v>2940.35971</v>
      </c>
      <c r="CQ18" s="32">
        <f t="shared" si="46"/>
        <v>2940.35971</v>
      </c>
      <c r="CR18" s="34">
        <f t="shared" si="47"/>
        <v>1446.5970688000002</v>
      </c>
      <c r="CS18" s="34">
        <v>1087</v>
      </c>
      <c r="CT18" s="47"/>
      <c r="CU18" s="61"/>
      <c r="CV18" s="61">
        <f t="shared" si="48"/>
        <v>1966.6152425</v>
      </c>
      <c r="CW18" s="32">
        <f t="shared" si="49"/>
        <v>1966.6152425</v>
      </c>
      <c r="CX18" s="34">
        <f t="shared" si="50"/>
        <v>967.5346304000001</v>
      </c>
      <c r="CY18" s="34">
        <v>726</v>
      </c>
      <c r="CZ18" s="47"/>
      <c r="DA18" s="61"/>
      <c r="DB18" s="61">
        <f t="shared" si="51"/>
        <v>2172.3699225</v>
      </c>
      <c r="DC18" s="32">
        <f t="shared" si="52"/>
        <v>2172.3699225</v>
      </c>
      <c r="DD18" s="34">
        <f t="shared" si="53"/>
        <v>1068.7617408</v>
      </c>
      <c r="DE18" s="34">
        <v>805</v>
      </c>
      <c r="DF18" s="47"/>
      <c r="DG18" s="61"/>
      <c r="DH18" s="61">
        <f t="shared" si="54"/>
        <v>26474.7915075</v>
      </c>
      <c r="DI18" s="32">
        <f t="shared" si="55"/>
        <v>26474.7915075</v>
      </c>
      <c r="DJ18" s="34">
        <f t="shared" si="56"/>
        <v>13025.0580096</v>
      </c>
      <c r="DK18" s="34">
        <v>9771</v>
      </c>
      <c r="DL18" s="47"/>
      <c r="DM18" s="61"/>
      <c r="DN18" s="61">
        <f t="shared" si="57"/>
        <v>3951.5734625</v>
      </c>
      <c r="DO18" s="32">
        <f t="shared" si="58"/>
        <v>3951.5734625</v>
      </c>
      <c r="DP18" s="34">
        <f t="shared" si="59"/>
        <v>1944.0936319999998</v>
      </c>
      <c r="DQ18" s="34">
        <v>1458</v>
      </c>
      <c r="DR18" s="47"/>
      <c r="DS18" s="61"/>
      <c r="DT18" s="61">
        <f t="shared" si="60"/>
        <v>77493.661905</v>
      </c>
      <c r="DU18" s="32">
        <f t="shared" si="61"/>
        <v>77493.661905</v>
      </c>
      <c r="DV18" s="34">
        <f t="shared" si="62"/>
        <v>38125.3027584</v>
      </c>
      <c r="DW18" s="34">
        <v>28600</v>
      </c>
      <c r="DX18" s="32"/>
      <c r="DY18" s="61"/>
      <c r="DZ18" s="61">
        <f t="shared" si="63"/>
        <v>3974.0289225</v>
      </c>
      <c r="EA18" s="32">
        <f t="shared" si="64"/>
        <v>3974.0289225</v>
      </c>
      <c r="EB18" s="34">
        <f t="shared" si="65"/>
        <v>1955.1412608</v>
      </c>
      <c r="EC18" s="34">
        <v>1466</v>
      </c>
      <c r="ED18" s="47"/>
      <c r="EE18" s="61"/>
      <c r="EF18" s="61">
        <f t="shared" si="66"/>
        <v>9964.088155</v>
      </c>
      <c r="EG18" s="32">
        <f t="shared" si="67"/>
        <v>9964.088155</v>
      </c>
      <c r="EH18" s="34">
        <f t="shared" si="68"/>
        <v>4902.1283584</v>
      </c>
      <c r="EI18" s="34">
        <v>3689</v>
      </c>
      <c r="EJ18" s="47"/>
      <c r="EK18" s="61"/>
      <c r="EL18" s="61">
        <f t="shared" si="69"/>
        <v>100759.2809575</v>
      </c>
      <c r="EM18" s="32">
        <f t="shared" si="70"/>
        <v>100759.2809575</v>
      </c>
      <c r="EN18" s="34">
        <f t="shared" si="71"/>
        <v>49571.5133056</v>
      </c>
      <c r="EO18" s="34">
        <v>37204</v>
      </c>
      <c r="EP18" s="47"/>
      <c r="EQ18" s="47"/>
      <c r="ER18" s="47"/>
      <c r="ES18" s="47"/>
      <c r="ET18" s="47"/>
      <c r="EU18" s="47"/>
      <c r="EV18" s="47"/>
      <c r="EW18" s="32"/>
      <c r="EX18" s="32"/>
      <c r="EY18" s="32">
        <f t="shared" si="72"/>
        <v>0</v>
      </c>
    </row>
    <row r="19" spans="1:155" s="49" customFormat="1" ht="12.75">
      <c r="A19" s="48">
        <v>44470</v>
      </c>
      <c r="C19" s="39">
        <v>4710000</v>
      </c>
      <c r="D19" s="39">
        <v>652775</v>
      </c>
      <c r="E19" s="34">
        <f t="shared" si="0"/>
        <v>5362775</v>
      </c>
      <c r="F19" s="34">
        <v>321152</v>
      </c>
      <c r="G19" s="34">
        <f t="shared" si="1"/>
        <v>241163</v>
      </c>
      <c r="H19" s="47"/>
      <c r="I19" s="47">
        <f>'2012D Academic'!I19</f>
        <v>793314.2490000001</v>
      </c>
      <c r="J19" s="47">
        <f>'2012D Academic'!J19</f>
        <v>109948.13352249998</v>
      </c>
      <c r="K19" s="47">
        <f t="shared" si="2"/>
        <v>903262.3825225</v>
      </c>
      <c r="L19" s="47">
        <f>'2012D Academic'!L19</f>
        <v>54092.2415488</v>
      </c>
      <c r="M19" s="47">
        <f>'2012D Academic'!M19</f>
        <v>40629</v>
      </c>
      <c r="N19" s="47"/>
      <c r="O19" s="47">
        <f t="shared" si="3"/>
        <v>3916686.222</v>
      </c>
      <c r="P19" s="39">
        <f t="shared" si="4"/>
        <v>542826.9317549999</v>
      </c>
      <c r="Q19" s="47">
        <f t="shared" si="5"/>
        <v>4459513.153755</v>
      </c>
      <c r="R19" s="39">
        <f t="shared" si="6"/>
        <v>267059.7905664</v>
      </c>
      <c r="S19" s="39">
        <f t="shared" si="7"/>
        <v>200534</v>
      </c>
      <c r="T19" s="47"/>
      <c r="U19" s="61">
        <f t="shared" si="8"/>
        <v>13179.051</v>
      </c>
      <c r="V19" s="61">
        <f t="shared" si="9"/>
        <v>1826.5297275</v>
      </c>
      <c r="W19" s="20">
        <f t="shared" si="10"/>
        <v>15005.580727499999</v>
      </c>
      <c r="X19" s="34">
        <f t="shared" si="11"/>
        <v>898.6154112</v>
      </c>
      <c r="Y19" s="34">
        <v>680</v>
      </c>
      <c r="Z19" s="47"/>
      <c r="AA19" s="61">
        <f>$C19*AC$7</f>
        <v>70932.129</v>
      </c>
      <c r="AB19" s="61">
        <f t="shared" si="12"/>
        <v>9830.7262225</v>
      </c>
      <c r="AC19" s="20">
        <f t="shared" si="13"/>
        <v>80762.8552225</v>
      </c>
      <c r="AD19" s="34">
        <f t="shared" si="14"/>
        <v>4836.5170048</v>
      </c>
      <c r="AE19" s="34">
        <v>3653</v>
      </c>
      <c r="AF19" s="47"/>
      <c r="AG19" s="61">
        <f>$C19*AI$7</f>
        <v>111188.499</v>
      </c>
      <c r="AH19" s="61">
        <f t="shared" si="15"/>
        <v>15409.9941475</v>
      </c>
      <c r="AI19" s="32">
        <f t="shared" si="16"/>
        <v>126598.49314749999</v>
      </c>
      <c r="AJ19" s="34">
        <f t="shared" si="17"/>
        <v>7581.4031488</v>
      </c>
      <c r="AK19" s="34">
        <v>5743</v>
      </c>
      <c r="AL19" s="47"/>
      <c r="AM19" s="61">
        <f>$C19*AO$7</f>
        <v>23084.181</v>
      </c>
      <c r="AN19" s="61">
        <f t="shared" si="18"/>
        <v>3199.3155525</v>
      </c>
      <c r="AO19" s="20">
        <f t="shared" si="19"/>
        <v>26283.4965525</v>
      </c>
      <c r="AP19" s="34">
        <f t="shared" si="20"/>
        <v>1573.9980672000002</v>
      </c>
      <c r="AQ19" s="34">
        <v>1181</v>
      </c>
      <c r="AR19" s="47"/>
      <c r="AS19" s="61">
        <f>$C19*AU$7</f>
        <v>1400295.717</v>
      </c>
      <c r="AT19" s="61">
        <f t="shared" si="21"/>
        <v>194071.7699925</v>
      </c>
      <c r="AU19" s="20">
        <f t="shared" si="22"/>
        <v>1594367.4869925</v>
      </c>
      <c r="AV19" s="34">
        <f t="shared" si="23"/>
        <v>95479.3567104</v>
      </c>
      <c r="AW19" s="34">
        <v>71690</v>
      </c>
      <c r="AX19" s="47"/>
      <c r="AY19" s="61">
        <f>$C19*BA$7</f>
        <v>7776.681</v>
      </c>
      <c r="AZ19" s="61">
        <f t="shared" si="24"/>
        <v>1077.7968025</v>
      </c>
      <c r="BA19" s="20">
        <f t="shared" si="25"/>
        <v>8854.4778025</v>
      </c>
      <c r="BB19" s="34">
        <f t="shared" si="26"/>
        <v>530.2540672</v>
      </c>
      <c r="BC19" s="34">
        <v>398</v>
      </c>
      <c r="BD19" s="47"/>
      <c r="BE19" s="61">
        <f>$C19*BG$7</f>
        <v>27081.087</v>
      </c>
      <c r="BF19" s="61">
        <f t="shared" si="27"/>
        <v>3753.2604175</v>
      </c>
      <c r="BG19" s="32">
        <f t="shared" si="28"/>
        <v>30834.3474175</v>
      </c>
      <c r="BH19" s="34">
        <f t="shared" si="29"/>
        <v>1846.5276544</v>
      </c>
      <c r="BI19" s="34">
        <v>1385</v>
      </c>
      <c r="BJ19" s="47"/>
      <c r="BK19" s="61">
        <f>$C19*BM$7</f>
        <v>207166.524</v>
      </c>
      <c r="BL19" s="61">
        <f t="shared" si="30"/>
        <v>28711.91671</v>
      </c>
      <c r="BM19" s="32">
        <f t="shared" si="31"/>
        <v>235878.44071</v>
      </c>
      <c r="BN19" s="34">
        <f t="shared" si="32"/>
        <v>14125.678028799999</v>
      </c>
      <c r="BO19" s="34">
        <v>10596</v>
      </c>
      <c r="BP19" s="47"/>
      <c r="BQ19" s="61">
        <f>$C19*BS$7</f>
        <v>65265.057</v>
      </c>
      <c r="BR19" s="61">
        <f t="shared" si="33"/>
        <v>9045.3073425</v>
      </c>
      <c r="BS19" s="32">
        <f t="shared" si="34"/>
        <v>74310.3643425</v>
      </c>
      <c r="BT19" s="34">
        <f t="shared" si="35"/>
        <v>4450.1069184</v>
      </c>
      <c r="BU19" s="34">
        <v>3338</v>
      </c>
      <c r="BV19" s="47"/>
      <c r="BW19" s="61">
        <f>$C19*BY$7</f>
        <v>295304.754</v>
      </c>
      <c r="BX19" s="61">
        <f t="shared" si="36"/>
        <v>40927.295285</v>
      </c>
      <c r="BY19" s="32">
        <f t="shared" si="37"/>
        <v>336232.049285</v>
      </c>
      <c r="BZ19" s="34">
        <f t="shared" si="38"/>
        <v>20135.3954048</v>
      </c>
      <c r="CA19" s="34">
        <v>15110</v>
      </c>
      <c r="CB19" s="47"/>
      <c r="CC19" s="61">
        <f>$C19*CE$7</f>
        <v>83.838</v>
      </c>
      <c r="CD19" s="61">
        <f t="shared" si="39"/>
        <v>11.619394999999999</v>
      </c>
      <c r="CE19" s="32">
        <f t="shared" si="40"/>
        <v>95.45739499999999</v>
      </c>
      <c r="CF19" s="34">
        <f t="shared" si="41"/>
        <v>5.7165056</v>
      </c>
      <c r="CG19" s="34">
        <v>4</v>
      </c>
      <c r="CH19" s="47"/>
      <c r="CI19" s="61">
        <f>$C19*CK$7</f>
        <v>37986.149999999994</v>
      </c>
      <c r="CJ19" s="61">
        <f t="shared" si="42"/>
        <v>5264.630375</v>
      </c>
      <c r="CK19" s="32">
        <f t="shared" si="43"/>
        <v>43250.780374999995</v>
      </c>
      <c r="CL19" s="34">
        <f t="shared" si="44"/>
        <v>2590.0908799999997</v>
      </c>
      <c r="CM19" s="34">
        <v>1950</v>
      </c>
      <c r="CN19" s="47"/>
      <c r="CO19" s="61">
        <f>$C19*CQ$7</f>
        <v>21215.724000000002</v>
      </c>
      <c r="CP19" s="61">
        <f t="shared" si="45"/>
        <v>2940.35971</v>
      </c>
      <c r="CQ19" s="32">
        <f t="shared" si="46"/>
        <v>24156.083710000003</v>
      </c>
      <c r="CR19" s="34">
        <f t="shared" si="47"/>
        <v>1446.5970688000002</v>
      </c>
      <c r="CS19" s="34">
        <v>1087</v>
      </c>
      <c r="CT19" s="47"/>
      <c r="CU19" s="61">
        <f>$C19*CW$7</f>
        <v>14189.817000000001</v>
      </c>
      <c r="CV19" s="61">
        <f t="shared" si="48"/>
        <v>1966.6152425</v>
      </c>
      <c r="CW19" s="32">
        <f t="shared" si="49"/>
        <v>16156.432242500001</v>
      </c>
      <c r="CX19" s="34">
        <f t="shared" si="50"/>
        <v>967.5346304000001</v>
      </c>
      <c r="CY19" s="34">
        <v>726</v>
      </c>
      <c r="CZ19" s="47"/>
      <c r="DA19" s="61">
        <f>$C19*DC$7</f>
        <v>15674.409</v>
      </c>
      <c r="DB19" s="61">
        <f t="shared" si="51"/>
        <v>2172.3699225</v>
      </c>
      <c r="DC19" s="32">
        <f t="shared" si="52"/>
        <v>17846.7789225</v>
      </c>
      <c r="DD19" s="34">
        <f t="shared" si="53"/>
        <v>1068.7617408</v>
      </c>
      <c r="DE19" s="34">
        <v>805</v>
      </c>
      <c r="DF19" s="47"/>
      <c r="DG19" s="61">
        <f>$C19*DI$7</f>
        <v>191024.883</v>
      </c>
      <c r="DH19" s="61">
        <f t="shared" si="54"/>
        <v>26474.7915075</v>
      </c>
      <c r="DI19" s="32">
        <f t="shared" si="55"/>
        <v>217499.6745075</v>
      </c>
      <c r="DJ19" s="34">
        <f t="shared" si="56"/>
        <v>13025.0580096</v>
      </c>
      <c r="DK19" s="34">
        <v>9771</v>
      </c>
      <c r="DL19" s="47"/>
      <c r="DM19" s="61">
        <f>$C19*DO$7</f>
        <v>28511.985</v>
      </c>
      <c r="DN19" s="61">
        <f t="shared" si="57"/>
        <v>3951.5734625</v>
      </c>
      <c r="DO19" s="32">
        <f t="shared" si="58"/>
        <v>32463.5584625</v>
      </c>
      <c r="DP19" s="34">
        <f t="shared" si="59"/>
        <v>1944.0936319999998</v>
      </c>
      <c r="DQ19" s="34">
        <v>1458</v>
      </c>
      <c r="DR19" s="47"/>
      <c r="DS19" s="61">
        <f>$C19*DU$7</f>
        <v>559143.882</v>
      </c>
      <c r="DT19" s="61">
        <f t="shared" si="60"/>
        <v>77493.661905</v>
      </c>
      <c r="DU19" s="32">
        <f t="shared" si="61"/>
        <v>636637.543905</v>
      </c>
      <c r="DV19" s="34">
        <f t="shared" si="62"/>
        <v>38125.3027584</v>
      </c>
      <c r="DW19" s="34">
        <v>28600</v>
      </c>
      <c r="DX19" s="32"/>
      <c r="DY19" s="61">
        <f>$C19*EA$7</f>
        <v>28674.009000000002</v>
      </c>
      <c r="DZ19" s="61">
        <f t="shared" si="63"/>
        <v>3974.0289225</v>
      </c>
      <c r="EA19" s="32">
        <f t="shared" si="64"/>
        <v>32648.037922500003</v>
      </c>
      <c r="EB19" s="34">
        <f t="shared" si="65"/>
        <v>1955.1412608</v>
      </c>
      <c r="EC19" s="34">
        <v>1466</v>
      </c>
      <c r="ED19" s="47"/>
      <c r="EE19" s="61">
        <f>$C19*EG$7</f>
        <v>71894.382</v>
      </c>
      <c r="EF19" s="61">
        <f t="shared" si="66"/>
        <v>9964.088155</v>
      </c>
      <c r="EG19" s="32">
        <f t="shared" si="67"/>
        <v>81858.470155</v>
      </c>
      <c r="EH19" s="34">
        <f t="shared" si="68"/>
        <v>4902.1283584</v>
      </c>
      <c r="EI19" s="34">
        <v>3689</v>
      </c>
      <c r="EJ19" s="47"/>
      <c r="EK19" s="61">
        <f>$C19*EM$7</f>
        <v>727013.463</v>
      </c>
      <c r="EL19" s="61">
        <f t="shared" si="69"/>
        <v>100759.2809575</v>
      </c>
      <c r="EM19" s="32">
        <f t="shared" si="70"/>
        <v>827772.7439575</v>
      </c>
      <c r="EN19" s="34">
        <f t="shared" si="71"/>
        <v>49571.5133056</v>
      </c>
      <c r="EO19" s="34">
        <v>37204</v>
      </c>
      <c r="EP19" s="47"/>
      <c r="EQ19" s="47"/>
      <c r="ER19" s="47"/>
      <c r="ES19" s="47"/>
      <c r="ET19" s="47"/>
      <c r="EU19" s="47"/>
      <c r="EV19" s="47"/>
      <c r="EW19" s="32"/>
      <c r="EX19" s="32"/>
      <c r="EY19" s="32">
        <f t="shared" si="72"/>
        <v>0</v>
      </c>
    </row>
    <row r="20" spans="1:155" s="49" customFormat="1" ht="12.75">
      <c r="A20" s="48">
        <v>44652</v>
      </c>
      <c r="C20" s="39"/>
      <c r="D20" s="39">
        <v>535025</v>
      </c>
      <c r="E20" s="34">
        <f t="shared" si="0"/>
        <v>535025</v>
      </c>
      <c r="F20" s="34">
        <v>321152</v>
      </c>
      <c r="G20" s="34">
        <f t="shared" si="1"/>
        <v>241163</v>
      </c>
      <c r="H20" s="47"/>
      <c r="I20" s="47"/>
      <c r="J20" s="47">
        <f>'2012D Academic'!J20</f>
        <v>90115.27729750001</v>
      </c>
      <c r="K20" s="47">
        <f t="shared" si="2"/>
        <v>90115.27729750001</v>
      </c>
      <c r="L20" s="47">
        <f>'2012D Academic'!L20</f>
        <v>54092.2415488</v>
      </c>
      <c r="M20" s="47">
        <f>'2012D Academic'!M20</f>
        <v>40629</v>
      </c>
      <c r="N20" s="47"/>
      <c r="O20" s="47"/>
      <c r="P20" s="39">
        <f t="shared" si="4"/>
        <v>444909.77620500006</v>
      </c>
      <c r="Q20" s="47">
        <f t="shared" si="5"/>
        <v>444909.77620500006</v>
      </c>
      <c r="R20" s="39">
        <f t="shared" si="6"/>
        <v>267059.7905664</v>
      </c>
      <c r="S20" s="39">
        <f t="shared" si="7"/>
        <v>200534</v>
      </c>
      <c r="T20" s="47"/>
      <c r="U20" s="61"/>
      <c r="V20" s="61">
        <f t="shared" si="9"/>
        <v>1497.0534525</v>
      </c>
      <c r="W20" s="20">
        <f t="shared" si="10"/>
        <v>1497.0534525</v>
      </c>
      <c r="X20" s="34">
        <f t="shared" si="11"/>
        <v>898.6154112</v>
      </c>
      <c r="Y20" s="34">
        <v>680</v>
      </c>
      <c r="Z20" s="47"/>
      <c r="AA20" s="61"/>
      <c r="AB20" s="61">
        <f t="shared" si="12"/>
        <v>8057.4229975</v>
      </c>
      <c r="AC20" s="20">
        <f t="shared" si="13"/>
        <v>8057.4229975</v>
      </c>
      <c r="AD20" s="34">
        <f t="shared" si="14"/>
        <v>4836.5170048</v>
      </c>
      <c r="AE20" s="34">
        <v>3653</v>
      </c>
      <c r="AF20" s="47"/>
      <c r="AG20" s="61"/>
      <c r="AH20" s="61">
        <f t="shared" si="15"/>
        <v>12630.2816725</v>
      </c>
      <c r="AI20" s="32">
        <f t="shared" si="16"/>
        <v>12630.2816725</v>
      </c>
      <c r="AJ20" s="34">
        <f t="shared" si="17"/>
        <v>7581.4031488</v>
      </c>
      <c r="AK20" s="34">
        <v>5743</v>
      </c>
      <c r="AL20" s="47"/>
      <c r="AM20" s="61"/>
      <c r="AN20" s="61">
        <f t="shared" si="18"/>
        <v>2622.2110275</v>
      </c>
      <c r="AO20" s="20">
        <f t="shared" si="19"/>
        <v>2622.2110275</v>
      </c>
      <c r="AP20" s="34">
        <f t="shared" si="20"/>
        <v>1573.9980672000002</v>
      </c>
      <c r="AQ20" s="34">
        <v>1181</v>
      </c>
      <c r="AR20" s="47"/>
      <c r="AS20" s="61"/>
      <c r="AT20" s="61">
        <f t="shared" si="21"/>
        <v>159064.3770675</v>
      </c>
      <c r="AU20" s="20">
        <f t="shared" si="22"/>
        <v>159064.3770675</v>
      </c>
      <c r="AV20" s="34">
        <f t="shared" si="23"/>
        <v>95479.3567104</v>
      </c>
      <c r="AW20" s="34">
        <v>71690</v>
      </c>
      <c r="AX20" s="47"/>
      <c r="AY20" s="61"/>
      <c r="AZ20" s="61">
        <f t="shared" si="24"/>
        <v>883.3797774999999</v>
      </c>
      <c r="BA20" s="20">
        <f t="shared" si="25"/>
        <v>883.3797774999999</v>
      </c>
      <c r="BB20" s="34">
        <f t="shared" si="26"/>
        <v>530.2540672</v>
      </c>
      <c r="BC20" s="34">
        <v>398</v>
      </c>
      <c r="BD20" s="47"/>
      <c r="BE20" s="61"/>
      <c r="BF20" s="61">
        <f t="shared" si="27"/>
        <v>3076.2332425</v>
      </c>
      <c r="BG20" s="32">
        <f t="shared" si="28"/>
        <v>3076.2332425</v>
      </c>
      <c r="BH20" s="34">
        <f t="shared" si="29"/>
        <v>1846.5276544</v>
      </c>
      <c r="BI20" s="34">
        <v>1385</v>
      </c>
      <c r="BJ20" s="47"/>
      <c r="BK20" s="61"/>
      <c r="BL20" s="61">
        <f t="shared" si="30"/>
        <v>23532.75361</v>
      </c>
      <c r="BM20" s="32">
        <f t="shared" si="31"/>
        <v>23532.75361</v>
      </c>
      <c r="BN20" s="34">
        <f t="shared" si="32"/>
        <v>14125.678028799999</v>
      </c>
      <c r="BO20" s="34">
        <v>10596</v>
      </c>
      <c r="BP20" s="47"/>
      <c r="BQ20" s="61"/>
      <c r="BR20" s="61">
        <f t="shared" si="33"/>
        <v>7413.6809175</v>
      </c>
      <c r="BS20" s="32">
        <f t="shared" si="34"/>
        <v>7413.6809175</v>
      </c>
      <c r="BT20" s="34">
        <f t="shared" si="35"/>
        <v>4450.1069184</v>
      </c>
      <c r="BU20" s="34">
        <v>3338</v>
      </c>
      <c r="BV20" s="47"/>
      <c r="BW20" s="61"/>
      <c r="BX20" s="61">
        <f t="shared" si="36"/>
        <v>33544.676435</v>
      </c>
      <c r="BY20" s="32">
        <f t="shared" si="37"/>
        <v>33544.676435</v>
      </c>
      <c r="BZ20" s="34">
        <f t="shared" si="38"/>
        <v>20135.3954048</v>
      </c>
      <c r="CA20" s="34">
        <v>15110</v>
      </c>
      <c r="CB20" s="47"/>
      <c r="CC20" s="61"/>
      <c r="CD20" s="61">
        <f t="shared" si="39"/>
        <v>9.523444999999999</v>
      </c>
      <c r="CE20" s="32">
        <f t="shared" si="40"/>
        <v>9.523444999999999</v>
      </c>
      <c r="CF20" s="34">
        <f t="shared" si="41"/>
        <v>5.7165056</v>
      </c>
      <c r="CG20" s="34">
        <v>4</v>
      </c>
      <c r="CH20" s="47"/>
      <c r="CI20" s="61"/>
      <c r="CJ20" s="61">
        <f t="shared" si="42"/>
        <v>4314.976624999999</v>
      </c>
      <c r="CK20" s="32">
        <f t="shared" si="43"/>
        <v>4314.976624999999</v>
      </c>
      <c r="CL20" s="34">
        <f t="shared" si="44"/>
        <v>2590.0908799999997</v>
      </c>
      <c r="CM20" s="34">
        <v>1950</v>
      </c>
      <c r="CN20" s="47"/>
      <c r="CO20" s="61"/>
      <c r="CP20" s="61">
        <f t="shared" si="45"/>
        <v>2409.9666100000004</v>
      </c>
      <c r="CQ20" s="32">
        <f t="shared" si="46"/>
        <v>2409.9666100000004</v>
      </c>
      <c r="CR20" s="34">
        <f t="shared" si="47"/>
        <v>1446.5970688000002</v>
      </c>
      <c r="CS20" s="34">
        <v>1087</v>
      </c>
      <c r="CT20" s="47"/>
      <c r="CU20" s="61"/>
      <c r="CV20" s="61">
        <f t="shared" si="48"/>
        <v>1611.8698175</v>
      </c>
      <c r="CW20" s="32">
        <f t="shared" si="49"/>
        <v>1611.8698175</v>
      </c>
      <c r="CX20" s="34">
        <f t="shared" si="50"/>
        <v>967.5346304000001</v>
      </c>
      <c r="CY20" s="34">
        <v>726</v>
      </c>
      <c r="CZ20" s="47"/>
      <c r="DA20" s="61"/>
      <c r="DB20" s="61">
        <f t="shared" si="51"/>
        <v>1780.5096975</v>
      </c>
      <c r="DC20" s="32">
        <f t="shared" si="52"/>
        <v>1780.5096975</v>
      </c>
      <c r="DD20" s="34">
        <f t="shared" si="53"/>
        <v>1068.7617408</v>
      </c>
      <c r="DE20" s="34">
        <v>805</v>
      </c>
      <c r="DF20" s="47"/>
      <c r="DG20" s="61"/>
      <c r="DH20" s="61">
        <f t="shared" si="54"/>
        <v>21699.1694325</v>
      </c>
      <c r="DI20" s="32">
        <f t="shared" si="55"/>
        <v>21699.1694325</v>
      </c>
      <c r="DJ20" s="34">
        <f t="shared" si="56"/>
        <v>13025.0580096</v>
      </c>
      <c r="DK20" s="34">
        <v>9771</v>
      </c>
      <c r="DL20" s="47"/>
      <c r="DM20" s="61"/>
      <c r="DN20" s="61">
        <f t="shared" si="57"/>
        <v>3238.7738375</v>
      </c>
      <c r="DO20" s="32">
        <f t="shared" si="58"/>
        <v>3238.7738375</v>
      </c>
      <c r="DP20" s="34">
        <f t="shared" si="59"/>
        <v>1944.0936319999998</v>
      </c>
      <c r="DQ20" s="34">
        <v>1458</v>
      </c>
      <c r="DR20" s="47"/>
      <c r="DS20" s="61"/>
      <c r="DT20" s="61">
        <f t="shared" si="60"/>
        <v>63515.064855000004</v>
      </c>
      <c r="DU20" s="32">
        <f t="shared" si="61"/>
        <v>63515.064855000004</v>
      </c>
      <c r="DV20" s="34">
        <f t="shared" si="62"/>
        <v>38125.3027584</v>
      </c>
      <c r="DW20" s="34">
        <v>28600</v>
      </c>
      <c r="DX20" s="32"/>
      <c r="DY20" s="61"/>
      <c r="DZ20" s="61">
        <f t="shared" si="63"/>
        <v>3257.1786975</v>
      </c>
      <c r="EA20" s="32">
        <f t="shared" si="64"/>
        <v>3257.1786975</v>
      </c>
      <c r="EB20" s="34">
        <f t="shared" si="65"/>
        <v>1955.1412608</v>
      </c>
      <c r="EC20" s="34">
        <v>1466</v>
      </c>
      <c r="ED20" s="47"/>
      <c r="EE20" s="61"/>
      <c r="EF20" s="61">
        <f t="shared" si="66"/>
        <v>8166.728605</v>
      </c>
      <c r="EG20" s="32">
        <f t="shared" si="67"/>
        <v>8166.728605</v>
      </c>
      <c r="EH20" s="34">
        <f t="shared" si="68"/>
        <v>4902.1283584</v>
      </c>
      <c r="EI20" s="34">
        <v>3689</v>
      </c>
      <c r="EJ20" s="47"/>
      <c r="EK20" s="61"/>
      <c r="EL20" s="61">
        <f t="shared" si="69"/>
        <v>82583.9443825</v>
      </c>
      <c r="EM20" s="32">
        <f t="shared" si="70"/>
        <v>82583.9443825</v>
      </c>
      <c r="EN20" s="34">
        <f t="shared" si="71"/>
        <v>49571.5133056</v>
      </c>
      <c r="EO20" s="34">
        <v>37204</v>
      </c>
      <c r="EP20" s="47"/>
      <c r="EQ20" s="47"/>
      <c r="ER20" s="47"/>
      <c r="ES20" s="47"/>
      <c r="ET20" s="47"/>
      <c r="EU20" s="47"/>
      <c r="EV20" s="47"/>
      <c r="EW20" s="32"/>
      <c r="EX20" s="32"/>
      <c r="EY20" s="32">
        <f t="shared" si="72"/>
        <v>0</v>
      </c>
    </row>
    <row r="21" spans="1:155" s="49" customFormat="1" ht="12.75">
      <c r="A21" s="48">
        <v>44835</v>
      </c>
      <c r="C21" s="39">
        <v>4960000</v>
      </c>
      <c r="D21" s="39">
        <v>535025</v>
      </c>
      <c r="E21" s="34">
        <f t="shared" si="0"/>
        <v>5495025</v>
      </c>
      <c r="F21" s="34">
        <v>321152</v>
      </c>
      <c r="G21" s="34">
        <f t="shared" si="1"/>
        <v>241163</v>
      </c>
      <c r="H21" s="47"/>
      <c r="I21" s="47">
        <f>'2012D Academic'!I21</f>
        <v>835422.2239999998</v>
      </c>
      <c r="J21" s="47">
        <f>'2012D Academic'!J21</f>
        <v>90115.27729750001</v>
      </c>
      <c r="K21" s="47">
        <f t="shared" si="2"/>
        <v>925537.5012974999</v>
      </c>
      <c r="L21" s="47">
        <f>'2012D Academic'!L21</f>
        <v>54092.2415488</v>
      </c>
      <c r="M21" s="47">
        <f>'2012D Academic'!M21</f>
        <v>40629</v>
      </c>
      <c r="N21" s="47"/>
      <c r="O21" s="47">
        <f t="shared" si="3"/>
        <v>4124578.272000001</v>
      </c>
      <c r="P21" s="39">
        <f t="shared" si="4"/>
        <v>444909.77620500006</v>
      </c>
      <c r="Q21" s="47">
        <f t="shared" si="5"/>
        <v>4569488.048205001</v>
      </c>
      <c r="R21" s="39">
        <f t="shared" si="6"/>
        <v>267059.7905664</v>
      </c>
      <c r="S21" s="39">
        <f t="shared" si="7"/>
        <v>200534</v>
      </c>
      <c r="T21" s="47"/>
      <c r="U21" s="61">
        <f t="shared" si="8"/>
        <v>13878.576</v>
      </c>
      <c r="V21" s="61">
        <f t="shared" si="9"/>
        <v>1497.0534525</v>
      </c>
      <c r="W21" s="20">
        <f t="shared" si="10"/>
        <v>15375.6294525</v>
      </c>
      <c r="X21" s="34">
        <f t="shared" si="11"/>
        <v>898.6154112</v>
      </c>
      <c r="Y21" s="34">
        <v>680</v>
      </c>
      <c r="Z21" s="47"/>
      <c r="AA21" s="61">
        <f>$C21*AC$7</f>
        <v>74697.10399999999</v>
      </c>
      <c r="AB21" s="61">
        <f t="shared" si="12"/>
        <v>8057.4229975</v>
      </c>
      <c r="AC21" s="20">
        <f t="shared" si="13"/>
        <v>82754.5269975</v>
      </c>
      <c r="AD21" s="34">
        <f t="shared" si="14"/>
        <v>4836.5170048</v>
      </c>
      <c r="AE21" s="34">
        <v>3653</v>
      </c>
      <c r="AF21" s="47"/>
      <c r="AG21" s="61">
        <f>$C21*AI$7</f>
        <v>117090.224</v>
      </c>
      <c r="AH21" s="61">
        <f t="shared" si="15"/>
        <v>12630.2816725</v>
      </c>
      <c r="AI21" s="32">
        <f t="shared" si="16"/>
        <v>129720.5056725</v>
      </c>
      <c r="AJ21" s="34">
        <f t="shared" si="17"/>
        <v>7581.4031488</v>
      </c>
      <c r="AK21" s="34">
        <v>5743</v>
      </c>
      <c r="AL21" s="47"/>
      <c r="AM21" s="61">
        <f>$C21*AO$7</f>
        <v>24309.456000000002</v>
      </c>
      <c r="AN21" s="61">
        <f t="shared" si="18"/>
        <v>2622.2110275</v>
      </c>
      <c r="AO21" s="20">
        <f t="shared" si="19"/>
        <v>26931.667027500003</v>
      </c>
      <c r="AP21" s="34">
        <f t="shared" si="20"/>
        <v>1573.9980672000002</v>
      </c>
      <c r="AQ21" s="34">
        <v>1181</v>
      </c>
      <c r="AR21" s="47"/>
      <c r="AS21" s="61">
        <f>$C21*AU$7</f>
        <v>1474621.392</v>
      </c>
      <c r="AT21" s="61">
        <f t="shared" si="21"/>
        <v>159064.3770675</v>
      </c>
      <c r="AU21" s="20">
        <f t="shared" si="22"/>
        <v>1633685.7690675</v>
      </c>
      <c r="AV21" s="34">
        <f t="shared" si="23"/>
        <v>95479.3567104</v>
      </c>
      <c r="AW21" s="34">
        <v>71690</v>
      </c>
      <c r="AX21" s="47"/>
      <c r="AY21" s="61">
        <f>$C21*BA$7</f>
        <v>8189.456</v>
      </c>
      <c r="AZ21" s="61">
        <f t="shared" si="24"/>
        <v>883.3797774999999</v>
      </c>
      <c r="BA21" s="20">
        <f t="shared" si="25"/>
        <v>9072.8357775</v>
      </c>
      <c r="BB21" s="34">
        <f t="shared" si="26"/>
        <v>530.2540672</v>
      </c>
      <c r="BC21" s="34">
        <v>398</v>
      </c>
      <c r="BD21" s="47"/>
      <c r="BE21" s="61">
        <f>$C21*BG$7</f>
        <v>28518.512</v>
      </c>
      <c r="BF21" s="61">
        <f t="shared" si="27"/>
        <v>3076.2332425</v>
      </c>
      <c r="BG21" s="32">
        <f t="shared" si="28"/>
        <v>31594.745242499997</v>
      </c>
      <c r="BH21" s="34">
        <f t="shared" si="29"/>
        <v>1846.5276544</v>
      </c>
      <c r="BI21" s="34">
        <v>1385</v>
      </c>
      <c r="BJ21" s="47"/>
      <c r="BK21" s="61">
        <f>$C21*BM$7</f>
        <v>218162.624</v>
      </c>
      <c r="BL21" s="61">
        <f t="shared" si="30"/>
        <v>23532.75361</v>
      </c>
      <c r="BM21" s="32">
        <f t="shared" si="31"/>
        <v>241695.37761000003</v>
      </c>
      <c r="BN21" s="34">
        <f t="shared" si="32"/>
        <v>14125.678028799999</v>
      </c>
      <c r="BO21" s="34">
        <v>10596</v>
      </c>
      <c r="BP21" s="47"/>
      <c r="BQ21" s="61">
        <f>$C21*BS$7</f>
        <v>68729.232</v>
      </c>
      <c r="BR21" s="61">
        <f t="shared" si="33"/>
        <v>7413.6809175</v>
      </c>
      <c r="BS21" s="32">
        <f t="shared" si="34"/>
        <v>76142.9129175</v>
      </c>
      <c r="BT21" s="34">
        <f t="shared" si="35"/>
        <v>4450.1069184</v>
      </c>
      <c r="BU21" s="34">
        <v>3338</v>
      </c>
      <c r="BV21" s="47"/>
      <c r="BW21" s="61">
        <f>$C21*BY$7</f>
        <v>310979.104</v>
      </c>
      <c r="BX21" s="61">
        <f t="shared" si="36"/>
        <v>33544.676435</v>
      </c>
      <c r="BY21" s="32">
        <f t="shared" si="37"/>
        <v>344523.78043499996</v>
      </c>
      <c r="BZ21" s="34">
        <f t="shared" si="38"/>
        <v>20135.3954048</v>
      </c>
      <c r="CA21" s="34">
        <v>15110</v>
      </c>
      <c r="CB21" s="47"/>
      <c r="CC21" s="61">
        <f>$C21*CE$7</f>
        <v>88.288</v>
      </c>
      <c r="CD21" s="61">
        <f t="shared" si="39"/>
        <v>9.523444999999999</v>
      </c>
      <c r="CE21" s="32">
        <f t="shared" si="40"/>
        <v>97.81144499999999</v>
      </c>
      <c r="CF21" s="34">
        <f t="shared" si="41"/>
        <v>5.7165056</v>
      </c>
      <c r="CG21" s="34">
        <v>4</v>
      </c>
      <c r="CH21" s="47"/>
      <c r="CI21" s="61">
        <f>$C21*CK$7</f>
        <v>40002.399999999994</v>
      </c>
      <c r="CJ21" s="61">
        <f t="shared" si="42"/>
        <v>4314.976624999999</v>
      </c>
      <c r="CK21" s="32">
        <f t="shared" si="43"/>
        <v>44317.37662499999</v>
      </c>
      <c r="CL21" s="34">
        <f t="shared" si="44"/>
        <v>2590.0908799999997</v>
      </c>
      <c r="CM21" s="34">
        <v>1950</v>
      </c>
      <c r="CN21" s="47"/>
      <c r="CO21" s="61">
        <f>$C21*CQ$7</f>
        <v>22341.824</v>
      </c>
      <c r="CP21" s="61">
        <f t="shared" si="45"/>
        <v>2409.9666100000004</v>
      </c>
      <c r="CQ21" s="32">
        <f t="shared" si="46"/>
        <v>24751.79061</v>
      </c>
      <c r="CR21" s="34">
        <f t="shared" si="47"/>
        <v>1446.5970688000002</v>
      </c>
      <c r="CS21" s="34">
        <v>1087</v>
      </c>
      <c r="CT21" s="47"/>
      <c r="CU21" s="61">
        <f>$C21*CW$7</f>
        <v>14942.992</v>
      </c>
      <c r="CV21" s="61">
        <f t="shared" si="48"/>
        <v>1611.8698175</v>
      </c>
      <c r="CW21" s="32">
        <f t="shared" si="49"/>
        <v>16554.8618175</v>
      </c>
      <c r="CX21" s="34">
        <f t="shared" si="50"/>
        <v>967.5346304000001</v>
      </c>
      <c r="CY21" s="34">
        <v>726</v>
      </c>
      <c r="CZ21" s="47"/>
      <c r="DA21" s="61">
        <f>$C21*DC$7</f>
        <v>16506.384</v>
      </c>
      <c r="DB21" s="61">
        <f t="shared" si="51"/>
        <v>1780.5096975</v>
      </c>
      <c r="DC21" s="32">
        <f t="shared" si="52"/>
        <v>18286.8936975</v>
      </c>
      <c r="DD21" s="34">
        <f t="shared" si="53"/>
        <v>1068.7617408</v>
      </c>
      <c r="DE21" s="34">
        <v>805</v>
      </c>
      <c r="DF21" s="47"/>
      <c r="DG21" s="61">
        <f>$C21*DI$7</f>
        <v>201164.20799999998</v>
      </c>
      <c r="DH21" s="61">
        <f t="shared" si="54"/>
        <v>21699.1694325</v>
      </c>
      <c r="DI21" s="32">
        <f t="shared" si="55"/>
        <v>222863.37743249998</v>
      </c>
      <c r="DJ21" s="34">
        <f t="shared" si="56"/>
        <v>13025.0580096</v>
      </c>
      <c r="DK21" s="34">
        <v>9771</v>
      </c>
      <c r="DL21" s="47"/>
      <c r="DM21" s="61">
        <f>$C21*DO$7</f>
        <v>30025.36</v>
      </c>
      <c r="DN21" s="61">
        <f t="shared" si="57"/>
        <v>3238.7738375</v>
      </c>
      <c r="DO21" s="32">
        <f t="shared" si="58"/>
        <v>33264.1338375</v>
      </c>
      <c r="DP21" s="34">
        <f t="shared" si="59"/>
        <v>1944.0936319999998</v>
      </c>
      <c r="DQ21" s="34">
        <v>1458</v>
      </c>
      <c r="DR21" s="47"/>
      <c r="DS21" s="61">
        <f>$C21*DU$7</f>
        <v>588822.432</v>
      </c>
      <c r="DT21" s="61">
        <f t="shared" si="60"/>
        <v>63515.064855000004</v>
      </c>
      <c r="DU21" s="32">
        <f t="shared" si="61"/>
        <v>652337.496855</v>
      </c>
      <c r="DV21" s="34">
        <f t="shared" si="62"/>
        <v>38125.3027584</v>
      </c>
      <c r="DW21" s="34">
        <v>28600</v>
      </c>
      <c r="DX21" s="32"/>
      <c r="DY21" s="61">
        <f>$C21*EA$7</f>
        <v>30195.984</v>
      </c>
      <c r="DZ21" s="61">
        <f t="shared" si="63"/>
        <v>3257.1786975</v>
      </c>
      <c r="EA21" s="32">
        <f t="shared" si="64"/>
        <v>33453.1626975</v>
      </c>
      <c r="EB21" s="34">
        <f t="shared" si="65"/>
        <v>1955.1412608</v>
      </c>
      <c r="EC21" s="34">
        <v>1466</v>
      </c>
      <c r="ED21" s="47"/>
      <c r="EE21" s="61">
        <f>$C21*EG$7</f>
        <v>75710.432</v>
      </c>
      <c r="EF21" s="61">
        <f t="shared" si="66"/>
        <v>8166.728605</v>
      </c>
      <c r="EG21" s="32">
        <f t="shared" si="67"/>
        <v>83877.160605</v>
      </c>
      <c r="EH21" s="34">
        <f t="shared" si="68"/>
        <v>4902.1283584</v>
      </c>
      <c r="EI21" s="34">
        <v>3689</v>
      </c>
      <c r="EJ21" s="47"/>
      <c r="EK21" s="61">
        <f>$C21*EM$7</f>
        <v>765602.2880000001</v>
      </c>
      <c r="EL21" s="61">
        <f t="shared" si="69"/>
        <v>82583.9443825</v>
      </c>
      <c r="EM21" s="32">
        <f t="shared" si="70"/>
        <v>848186.2323825001</v>
      </c>
      <c r="EN21" s="34">
        <f t="shared" si="71"/>
        <v>49571.5133056</v>
      </c>
      <c r="EO21" s="34">
        <v>37204</v>
      </c>
      <c r="EP21" s="47"/>
      <c r="EQ21" s="47"/>
      <c r="ER21" s="47"/>
      <c r="ES21" s="47"/>
      <c r="ET21" s="47"/>
      <c r="EU21" s="47"/>
      <c r="EV21" s="47"/>
      <c r="EW21" s="32"/>
      <c r="EX21" s="32"/>
      <c r="EY21" s="32">
        <f t="shared" si="72"/>
        <v>0</v>
      </c>
    </row>
    <row r="22" spans="1:155" s="49" customFormat="1" ht="12.75">
      <c r="A22" s="48">
        <v>45017</v>
      </c>
      <c r="C22" s="39"/>
      <c r="D22" s="39">
        <v>411025</v>
      </c>
      <c r="E22" s="34">
        <f t="shared" si="0"/>
        <v>411025</v>
      </c>
      <c r="F22" s="34">
        <v>321152</v>
      </c>
      <c r="G22" s="34">
        <f t="shared" si="1"/>
        <v>241163</v>
      </c>
      <c r="H22" s="47"/>
      <c r="I22" s="47"/>
      <c r="J22" s="47">
        <f>'2012D Academic'!J22</f>
        <v>69229.72169750002</v>
      </c>
      <c r="K22" s="47">
        <f t="shared" si="2"/>
        <v>69229.72169750002</v>
      </c>
      <c r="L22" s="47">
        <f>'2012D Academic'!L22</f>
        <v>54092.2415488</v>
      </c>
      <c r="M22" s="47">
        <f>'2012D Academic'!M22</f>
        <v>40629</v>
      </c>
      <c r="N22" s="47"/>
      <c r="O22" s="47"/>
      <c r="P22" s="39">
        <f t="shared" si="4"/>
        <v>341795.3194050001</v>
      </c>
      <c r="Q22" s="47">
        <f t="shared" si="5"/>
        <v>341795.3194050001</v>
      </c>
      <c r="R22" s="39">
        <f t="shared" si="6"/>
        <v>267059.7905664</v>
      </c>
      <c r="S22" s="39">
        <f t="shared" si="7"/>
        <v>200534</v>
      </c>
      <c r="T22" s="47"/>
      <c r="U22" s="61"/>
      <c r="V22" s="61">
        <f t="shared" si="9"/>
        <v>1150.0890525</v>
      </c>
      <c r="W22" s="20">
        <f t="shared" si="10"/>
        <v>1150.0890525</v>
      </c>
      <c r="X22" s="34">
        <f t="shared" si="11"/>
        <v>898.6154112</v>
      </c>
      <c r="Y22" s="34">
        <v>680</v>
      </c>
      <c r="Z22" s="47"/>
      <c r="AA22" s="61"/>
      <c r="AB22" s="61">
        <f t="shared" si="12"/>
        <v>6189.9953975</v>
      </c>
      <c r="AC22" s="20">
        <f t="shared" si="13"/>
        <v>6189.9953975</v>
      </c>
      <c r="AD22" s="34">
        <f t="shared" si="14"/>
        <v>4836.5170048</v>
      </c>
      <c r="AE22" s="34">
        <v>3653</v>
      </c>
      <c r="AF22" s="47"/>
      <c r="AG22" s="61"/>
      <c r="AH22" s="61">
        <f t="shared" si="15"/>
        <v>9703.0260725</v>
      </c>
      <c r="AI22" s="32">
        <f t="shared" si="16"/>
        <v>9703.0260725</v>
      </c>
      <c r="AJ22" s="34">
        <f t="shared" si="17"/>
        <v>7581.4031488</v>
      </c>
      <c r="AK22" s="34">
        <v>5743</v>
      </c>
      <c r="AL22" s="47"/>
      <c r="AM22" s="61"/>
      <c r="AN22" s="61">
        <f t="shared" si="18"/>
        <v>2014.4746275</v>
      </c>
      <c r="AO22" s="20">
        <f t="shared" si="19"/>
        <v>2014.4746275</v>
      </c>
      <c r="AP22" s="34">
        <f t="shared" si="20"/>
        <v>1573.9980672000002</v>
      </c>
      <c r="AQ22" s="34">
        <v>1181</v>
      </c>
      <c r="AR22" s="47"/>
      <c r="AS22" s="61"/>
      <c r="AT22" s="61">
        <f t="shared" si="21"/>
        <v>122198.84226749999</v>
      </c>
      <c r="AU22" s="20">
        <f t="shared" si="22"/>
        <v>122198.84226749999</v>
      </c>
      <c r="AV22" s="34">
        <f t="shared" si="23"/>
        <v>95479.3567104</v>
      </c>
      <c r="AW22" s="34">
        <v>71690</v>
      </c>
      <c r="AX22" s="47"/>
      <c r="AY22" s="61"/>
      <c r="AZ22" s="61">
        <f t="shared" si="24"/>
        <v>678.6433774999999</v>
      </c>
      <c r="BA22" s="20">
        <f t="shared" si="25"/>
        <v>678.6433774999999</v>
      </c>
      <c r="BB22" s="34">
        <f t="shared" si="26"/>
        <v>530.2540672</v>
      </c>
      <c r="BC22" s="34">
        <v>398</v>
      </c>
      <c r="BD22" s="47"/>
      <c r="BE22" s="61"/>
      <c r="BF22" s="61">
        <f t="shared" si="27"/>
        <v>2363.2704425</v>
      </c>
      <c r="BG22" s="32">
        <f t="shared" si="28"/>
        <v>2363.2704425</v>
      </c>
      <c r="BH22" s="34">
        <f t="shared" si="29"/>
        <v>1846.5276544</v>
      </c>
      <c r="BI22" s="34">
        <v>1385</v>
      </c>
      <c r="BJ22" s="47"/>
      <c r="BK22" s="61"/>
      <c r="BL22" s="61">
        <f t="shared" si="30"/>
        <v>18078.68801</v>
      </c>
      <c r="BM22" s="32">
        <f t="shared" si="31"/>
        <v>18078.68801</v>
      </c>
      <c r="BN22" s="34">
        <f t="shared" si="32"/>
        <v>14125.678028799999</v>
      </c>
      <c r="BO22" s="34">
        <v>10596</v>
      </c>
      <c r="BP22" s="47"/>
      <c r="BQ22" s="61"/>
      <c r="BR22" s="61">
        <f t="shared" si="33"/>
        <v>5695.4501175</v>
      </c>
      <c r="BS22" s="32">
        <f t="shared" si="34"/>
        <v>5695.4501175</v>
      </c>
      <c r="BT22" s="34">
        <f t="shared" si="35"/>
        <v>4450.1069184</v>
      </c>
      <c r="BU22" s="34">
        <v>3338</v>
      </c>
      <c r="BV22" s="47"/>
      <c r="BW22" s="61"/>
      <c r="BX22" s="61">
        <f t="shared" si="36"/>
        <v>25770.198835</v>
      </c>
      <c r="BY22" s="32">
        <f t="shared" si="37"/>
        <v>25770.198835</v>
      </c>
      <c r="BZ22" s="34">
        <f t="shared" si="38"/>
        <v>20135.3954048</v>
      </c>
      <c r="CA22" s="34">
        <v>15110</v>
      </c>
      <c r="CB22" s="47"/>
      <c r="CC22" s="61"/>
      <c r="CD22" s="61">
        <f t="shared" si="39"/>
        <v>7.316244999999999</v>
      </c>
      <c r="CE22" s="32">
        <f t="shared" si="40"/>
        <v>7.316244999999999</v>
      </c>
      <c r="CF22" s="34">
        <f t="shared" si="41"/>
        <v>5.7165056</v>
      </c>
      <c r="CG22" s="34">
        <v>4</v>
      </c>
      <c r="CH22" s="47"/>
      <c r="CI22" s="61"/>
      <c r="CJ22" s="61">
        <f t="shared" si="42"/>
        <v>3314.916625</v>
      </c>
      <c r="CK22" s="32">
        <f t="shared" si="43"/>
        <v>3314.916625</v>
      </c>
      <c r="CL22" s="34">
        <f t="shared" si="44"/>
        <v>2590.0908799999997</v>
      </c>
      <c r="CM22" s="34">
        <v>1950</v>
      </c>
      <c r="CN22" s="47"/>
      <c r="CO22" s="61"/>
      <c r="CP22" s="61">
        <f t="shared" si="45"/>
        <v>1851.4210100000003</v>
      </c>
      <c r="CQ22" s="32">
        <f t="shared" si="46"/>
        <v>1851.4210100000003</v>
      </c>
      <c r="CR22" s="34">
        <f t="shared" si="47"/>
        <v>1446.5970688000002</v>
      </c>
      <c r="CS22" s="34">
        <v>1087</v>
      </c>
      <c r="CT22" s="47"/>
      <c r="CU22" s="61"/>
      <c r="CV22" s="61">
        <f t="shared" si="48"/>
        <v>1238.2950175</v>
      </c>
      <c r="CW22" s="32">
        <f t="shared" si="49"/>
        <v>1238.2950175</v>
      </c>
      <c r="CX22" s="34">
        <f t="shared" si="50"/>
        <v>967.5346304000001</v>
      </c>
      <c r="CY22" s="34">
        <v>726</v>
      </c>
      <c r="CZ22" s="47"/>
      <c r="DA22" s="61"/>
      <c r="DB22" s="61">
        <f t="shared" si="51"/>
        <v>1367.8500975</v>
      </c>
      <c r="DC22" s="32">
        <f t="shared" si="52"/>
        <v>1367.8500975</v>
      </c>
      <c r="DD22" s="34">
        <f t="shared" si="53"/>
        <v>1068.7617408</v>
      </c>
      <c r="DE22" s="34">
        <v>805</v>
      </c>
      <c r="DF22" s="47"/>
      <c r="DG22" s="61"/>
      <c r="DH22" s="61">
        <f t="shared" si="54"/>
        <v>16670.0642325</v>
      </c>
      <c r="DI22" s="32">
        <f t="shared" si="55"/>
        <v>16670.0642325</v>
      </c>
      <c r="DJ22" s="34">
        <f t="shared" si="56"/>
        <v>13025.0580096</v>
      </c>
      <c r="DK22" s="34">
        <v>9771</v>
      </c>
      <c r="DL22" s="47"/>
      <c r="DM22" s="61"/>
      <c r="DN22" s="61">
        <f t="shared" si="57"/>
        <v>2488.1398375</v>
      </c>
      <c r="DO22" s="32">
        <f t="shared" si="58"/>
        <v>2488.1398375</v>
      </c>
      <c r="DP22" s="34">
        <f t="shared" si="59"/>
        <v>1944.0936319999998</v>
      </c>
      <c r="DQ22" s="34">
        <v>1458</v>
      </c>
      <c r="DR22" s="47"/>
      <c r="DS22" s="61"/>
      <c r="DT22" s="61">
        <f t="shared" si="60"/>
        <v>48794.504055000005</v>
      </c>
      <c r="DU22" s="32">
        <f t="shared" si="61"/>
        <v>48794.504055000005</v>
      </c>
      <c r="DV22" s="34">
        <f t="shared" si="62"/>
        <v>38125.3027584</v>
      </c>
      <c r="DW22" s="34">
        <v>28600</v>
      </c>
      <c r="DX22" s="32"/>
      <c r="DY22" s="61"/>
      <c r="DZ22" s="61">
        <f t="shared" si="63"/>
        <v>2502.2790975000003</v>
      </c>
      <c r="EA22" s="32">
        <f t="shared" si="64"/>
        <v>2502.2790975000003</v>
      </c>
      <c r="EB22" s="34">
        <f t="shared" si="65"/>
        <v>1955.1412608</v>
      </c>
      <c r="EC22" s="34">
        <v>1466</v>
      </c>
      <c r="ED22" s="47"/>
      <c r="EE22" s="61"/>
      <c r="EF22" s="61">
        <f t="shared" si="66"/>
        <v>6273.967805</v>
      </c>
      <c r="EG22" s="32">
        <f t="shared" si="67"/>
        <v>6273.967805</v>
      </c>
      <c r="EH22" s="34">
        <f t="shared" si="68"/>
        <v>4902.1283584</v>
      </c>
      <c r="EI22" s="34">
        <v>3689</v>
      </c>
      <c r="EJ22" s="47"/>
      <c r="EK22" s="61"/>
      <c r="EL22" s="61">
        <f t="shared" si="69"/>
        <v>63443.8871825</v>
      </c>
      <c r="EM22" s="32">
        <f t="shared" si="70"/>
        <v>63443.8871825</v>
      </c>
      <c r="EN22" s="34">
        <f t="shared" si="71"/>
        <v>49571.5133056</v>
      </c>
      <c r="EO22" s="34">
        <v>37204</v>
      </c>
      <c r="EP22" s="47"/>
      <c r="EQ22" s="47"/>
      <c r="ER22" s="47"/>
      <c r="ES22" s="47"/>
      <c r="ET22" s="47"/>
      <c r="EU22" s="47"/>
      <c r="EV22" s="47"/>
      <c r="EW22" s="32"/>
      <c r="EX22" s="32"/>
      <c r="EY22" s="32">
        <f t="shared" si="72"/>
        <v>0</v>
      </c>
    </row>
    <row r="23" spans="1:155" s="49" customFormat="1" ht="12.75">
      <c r="A23" s="48">
        <v>45200</v>
      </c>
      <c r="C23" s="39">
        <v>5180000</v>
      </c>
      <c r="D23" s="39">
        <v>411025</v>
      </c>
      <c r="E23" s="34">
        <f t="shared" si="0"/>
        <v>5591025</v>
      </c>
      <c r="F23" s="34">
        <v>321152</v>
      </c>
      <c r="G23" s="34">
        <f t="shared" si="1"/>
        <v>241163</v>
      </c>
      <c r="H23" s="47"/>
      <c r="I23" s="47">
        <f>'2012D Academic'!I23</f>
        <v>872477.2420000002</v>
      </c>
      <c r="J23" s="47">
        <f>'2012D Academic'!J23</f>
        <v>69229.72169750002</v>
      </c>
      <c r="K23" s="47">
        <f t="shared" si="2"/>
        <v>941706.9636975002</v>
      </c>
      <c r="L23" s="47">
        <f>'2012D Academic'!L23</f>
        <v>54092.2415488</v>
      </c>
      <c r="M23" s="47">
        <f>'2012D Academic'!M23</f>
        <v>40629</v>
      </c>
      <c r="N23" s="47"/>
      <c r="O23" s="47">
        <f t="shared" si="3"/>
        <v>4307523.276</v>
      </c>
      <c r="P23" s="39">
        <f t="shared" si="4"/>
        <v>341795.3194050001</v>
      </c>
      <c r="Q23" s="47">
        <f t="shared" si="5"/>
        <v>4649318.595404999</v>
      </c>
      <c r="R23" s="39">
        <f t="shared" si="6"/>
        <v>267059.7905664</v>
      </c>
      <c r="S23" s="39">
        <f t="shared" si="7"/>
        <v>200534</v>
      </c>
      <c r="T23" s="47"/>
      <c r="U23" s="61">
        <f t="shared" si="8"/>
        <v>14494.158</v>
      </c>
      <c r="V23" s="61">
        <f t="shared" si="9"/>
        <v>1150.0890525</v>
      </c>
      <c r="W23" s="20">
        <f t="shared" si="10"/>
        <v>15644.247052499999</v>
      </c>
      <c r="X23" s="34">
        <f t="shared" si="11"/>
        <v>898.6154112</v>
      </c>
      <c r="Y23" s="34">
        <v>680</v>
      </c>
      <c r="Z23" s="47"/>
      <c r="AA23" s="61">
        <f>$C23*AC$7</f>
        <v>78010.28199999999</v>
      </c>
      <c r="AB23" s="61">
        <f t="shared" si="12"/>
        <v>6189.9953975</v>
      </c>
      <c r="AC23" s="20">
        <f t="shared" si="13"/>
        <v>84200.27739749999</v>
      </c>
      <c r="AD23" s="34">
        <f t="shared" si="14"/>
        <v>4836.5170048</v>
      </c>
      <c r="AE23" s="34">
        <v>3653</v>
      </c>
      <c r="AF23" s="47"/>
      <c r="AG23" s="61">
        <f>$C23*AI$7</f>
        <v>122283.742</v>
      </c>
      <c r="AH23" s="61">
        <f t="shared" si="15"/>
        <v>9703.0260725</v>
      </c>
      <c r="AI23" s="32">
        <f t="shared" si="16"/>
        <v>131986.7680725</v>
      </c>
      <c r="AJ23" s="34">
        <f t="shared" si="17"/>
        <v>7581.4031488</v>
      </c>
      <c r="AK23" s="34">
        <v>5743</v>
      </c>
      <c r="AL23" s="47"/>
      <c r="AM23" s="61">
        <f>$C23*AO$7</f>
        <v>25387.698</v>
      </c>
      <c r="AN23" s="61">
        <f t="shared" si="18"/>
        <v>2014.4746275</v>
      </c>
      <c r="AO23" s="20">
        <f t="shared" si="19"/>
        <v>27402.1726275</v>
      </c>
      <c r="AP23" s="34">
        <f t="shared" si="20"/>
        <v>1573.9980672000002</v>
      </c>
      <c r="AQ23" s="34">
        <v>1181</v>
      </c>
      <c r="AR23" s="47"/>
      <c r="AS23" s="61">
        <f>$C23*AU$7</f>
        <v>1540027.9859999998</v>
      </c>
      <c r="AT23" s="61">
        <f t="shared" si="21"/>
        <v>122198.84226749999</v>
      </c>
      <c r="AU23" s="20">
        <f t="shared" si="22"/>
        <v>1662226.8282674998</v>
      </c>
      <c r="AV23" s="34">
        <f t="shared" si="23"/>
        <v>95479.3567104</v>
      </c>
      <c r="AW23" s="34">
        <v>71690</v>
      </c>
      <c r="AX23" s="47"/>
      <c r="AY23" s="61">
        <f>$C23*BA$7</f>
        <v>8552.698</v>
      </c>
      <c r="AZ23" s="61">
        <f t="shared" si="24"/>
        <v>678.6433774999999</v>
      </c>
      <c r="BA23" s="20">
        <f t="shared" si="25"/>
        <v>9231.3413775</v>
      </c>
      <c r="BB23" s="34">
        <f t="shared" si="26"/>
        <v>530.2540672</v>
      </c>
      <c r="BC23" s="34">
        <v>398</v>
      </c>
      <c r="BD23" s="47"/>
      <c r="BE23" s="61">
        <f>$C23*BG$7</f>
        <v>29783.446</v>
      </c>
      <c r="BF23" s="61">
        <f t="shared" si="27"/>
        <v>2363.2704425</v>
      </c>
      <c r="BG23" s="32">
        <f t="shared" si="28"/>
        <v>32146.7164425</v>
      </c>
      <c r="BH23" s="34">
        <f t="shared" si="29"/>
        <v>1846.5276544</v>
      </c>
      <c r="BI23" s="34">
        <v>1385</v>
      </c>
      <c r="BJ23" s="47"/>
      <c r="BK23" s="61">
        <f>$C23*BM$7</f>
        <v>227839.192</v>
      </c>
      <c r="BL23" s="61">
        <f t="shared" si="30"/>
        <v>18078.68801</v>
      </c>
      <c r="BM23" s="32">
        <f t="shared" si="31"/>
        <v>245917.88001000002</v>
      </c>
      <c r="BN23" s="34">
        <f t="shared" si="32"/>
        <v>14125.678028799999</v>
      </c>
      <c r="BO23" s="34">
        <v>10596</v>
      </c>
      <c r="BP23" s="47"/>
      <c r="BQ23" s="61">
        <f>$C23*BS$7</f>
        <v>71777.70599999999</v>
      </c>
      <c r="BR23" s="61">
        <f t="shared" si="33"/>
        <v>5695.4501175</v>
      </c>
      <c r="BS23" s="32">
        <f t="shared" si="34"/>
        <v>77473.1561175</v>
      </c>
      <c r="BT23" s="34">
        <f t="shared" si="35"/>
        <v>4450.1069184</v>
      </c>
      <c r="BU23" s="34">
        <v>3338</v>
      </c>
      <c r="BV23" s="47"/>
      <c r="BW23" s="61">
        <f>$C23*BY$7</f>
        <v>324772.532</v>
      </c>
      <c r="BX23" s="61">
        <f t="shared" si="36"/>
        <v>25770.198835</v>
      </c>
      <c r="BY23" s="32">
        <f t="shared" si="37"/>
        <v>350542.730835</v>
      </c>
      <c r="BZ23" s="34">
        <f t="shared" si="38"/>
        <v>20135.3954048</v>
      </c>
      <c r="CA23" s="34">
        <v>15110</v>
      </c>
      <c r="CB23" s="47"/>
      <c r="CC23" s="61">
        <f>$C23*CE$7</f>
        <v>92.204</v>
      </c>
      <c r="CD23" s="61">
        <f t="shared" si="39"/>
        <v>7.316244999999999</v>
      </c>
      <c r="CE23" s="32">
        <f t="shared" si="40"/>
        <v>99.52024499999999</v>
      </c>
      <c r="CF23" s="34">
        <f t="shared" si="41"/>
        <v>5.7165056</v>
      </c>
      <c r="CG23" s="34">
        <v>4</v>
      </c>
      <c r="CH23" s="47"/>
      <c r="CI23" s="61">
        <f>$C23*CK$7</f>
        <v>41776.7</v>
      </c>
      <c r="CJ23" s="61">
        <f t="shared" si="42"/>
        <v>3314.916625</v>
      </c>
      <c r="CK23" s="32">
        <f t="shared" si="43"/>
        <v>45091.616624999995</v>
      </c>
      <c r="CL23" s="34">
        <f t="shared" si="44"/>
        <v>2590.0908799999997</v>
      </c>
      <c r="CM23" s="34">
        <v>1950</v>
      </c>
      <c r="CN23" s="47"/>
      <c r="CO23" s="61">
        <f>$C23*CQ$7</f>
        <v>23332.792</v>
      </c>
      <c r="CP23" s="61">
        <f t="shared" si="45"/>
        <v>1851.4210100000003</v>
      </c>
      <c r="CQ23" s="32">
        <f t="shared" si="46"/>
        <v>25184.213010000003</v>
      </c>
      <c r="CR23" s="34">
        <f t="shared" si="47"/>
        <v>1446.5970688000002</v>
      </c>
      <c r="CS23" s="34">
        <v>1087</v>
      </c>
      <c r="CT23" s="47"/>
      <c r="CU23" s="61">
        <f>$C23*CW$7</f>
        <v>15605.786</v>
      </c>
      <c r="CV23" s="61">
        <f t="shared" si="48"/>
        <v>1238.2950175</v>
      </c>
      <c r="CW23" s="32">
        <f t="shared" si="49"/>
        <v>16844.0810175</v>
      </c>
      <c r="CX23" s="34">
        <f t="shared" si="50"/>
        <v>967.5346304000001</v>
      </c>
      <c r="CY23" s="34">
        <v>726</v>
      </c>
      <c r="CZ23" s="47"/>
      <c r="DA23" s="61">
        <f>$C23*DC$7</f>
        <v>17238.522</v>
      </c>
      <c r="DB23" s="61">
        <f t="shared" si="51"/>
        <v>1367.8500975</v>
      </c>
      <c r="DC23" s="32">
        <f t="shared" si="52"/>
        <v>18606.3720975</v>
      </c>
      <c r="DD23" s="34">
        <f t="shared" si="53"/>
        <v>1068.7617408</v>
      </c>
      <c r="DE23" s="34">
        <v>805</v>
      </c>
      <c r="DF23" s="47"/>
      <c r="DG23" s="61">
        <f>$C23*DI$7</f>
        <v>210086.81399999998</v>
      </c>
      <c r="DH23" s="61">
        <f t="shared" si="54"/>
        <v>16670.0642325</v>
      </c>
      <c r="DI23" s="32">
        <f t="shared" si="55"/>
        <v>226756.8782325</v>
      </c>
      <c r="DJ23" s="34">
        <f t="shared" si="56"/>
        <v>13025.0580096</v>
      </c>
      <c r="DK23" s="34">
        <v>9771</v>
      </c>
      <c r="DL23" s="47"/>
      <c r="DM23" s="61">
        <f>$C23*DO$7</f>
        <v>31357.13</v>
      </c>
      <c r="DN23" s="61">
        <f t="shared" si="57"/>
        <v>2488.1398375</v>
      </c>
      <c r="DO23" s="32">
        <f t="shared" si="58"/>
        <v>33845.2698375</v>
      </c>
      <c r="DP23" s="34">
        <f t="shared" si="59"/>
        <v>1944.0936319999998</v>
      </c>
      <c r="DQ23" s="34">
        <v>1458</v>
      </c>
      <c r="DR23" s="47"/>
      <c r="DS23" s="61">
        <f>$C23*DU$7</f>
        <v>614939.556</v>
      </c>
      <c r="DT23" s="61">
        <f t="shared" si="60"/>
        <v>48794.504055000005</v>
      </c>
      <c r="DU23" s="32">
        <f t="shared" si="61"/>
        <v>663734.060055</v>
      </c>
      <c r="DV23" s="34">
        <f t="shared" si="62"/>
        <v>38125.3027584</v>
      </c>
      <c r="DW23" s="34">
        <v>28600</v>
      </c>
      <c r="DX23" s="32"/>
      <c r="DY23" s="61">
        <f>$C23*EA$7</f>
        <v>31535.322</v>
      </c>
      <c r="DZ23" s="61">
        <f t="shared" si="63"/>
        <v>2502.2790975000003</v>
      </c>
      <c r="EA23" s="32">
        <f t="shared" si="64"/>
        <v>34037.6010975</v>
      </c>
      <c r="EB23" s="34">
        <f t="shared" si="65"/>
        <v>1955.1412608</v>
      </c>
      <c r="EC23" s="34">
        <v>1466</v>
      </c>
      <c r="ED23" s="47"/>
      <c r="EE23" s="61">
        <f>$C23*EG$7</f>
        <v>79068.556</v>
      </c>
      <c r="EF23" s="61">
        <f t="shared" si="66"/>
        <v>6273.967805</v>
      </c>
      <c r="EG23" s="32">
        <f t="shared" si="67"/>
        <v>85342.523805</v>
      </c>
      <c r="EH23" s="34">
        <f t="shared" si="68"/>
        <v>4902.1283584</v>
      </c>
      <c r="EI23" s="34">
        <v>3689</v>
      </c>
      <c r="EJ23" s="47"/>
      <c r="EK23" s="61">
        <f>$C23*EM$7</f>
        <v>799560.454</v>
      </c>
      <c r="EL23" s="61">
        <f t="shared" si="69"/>
        <v>63443.8871825</v>
      </c>
      <c r="EM23" s="32">
        <f t="shared" si="70"/>
        <v>863004.3411825</v>
      </c>
      <c r="EN23" s="34">
        <f t="shared" si="71"/>
        <v>49571.5133056</v>
      </c>
      <c r="EO23" s="34">
        <v>37204</v>
      </c>
      <c r="EP23" s="47"/>
      <c r="EQ23" s="47"/>
      <c r="ER23" s="47"/>
      <c r="ES23" s="47"/>
      <c r="ET23" s="47"/>
      <c r="EU23" s="47"/>
      <c r="EV23" s="47"/>
      <c r="EW23" s="32"/>
      <c r="EX23" s="32"/>
      <c r="EY23" s="32">
        <f t="shared" si="72"/>
        <v>0</v>
      </c>
    </row>
    <row r="24" spans="1:155" s="49" customFormat="1" ht="12.75">
      <c r="A24" s="48">
        <v>45383</v>
      </c>
      <c r="C24" s="39"/>
      <c r="D24" s="39">
        <v>307425</v>
      </c>
      <c r="E24" s="34">
        <f t="shared" si="0"/>
        <v>307425</v>
      </c>
      <c r="F24" s="34">
        <v>321152</v>
      </c>
      <c r="G24" s="34">
        <f t="shared" si="1"/>
        <v>241163</v>
      </c>
      <c r="H24" s="47"/>
      <c r="I24" s="47"/>
      <c r="J24" s="47">
        <f>'2012D Academic'!J24</f>
        <v>51780.17685749999</v>
      </c>
      <c r="K24" s="47">
        <f t="shared" si="2"/>
        <v>51780.17685749999</v>
      </c>
      <c r="L24" s="47">
        <f>'2012D Academic'!L24</f>
        <v>54092.2415488</v>
      </c>
      <c r="M24" s="47">
        <f>'2012D Academic'!M24</f>
        <v>40629</v>
      </c>
      <c r="N24" s="47"/>
      <c r="O24" s="47"/>
      <c r="P24" s="39">
        <f t="shared" si="4"/>
        <v>255644.85388500002</v>
      </c>
      <c r="Q24" s="47">
        <f t="shared" si="5"/>
        <v>255644.85388500002</v>
      </c>
      <c r="R24" s="39">
        <f t="shared" si="6"/>
        <v>267059.7905664</v>
      </c>
      <c r="S24" s="39">
        <f t="shared" si="7"/>
        <v>200534</v>
      </c>
      <c r="T24" s="47"/>
      <c r="U24" s="61"/>
      <c r="V24" s="61">
        <f t="shared" si="9"/>
        <v>860.2058925</v>
      </c>
      <c r="W24" s="20">
        <f t="shared" si="10"/>
        <v>860.2058925</v>
      </c>
      <c r="X24" s="34">
        <f t="shared" si="11"/>
        <v>898.6154112</v>
      </c>
      <c r="Y24" s="34">
        <v>680</v>
      </c>
      <c r="Z24" s="47"/>
      <c r="AA24" s="61"/>
      <c r="AB24" s="61">
        <f t="shared" si="12"/>
        <v>4629.7897575</v>
      </c>
      <c r="AC24" s="20">
        <f t="shared" si="13"/>
        <v>4629.7897575</v>
      </c>
      <c r="AD24" s="34">
        <f t="shared" si="14"/>
        <v>4836.5170048</v>
      </c>
      <c r="AE24" s="34">
        <v>3653</v>
      </c>
      <c r="AF24" s="47"/>
      <c r="AG24" s="61"/>
      <c r="AH24" s="61">
        <f t="shared" si="15"/>
        <v>7257.3512325</v>
      </c>
      <c r="AI24" s="32">
        <f t="shared" si="16"/>
        <v>7257.3512325</v>
      </c>
      <c r="AJ24" s="34">
        <f t="shared" si="17"/>
        <v>7581.4031488</v>
      </c>
      <c r="AK24" s="34">
        <v>5743</v>
      </c>
      <c r="AL24" s="47"/>
      <c r="AM24" s="61"/>
      <c r="AN24" s="61">
        <f t="shared" si="18"/>
        <v>1506.7206675</v>
      </c>
      <c r="AO24" s="20">
        <f t="shared" si="19"/>
        <v>1506.7206675</v>
      </c>
      <c r="AP24" s="34">
        <f t="shared" si="20"/>
        <v>1573.9980672000002</v>
      </c>
      <c r="AQ24" s="34">
        <v>1181</v>
      </c>
      <c r="AR24" s="47"/>
      <c r="AS24" s="61"/>
      <c r="AT24" s="61">
        <f t="shared" si="21"/>
        <v>91398.2825475</v>
      </c>
      <c r="AU24" s="20">
        <f t="shared" si="22"/>
        <v>91398.2825475</v>
      </c>
      <c r="AV24" s="34">
        <f t="shared" si="23"/>
        <v>95479.3567104</v>
      </c>
      <c r="AW24" s="34">
        <v>71690</v>
      </c>
      <c r="AX24" s="47"/>
      <c r="AY24" s="61"/>
      <c r="AZ24" s="61">
        <f t="shared" si="24"/>
        <v>507.58941749999997</v>
      </c>
      <c r="BA24" s="20">
        <f t="shared" si="25"/>
        <v>507.58941749999997</v>
      </c>
      <c r="BB24" s="34">
        <f t="shared" si="26"/>
        <v>530.2540672</v>
      </c>
      <c r="BC24" s="34">
        <v>398</v>
      </c>
      <c r="BD24" s="47"/>
      <c r="BE24" s="61"/>
      <c r="BF24" s="61">
        <f t="shared" si="27"/>
        <v>1767.6015224999999</v>
      </c>
      <c r="BG24" s="32">
        <f t="shared" si="28"/>
        <v>1767.6015224999999</v>
      </c>
      <c r="BH24" s="34">
        <f t="shared" si="29"/>
        <v>1846.5276544</v>
      </c>
      <c r="BI24" s="34">
        <v>1385</v>
      </c>
      <c r="BJ24" s="47"/>
      <c r="BK24" s="61"/>
      <c r="BL24" s="61">
        <f t="shared" si="30"/>
        <v>13521.90417</v>
      </c>
      <c r="BM24" s="32">
        <f t="shared" si="31"/>
        <v>13521.90417</v>
      </c>
      <c r="BN24" s="34">
        <f t="shared" si="32"/>
        <v>14125.678028799999</v>
      </c>
      <c r="BO24" s="34">
        <v>10596</v>
      </c>
      <c r="BP24" s="47"/>
      <c r="BQ24" s="61"/>
      <c r="BR24" s="61">
        <f t="shared" si="33"/>
        <v>4259.8959975</v>
      </c>
      <c r="BS24" s="32">
        <f t="shared" si="34"/>
        <v>4259.8959975</v>
      </c>
      <c r="BT24" s="34">
        <f t="shared" si="35"/>
        <v>4450.1069184</v>
      </c>
      <c r="BU24" s="34">
        <v>3338</v>
      </c>
      <c r="BV24" s="47"/>
      <c r="BW24" s="61"/>
      <c r="BX24" s="61">
        <f t="shared" si="36"/>
        <v>19274.748195</v>
      </c>
      <c r="BY24" s="32">
        <f t="shared" si="37"/>
        <v>19274.748195</v>
      </c>
      <c r="BZ24" s="34">
        <f t="shared" si="38"/>
        <v>20135.3954048</v>
      </c>
      <c r="CA24" s="34">
        <v>15110</v>
      </c>
      <c r="CB24" s="47"/>
      <c r="CC24" s="61"/>
      <c r="CD24" s="61">
        <f t="shared" si="39"/>
        <v>5.4721649999999995</v>
      </c>
      <c r="CE24" s="32">
        <f t="shared" si="40"/>
        <v>5.4721649999999995</v>
      </c>
      <c r="CF24" s="34">
        <f t="shared" si="41"/>
        <v>5.7165056</v>
      </c>
      <c r="CG24" s="34">
        <v>4</v>
      </c>
      <c r="CH24" s="47"/>
      <c r="CI24" s="61"/>
      <c r="CJ24" s="61">
        <f t="shared" si="42"/>
        <v>2479.3826249999997</v>
      </c>
      <c r="CK24" s="32">
        <f t="shared" si="43"/>
        <v>2479.3826249999997</v>
      </c>
      <c r="CL24" s="34">
        <f t="shared" si="44"/>
        <v>2590.0908799999997</v>
      </c>
      <c r="CM24" s="34">
        <v>1950</v>
      </c>
      <c r="CN24" s="47"/>
      <c r="CO24" s="61"/>
      <c r="CP24" s="61">
        <f t="shared" si="45"/>
        <v>1384.7651700000001</v>
      </c>
      <c r="CQ24" s="32">
        <f t="shared" si="46"/>
        <v>1384.7651700000001</v>
      </c>
      <c r="CR24" s="34">
        <f t="shared" si="47"/>
        <v>1446.5970688000002</v>
      </c>
      <c r="CS24" s="34">
        <v>1087</v>
      </c>
      <c r="CT24" s="47"/>
      <c r="CU24" s="61"/>
      <c r="CV24" s="61">
        <f t="shared" si="48"/>
        <v>926.1792975000001</v>
      </c>
      <c r="CW24" s="32">
        <f t="shared" si="49"/>
        <v>926.1792975000001</v>
      </c>
      <c r="CX24" s="34">
        <f t="shared" si="50"/>
        <v>967.5346304000001</v>
      </c>
      <c r="CY24" s="34">
        <v>726</v>
      </c>
      <c r="CZ24" s="47"/>
      <c r="DA24" s="61"/>
      <c r="DB24" s="61">
        <f t="shared" si="51"/>
        <v>1023.0796574999999</v>
      </c>
      <c r="DC24" s="32">
        <f t="shared" si="52"/>
        <v>1023.0796574999999</v>
      </c>
      <c r="DD24" s="34">
        <f t="shared" si="53"/>
        <v>1068.7617408</v>
      </c>
      <c r="DE24" s="34">
        <v>805</v>
      </c>
      <c r="DF24" s="47"/>
      <c r="DG24" s="61"/>
      <c r="DH24" s="61">
        <f t="shared" si="54"/>
        <v>12468.3279525</v>
      </c>
      <c r="DI24" s="32">
        <f t="shared" si="55"/>
        <v>12468.3279525</v>
      </c>
      <c r="DJ24" s="34">
        <f t="shared" si="56"/>
        <v>13025.0580096</v>
      </c>
      <c r="DK24" s="34">
        <v>9771</v>
      </c>
      <c r="DL24" s="47"/>
      <c r="DM24" s="61"/>
      <c r="DN24" s="61">
        <f t="shared" si="57"/>
        <v>1860.9972375</v>
      </c>
      <c r="DO24" s="32">
        <f t="shared" si="58"/>
        <v>1860.9972375</v>
      </c>
      <c r="DP24" s="34">
        <f t="shared" si="59"/>
        <v>1944.0936319999998</v>
      </c>
      <c r="DQ24" s="34">
        <v>1458</v>
      </c>
      <c r="DR24" s="47"/>
      <c r="DS24" s="61"/>
      <c r="DT24" s="61">
        <f t="shared" si="60"/>
        <v>36495.712935</v>
      </c>
      <c r="DU24" s="32">
        <f t="shared" si="61"/>
        <v>36495.712935</v>
      </c>
      <c r="DV24" s="34">
        <f t="shared" si="62"/>
        <v>38125.3027584</v>
      </c>
      <c r="DW24" s="34">
        <v>28600</v>
      </c>
      <c r="DX24" s="32"/>
      <c r="DY24" s="61"/>
      <c r="DZ24" s="61">
        <f t="shared" si="63"/>
        <v>1871.5726575</v>
      </c>
      <c r="EA24" s="32">
        <f t="shared" si="64"/>
        <v>1871.5726575</v>
      </c>
      <c r="EB24" s="34">
        <f t="shared" si="65"/>
        <v>1955.1412608</v>
      </c>
      <c r="EC24" s="34">
        <v>1466</v>
      </c>
      <c r="ED24" s="47"/>
      <c r="EE24" s="61"/>
      <c r="EF24" s="61">
        <f t="shared" si="66"/>
        <v>4692.596685</v>
      </c>
      <c r="EG24" s="32">
        <f t="shared" si="67"/>
        <v>4692.596685</v>
      </c>
      <c r="EH24" s="34">
        <f t="shared" si="68"/>
        <v>4902.1283584</v>
      </c>
      <c r="EI24" s="34">
        <v>3689</v>
      </c>
      <c r="EJ24" s="47"/>
      <c r="EK24" s="61"/>
      <c r="EL24" s="61">
        <f t="shared" si="69"/>
        <v>47452.6781025</v>
      </c>
      <c r="EM24" s="32">
        <f t="shared" si="70"/>
        <v>47452.6781025</v>
      </c>
      <c r="EN24" s="34">
        <f t="shared" si="71"/>
        <v>49571.5133056</v>
      </c>
      <c r="EO24" s="34">
        <v>37204</v>
      </c>
      <c r="EP24" s="47"/>
      <c r="EQ24" s="47"/>
      <c r="ER24" s="47"/>
      <c r="ES24" s="47"/>
      <c r="ET24" s="47"/>
      <c r="EU24" s="47"/>
      <c r="EV24" s="47"/>
      <c r="EW24" s="32"/>
      <c r="EX24" s="32"/>
      <c r="EY24" s="32">
        <f t="shared" si="72"/>
        <v>0</v>
      </c>
    </row>
    <row r="25" spans="1:155" s="49" customFormat="1" ht="12.75">
      <c r="A25" s="19">
        <v>45566</v>
      </c>
      <c r="C25" s="39">
        <v>5395000</v>
      </c>
      <c r="D25" s="39">
        <v>307425</v>
      </c>
      <c r="E25" s="34">
        <f t="shared" si="0"/>
        <v>5702425</v>
      </c>
      <c r="F25" s="34">
        <v>321152</v>
      </c>
      <c r="G25" s="34">
        <f t="shared" si="1"/>
        <v>241163</v>
      </c>
      <c r="H25" s="47"/>
      <c r="I25" s="47">
        <f>'2012D Academic'!I25</f>
        <v>908690.1005000002</v>
      </c>
      <c r="J25" s="47">
        <f>'2012D Academic'!J25</f>
        <v>51780.17685749999</v>
      </c>
      <c r="K25" s="47">
        <f t="shared" si="2"/>
        <v>960470.2773575002</v>
      </c>
      <c r="L25" s="47">
        <f>'2012D Academic'!L25</f>
        <v>54092.2415488</v>
      </c>
      <c r="M25" s="47">
        <f>'2012D Academic'!M25</f>
        <v>40629</v>
      </c>
      <c r="N25" s="47"/>
      <c r="O25" s="47">
        <f t="shared" si="3"/>
        <v>4486310.438999999</v>
      </c>
      <c r="P25" s="39">
        <f t="shared" si="4"/>
        <v>255644.85388500002</v>
      </c>
      <c r="Q25" s="47">
        <f t="shared" si="5"/>
        <v>4741955.292884999</v>
      </c>
      <c r="R25" s="39">
        <f t="shared" si="6"/>
        <v>267059.7905664</v>
      </c>
      <c r="S25" s="39">
        <f t="shared" si="7"/>
        <v>200534</v>
      </c>
      <c r="T25" s="47"/>
      <c r="U25" s="61">
        <f t="shared" si="8"/>
        <v>15095.7495</v>
      </c>
      <c r="V25" s="61">
        <f t="shared" si="9"/>
        <v>860.2058925</v>
      </c>
      <c r="W25" s="20">
        <f t="shared" si="10"/>
        <v>15955.9553925</v>
      </c>
      <c r="X25" s="34">
        <f t="shared" si="11"/>
        <v>898.6154112</v>
      </c>
      <c r="Y25" s="34">
        <v>680</v>
      </c>
      <c r="Z25" s="47"/>
      <c r="AA25" s="61">
        <f>$C25*AC$7</f>
        <v>81248.1605</v>
      </c>
      <c r="AB25" s="61">
        <f t="shared" si="12"/>
        <v>4629.7897575</v>
      </c>
      <c r="AC25" s="20">
        <f t="shared" si="13"/>
        <v>85877.9502575</v>
      </c>
      <c r="AD25" s="34">
        <f t="shared" si="14"/>
        <v>4836.5170048</v>
      </c>
      <c r="AE25" s="34">
        <v>3653</v>
      </c>
      <c r="AF25" s="47"/>
      <c r="AG25" s="61">
        <f>$C25*AI$7</f>
        <v>127359.2255</v>
      </c>
      <c r="AH25" s="61">
        <f t="shared" si="15"/>
        <v>7257.3512325</v>
      </c>
      <c r="AI25" s="32">
        <f t="shared" si="16"/>
        <v>134616.5767325</v>
      </c>
      <c r="AJ25" s="34">
        <f t="shared" si="17"/>
        <v>7581.4031488</v>
      </c>
      <c r="AK25" s="34">
        <v>5743</v>
      </c>
      <c r="AL25" s="47"/>
      <c r="AM25" s="61">
        <f>$C25*AO$7</f>
        <v>26441.434500000003</v>
      </c>
      <c r="AN25" s="61">
        <f t="shared" si="18"/>
        <v>1506.7206675</v>
      </c>
      <c r="AO25" s="20">
        <f t="shared" si="19"/>
        <v>27948.155167500005</v>
      </c>
      <c r="AP25" s="34">
        <f t="shared" si="20"/>
        <v>1573.9980672000002</v>
      </c>
      <c r="AQ25" s="34">
        <v>1181</v>
      </c>
      <c r="AR25" s="47"/>
      <c r="AS25" s="61">
        <f>$C25*AU$7</f>
        <v>1603948.0665</v>
      </c>
      <c r="AT25" s="61">
        <f t="shared" si="21"/>
        <v>91398.2825475</v>
      </c>
      <c r="AU25" s="20">
        <f t="shared" si="22"/>
        <v>1695346.3490475</v>
      </c>
      <c r="AV25" s="34">
        <f t="shared" si="23"/>
        <v>95479.3567104</v>
      </c>
      <c r="AW25" s="34">
        <v>71690</v>
      </c>
      <c r="AX25" s="47"/>
      <c r="AY25" s="61">
        <f>$C25*BA$7</f>
        <v>8907.6845</v>
      </c>
      <c r="AZ25" s="61">
        <f t="shared" si="24"/>
        <v>507.58941749999997</v>
      </c>
      <c r="BA25" s="20">
        <f t="shared" si="25"/>
        <v>9415.273917499999</v>
      </c>
      <c r="BB25" s="34">
        <f t="shared" si="26"/>
        <v>530.2540672</v>
      </c>
      <c r="BC25" s="34">
        <v>398</v>
      </c>
      <c r="BD25" s="47"/>
      <c r="BE25" s="61">
        <f>$C25*BG$7</f>
        <v>31019.6315</v>
      </c>
      <c r="BF25" s="61">
        <f t="shared" si="27"/>
        <v>1767.6015224999999</v>
      </c>
      <c r="BG25" s="32">
        <f t="shared" si="28"/>
        <v>32787.2330225</v>
      </c>
      <c r="BH25" s="34">
        <f t="shared" si="29"/>
        <v>1846.5276544</v>
      </c>
      <c r="BI25" s="34">
        <v>1385</v>
      </c>
      <c r="BJ25" s="47"/>
      <c r="BK25" s="61">
        <f>$C25*BM$7</f>
        <v>237295.838</v>
      </c>
      <c r="BL25" s="61">
        <f t="shared" si="30"/>
        <v>13521.90417</v>
      </c>
      <c r="BM25" s="32">
        <f t="shared" si="31"/>
        <v>250817.74216999998</v>
      </c>
      <c r="BN25" s="34">
        <f t="shared" si="32"/>
        <v>14125.678028799999</v>
      </c>
      <c r="BO25" s="34">
        <v>10596</v>
      </c>
      <c r="BP25" s="47"/>
      <c r="BQ25" s="61">
        <f>$C25*BS$7</f>
        <v>74756.8965</v>
      </c>
      <c r="BR25" s="61">
        <f t="shared" si="33"/>
        <v>4259.8959975</v>
      </c>
      <c r="BS25" s="32">
        <f t="shared" si="34"/>
        <v>79016.7924975</v>
      </c>
      <c r="BT25" s="34">
        <f t="shared" si="35"/>
        <v>4450.1069184</v>
      </c>
      <c r="BU25" s="34">
        <v>3338</v>
      </c>
      <c r="BV25" s="47"/>
      <c r="BW25" s="61">
        <f>$C25*BY$7</f>
        <v>338252.473</v>
      </c>
      <c r="BX25" s="61">
        <f t="shared" si="36"/>
        <v>19274.748195</v>
      </c>
      <c r="BY25" s="32">
        <f t="shared" si="37"/>
        <v>357527.221195</v>
      </c>
      <c r="BZ25" s="34">
        <f t="shared" si="38"/>
        <v>20135.3954048</v>
      </c>
      <c r="CA25" s="34">
        <v>15110</v>
      </c>
      <c r="CB25" s="47"/>
      <c r="CC25" s="61">
        <f>$C25*CE$7</f>
        <v>96.03099999999999</v>
      </c>
      <c r="CD25" s="61">
        <f t="shared" si="39"/>
        <v>5.4721649999999995</v>
      </c>
      <c r="CE25" s="32">
        <f t="shared" si="40"/>
        <v>101.503165</v>
      </c>
      <c r="CF25" s="34">
        <f t="shared" si="41"/>
        <v>5.7165056</v>
      </c>
      <c r="CG25" s="34">
        <v>4</v>
      </c>
      <c r="CH25" s="47"/>
      <c r="CI25" s="61">
        <f>$C25*CK$7</f>
        <v>43510.674999999996</v>
      </c>
      <c r="CJ25" s="61">
        <f t="shared" si="42"/>
        <v>2479.3826249999997</v>
      </c>
      <c r="CK25" s="32">
        <f t="shared" si="43"/>
        <v>45990.057624999994</v>
      </c>
      <c r="CL25" s="34">
        <f t="shared" si="44"/>
        <v>2590.0908799999997</v>
      </c>
      <c r="CM25" s="34">
        <v>1950</v>
      </c>
      <c r="CN25" s="47"/>
      <c r="CO25" s="61">
        <f>$C25*CQ$7</f>
        <v>24301.238</v>
      </c>
      <c r="CP25" s="61">
        <f t="shared" si="45"/>
        <v>1384.7651700000001</v>
      </c>
      <c r="CQ25" s="32">
        <f t="shared" si="46"/>
        <v>25686.00317</v>
      </c>
      <c r="CR25" s="34">
        <f t="shared" si="47"/>
        <v>1446.5970688000002</v>
      </c>
      <c r="CS25" s="34">
        <v>1087</v>
      </c>
      <c r="CT25" s="47"/>
      <c r="CU25" s="61">
        <f>$C25*CW$7</f>
        <v>16253.5165</v>
      </c>
      <c r="CV25" s="61">
        <f t="shared" si="48"/>
        <v>926.1792975000001</v>
      </c>
      <c r="CW25" s="32">
        <f t="shared" si="49"/>
        <v>17179.6957975</v>
      </c>
      <c r="CX25" s="34">
        <f t="shared" si="50"/>
        <v>967.5346304000001</v>
      </c>
      <c r="CY25" s="34">
        <v>726</v>
      </c>
      <c r="CZ25" s="47"/>
      <c r="DA25" s="61">
        <f>$C25*DC$7</f>
        <v>17954.0205</v>
      </c>
      <c r="DB25" s="61">
        <f t="shared" si="51"/>
        <v>1023.0796574999999</v>
      </c>
      <c r="DC25" s="32">
        <f t="shared" si="52"/>
        <v>18977.100157499997</v>
      </c>
      <c r="DD25" s="34">
        <f t="shared" si="53"/>
        <v>1068.7617408</v>
      </c>
      <c r="DE25" s="34">
        <v>805</v>
      </c>
      <c r="DF25" s="47"/>
      <c r="DG25" s="61">
        <f>$C25*DI$7</f>
        <v>218806.6335</v>
      </c>
      <c r="DH25" s="61">
        <f t="shared" si="54"/>
        <v>12468.3279525</v>
      </c>
      <c r="DI25" s="32">
        <f t="shared" si="55"/>
        <v>231274.9614525</v>
      </c>
      <c r="DJ25" s="34">
        <f t="shared" si="56"/>
        <v>13025.0580096</v>
      </c>
      <c r="DK25" s="34">
        <v>9771</v>
      </c>
      <c r="DL25" s="47"/>
      <c r="DM25" s="61">
        <f>$C25*DO$7</f>
        <v>32658.6325</v>
      </c>
      <c r="DN25" s="61">
        <f t="shared" si="57"/>
        <v>1860.9972375</v>
      </c>
      <c r="DO25" s="32">
        <f t="shared" si="58"/>
        <v>34519.6297375</v>
      </c>
      <c r="DP25" s="34">
        <f t="shared" si="59"/>
        <v>1944.0936319999998</v>
      </c>
      <c r="DQ25" s="34">
        <v>1458</v>
      </c>
      <c r="DR25" s="47"/>
      <c r="DS25" s="61">
        <f>$C25*DU$7</f>
        <v>640463.109</v>
      </c>
      <c r="DT25" s="61">
        <f t="shared" si="60"/>
        <v>36495.712935</v>
      </c>
      <c r="DU25" s="32">
        <f t="shared" si="61"/>
        <v>676958.821935</v>
      </c>
      <c r="DV25" s="34">
        <f t="shared" si="62"/>
        <v>38125.3027584</v>
      </c>
      <c r="DW25" s="34">
        <v>28600</v>
      </c>
      <c r="DX25" s="32"/>
      <c r="DY25" s="61">
        <f>$C25*EA$7</f>
        <v>32844.2205</v>
      </c>
      <c r="DZ25" s="61">
        <f t="shared" si="63"/>
        <v>1871.5726575</v>
      </c>
      <c r="EA25" s="32">
        <f t="shared" si="64"/>
        <v>34715.793157500004</v>
      </c>
      <c r="EB25" s="34">
        <f t="shared" si="65"/>
        <v>1955.1412608</v>
      </c>
      <c r="EC25" s="34">
        <v>1466</v>
      </c>
      <c r="ED25" s="47"/>
      <c r="EE25" s="61">
        <f>$C25*EG$7</f>
        <v>82350.359</v>
      </c>
      <c r="EF25" s="61">
        <f t="shared" si="66"/>
        <v>4692.596685</v>
      </c>
      <c r="EG25" s="32">
        <f t="shared" si="67"/>
        <v>87042.955685</v>
      </c>
      <c r="EH25" s="34">
        <f t="shared" si="68"/>
        <v>4902.1283584</v>
      </c>
      <c r="EI25" s="34">
        <v>3689</v>
      </c>
      <c r="EJ25" s="47"/>
      <c r="EK25" s="61">
        <f>$C25*EM$7</f>
        <v>832746.8435</v>
      </c>
      <c r="EL25" s="61">
        <f t="shared" si="69"/>
        <v>47452.6781025</v>
      </c>
      <c r="EM25" s="32">
        <f t="shared" si="70"/>
        <v>880199.5216025</v>
      </c>
      <c r="EN25" s="34">
        <f t="shared" si="71"/>
        <v>49571.5133056</v>
      </c>
      <c r="EO25" s="34">
        <v>37204</v>
      </c>
      <c r="EP25" s="47"/>
      <c r="EQ25" s="47"/>
      <c r="ER25" s="47"/>
      <c r="ES25" s="47"/>
      <c r="ET25" s="47"/>
      <c r="EU25" s="47"/>
      <c r="EV25" s="47"/>
      <c r="EW25" s="32"/>
      <c r="EX25" s="32"/>
      <c r="EY25" s="32">
        <f t="shared" si="72"/>
        <v>0</v>
      </c>
    </row>
    <row r="26" spans="1:155" s="49" customFormat="1" ht="12.75">
      <c r="A26" s="19">
        <v>45748</v>
      </c>
      <c r="C26" s="39"/>
      <c r="D26" s="39">
        <v>199525</v>
      </c>
      <c r="E26" s="34">
        <f t="shared" si="0"/>
        <v>199525</v>
      </c>
      <c r="F26" s="34">
        <v>321152</v>
      </c>
      <c r="G26" s="34">
        <f t="shared" si="1"/>
        <v>241163</v>
      </c>
      <c r="H26" s="47"/>
      <c r="I26" s="47"/>
      <c r="J26" s="47">
        <f>'2012D Academic'!J26</f>
        <v>33606.37484749999</v>
      </c>
      <c r="K26" s="47">
        <f t="shared" si="2"/>
        <v>33606.37484749999</v>
      </c>
      <c r="L26" s="47">
        <f>'2012D Academic'!L26</f>
        <v>54092.2415488</v>
      </c>
      <c r="M26" s="47">
        <f>'2012D Academic'!M26</f>
        <v>40629</v>
      </c>
      <c r="N26" s="47"/>
      <c r="O26" s="47"/>
      <c r="P26" s="39">
        <f t="shared" si="4"/>
        <v>165918.645105</v>
      </c>
      <c r="Q26" s="47">
        <f t="shared" si="5"/>
        <v>165918.645105</v>
      </c>
      <c r="R26" s="39">
        <f t="shared" si="6"/>
        <v>267059.7905664</v>
      </c>
      <c r="S26" s="39">
        <f t="shared" si="7"/>
        <v>200534</v>
      </c>
      <c r="T26" s="47"/>
      <c r="U26" s="61"/>
      <c r="V26" s="61">
        <f t="shared" si="9"/>
        <v>558.2909025</v>
      </c>
      <c r="W26" s="20">
        <f t="shared" si="10"/>
        <v>558.2909025</v>
      </c>
      <c r="X26" s="34">
        <f t="shared" si="11"/>
        <v>898.6154112</v>
      </c>
      <c r="Y26" s="34">
        <v>680</v>
      </c>
      <c r="Z26" s="47"/>
      <c r="AA26" s="61"/>
      <c r="AB26" s="61">
        <f t="shared" si="12"/>
        <v>3004.8265475</v>
      </c>
      <c r="AC26" s="20">
        <f t="shared" si="13"/>
        <v>3004.8265475</v>
      </c>
      <c r="AD26" s="34">
        <f t="shared" si="14"/>
        <v>4836.5170048</v>
      </c>
      <c r="AE26" s="34">
        <v>3653</v>
      </c>
      <c r="AF26" s="47"/>
      <c r="AG26" s="61"/>
      <c r="AH26" s="61">
        <f t="shared" si="15"/>
        <v>4710.1667225</v>
      </c>
      <c r="AI26" s="32">
        <f t="shared" si="16"/>
        <v>4710.1667225</v>
      </c>
      <c r="AJ26" s="34">
        <f t="shared" si="17"/>
        <v>7581.4031488</v>
      </c>
      <c r="AK26" s="34">
        <v>5743</v>
      </c>
      <c r="AL26" s="47"/>
      <c r="AM26" s="61"/>
      <c r="AN26" s="61">
        <f t="shared" si="18"/>
        <v>977.8919775</v>
      </c>
      <c r="AO26" s="20">
        <f t="shared" si="19"/>
        <v>977.8919775</v>
      </c>
      <c r="AP26" s="34">
        <f t="shared" si="20"/>
        <v>1573.9980672000002</v>
      </c>
      <c r="AQ26" s="34">
        <v>1181</v>
      </c>
      <c r="AR26" s="47"/>
      <c r="AS26" s="61"/>
      <c r="AT26" s="61">
        <f t="shared" si="21"/>
        <v>59319.32121749999</v>
      </c>
      <c r="AU26" s="20">
        <f t="shared" si="22"/>
        <v>59319.32121749999</v>
      </c>
      <c r="AV26" s="34">
        <f t="shared" si="23"/>
        <v>95479.3567104</v>
      </c>
      <c r="AW26" s="34">
        <v>71690</v>
      </c>
      <c r="AX26" s="47"/>
      <c r="AY26" s="61"/>
      <c r="AZ26" s="61">
        <f t="shared" si="24"/>
        <v>329.4357275</v>
      </c>
      <c r="BA26" s="20">
        <f t="shared" si="25"/>
        <v>329.4357275</v>
      </c>
      <c r="BB26" s="34">
        <f t="shared" si="26"/>
        <v>530.2540672</v>
      </c>
      <c r="BC26" s="34">
        <v>398</v>
      </c>
      <c r="BD26" s="47"/>
      <c r="BE26" s="61"/>
      <c r="BF26" s="61">
        <f t="shared" si="27"/>
        <v>1147.2088925</v>
      </c>
      <c r="BG26" s="32">
        <f t="shared" si="28"/>
        <v>1147.2088925</v>
      </c>
      <c r="BH26" s="34">
        <f t="shared" si="29"/>
        <v>1846.5276544</v>
      </c>
      <c r="BI26" s="34">
        <v>1385</v>
      </c>
      <c r="BJ26" s="47"/>
      <c r="BK26" s="61"/>
      <c r="BL26" s="61">
        <f t="shared" si="30"/>
        <v>8775.98741</v>
      </c>
      <c r="BM26" s="32">
        <f t="shared" si="31"/>
        <v>8775.98741</v>
      </c>
      <c r="BN26" s="34">
        <f t="shared" si="32"/>
        <v>14125.678028799999</v>
      </c>
      <c r="BO26" s="34">
        <v>10596</v>
      </c>
      <c r="BP26" s="47"/>
      <c r="BQ26" s="61"/>
      <c r="BR26" s="61">
        <f t="shared" si="33"/>
        <v>2764.7580675</v>
      </c>
      <c r="BS26" s="32">
        <f t="shared" si="34"/>
        <v>2764.7580675</v>
      </c>
      <c r="BT26" s="34">
        <f t="shared" si="35"/>
        <v>4450.1069184</v>
      </c>
      <c r="BU26" s="34">
        <v>3338</v>
      </c>
      <c r="BV26" s="47"/>
      <c r="BW26" s="61"/>
      <c r="BX26" s="61">
        <f t="shared" si="36"/>
        <v>12509.698735</v>
      </c>
      <c r="BY26" s="32">
        <f t="shared" si="37"/>
        <v>12509.698735</v>
      </c>
      <c r="BZ26" s="34">
        <f t="shared" si="38"/>
        <v>20135.3954048</v>
      </c>
      <c r="CA26" s="34">
        <v>15110</v>
      </c>
      <c r="CB26" s="47"/>
      <c r="CC26" s="61"/>
      <c r="CD26" s="61">
        <f t="shared" si="39"/>
        <v>3.551545</v>
      </c>
      <c r="CE26" s="32">
        <f t="shared" si="40"/>
        <v>3.551545</v>
      </c>
      <c r="CF26" s="34">
        <f t="shared" si="41"/>
        <v>5.7165056</v>
      </c>
      <c r="CG26" s="34">
        <v>4</v>
      </c>
      <c r="CH26" s="47"/>
      <c r="CI26" s="61"/>
      <c r="CJ26" s="61">
        <f t="shared" si="42"/>
        <v>1609.169125</v>
      </c>
      <c r="CK26" s="32">
        <f t="shared" si="43"/>
        <v>1609.169125</v>
      </c>
      <c r="CL26" s="34">
        <f t="shared" si="44"/>
        <v>2590.0908799999997</v>
      </c>
      <c r="CM26" s="34">
        <v>1950</v>
      </c>
      <c r="CN26" s="47"/>
      <c r="CO26" s="61"/>
      <c r="CP26" s="61">
        <f t="shared" si="45"/>
        <v>898.7404100000001</v>
      </c>
      <c r="CQ26" s="32">
        <f t="shared" si="46"/>
        <v>898.7404100000001</v>
      </c>
      <c r="CR26" s="34">
        <f t="shared" si="47"/>
        <v>1446.5970688000002</v>
      </c>
      <c r="CS26" s="34">
        <v>1087</v>
      </c>
      <c r="CT26" s="47"/>
      <c r="CU26" s="61"/>
      <c r="CV26" s="61">
        <f t="shared" si="48"/>
        <v>601.1089675000001</v>
      </c>
      <c r="CW26" s="32">
        <f t="shared" si="49"/>
        <v>601.1089675000001</v>
      </c>
      <c r="CX26" s="34">
        <f t="shared" si="50"/>
        <v>967.5346304000001</v>
      </c>
      <c r="CY26" s="34">
        <v>726</v>
      </c>
      <c r="CZ26" s="47"/>
      <c r="DA26" s="61"/>
      <c r="DB26" s="61">
        <f t="shared" si="51"/>
        <v>663.9992475</v>
      </c>
      <c r="DC26" s="32">
        <f t="shared" si="52"/>
        <v>663.9992475</v>
      </c>
      <c r="DD26" s="34">
        <f t="shared" si="53"/>
        <v>1068.7617408</v>
      </c>
      <c r="DE26" s="34">
        <v>805</v>
      </c>
      <c r="DF26" s="47"/>
      <c r="DG26" s="61"/>
      <c r="DH26" s="61">
        <f t="shared" si="54"/>
        <v>8092.1952825</v>
      </c>
      <c r="DI26" s="32">
        <f t="shared" si="55"/>
        <v>8092.1952825</v>
      </c>
      <c r="DJ26" s="34">
        <f t="shared" si="56"/>
        <v>13025.0580096</v>
      </c>
      <c r="DK26" s="34">
        <v>9771</v>
      </c>
      <c r="DL26" s="47"/>
      <c r="DM26" s="61"/>
      <c r="DN26" s="61">
        <f t="shared" si="57"/>
        <v>1207.8245875</v>
      </c>
      <c r="DO26" s="32">
        <f t="shared" si="58"/>
        <v>1207.8245875</v>
      </c>
      <c r="DP26" s="34">
        <f t="shared" si="59"/>
        <v>1944.0936319999998</v>
      </c>
      <c r="DQ26" s="34">
        <v>1458</v>
      </c>
      <c r="DR26" s="47"/>
      <c r="DS26" s="61"/>
      <c r="DT26" s="61">
        <f t="shared" si="60"/>
        <v>23686.450755</v>
      </c>
      <c r="DU26" s="32">
        <f t="shared" si="61"/>
        <v>23686.450755</v>
      </c>
      <c r="DV26" s="34">
        <f t="shared" si="62"/>
        <v>38125.3027584</v>
      </c>
      <c r="DW26" s="34">
        <v>28600</v>
      </c>
      <c r="DX26" s="32"/>
      <c r="DY26" s="61"/>
      <c r="DZ26" s="61">
        <f t="shared" si="63"/>
        <v>1214.6882475</v>
      </c>
      <c r="EA26" s="32">
        <f t="shared" si="64"/>
        <v>1214.6882475</v>
      </c>
      <c r="EB26" s="34">
        <f t="shared" si="65"/>
        <v>1955.1412608</v>
      </c>
      <c r="EC26" s="34">
        <v>1466</v>
      </c>
      <c r="ED26" s="47"/>
      <c r="EE26" s="61"/>
      <c r="EF26" s="61">
        <f t="shared" si="66"/>
        <v>3045.589505</v>
      </c>
      <c r="EG26" s="32">
        <f t="shared" si="67"/>
        <v>3045.589505</v>
      </c>
      <c r="EH26" s="34">
        <f t="shared" si="68"/>
        <v>4902.1283584</v>
      </c>
      <c r="EI26" s="34">
        <v>3689</v>
      </c>
      <c r="EJ26" s="47"/>
      <c r="EK26" s="61"/>
      <c r="EL26" s="61">
        <f t="shared" si="69"/>
        <v>30797.7412325</v>
      </c>
      <c r="EM26" s="32">
        <f t="shared" si="70"/>
        <v>30797.7412325</v>
      </c>
      <c r="EN26" s="34">
        <f t="shared" si="71"/>
        <v>49571.5133056</v>
      </c>
      <c r="EO26" s="34">
        <v>37204</v>
      </c>
      <c r="EP26" s="47"/>
      <c r="EQ26" s="47"/>
      <c r="ER26" s="47"/>
      <c r="ES26" s="47"/>
      <c r="ET26" s="47"/>
      <c r="EU26" s="47"/>
      <c r="EV26" s="47"/>
      <c r="EW26" s="32"/>
      <c r="EX26" s="32"/>
      <c r="EY26" s="32">
        <f t="shared" si="72"/>
        <v>0</v>
      </c>
    </row>
    <row r="27" spans="1:155" ht="12.75">
      <c r="A27" s="19">
        <v>45931</v>
      </c>
      <c r="C27" s="39">
        <v>5615000</v>
      </c>
      <c r="D27" s="39">
        <v>199525</v>
      </c>
      <c r="E27" s="34">
        <f t="shared" si="0"/>
        <v>5814525</v>
      </c>
      <c r="F27" s="34">
        <v>321152</v>
      </c>
      <c r="G27" s="34">
        <f t="shared" si="1"/>
        <v>241163</v>
      </c>
      <c r="I27" s="47">
        <f>'2012D Academic'!I27</f>
        <v>945745.1184999997</v>
      </c>
      <c r="J27" s="47">
        <f>'2012D Academic'!J27</f>
        <v>33606.37484749999</v>
      </c>
      <c r="K27" s="47">
        <f t="shared" si="2"/>
        <v>979351.4933474998</v>
      </c>
      <c r="L27" s="47">
        <f>'2012D Academic'!L27</f>
        <v>54092.2415488</v>
      </c>
      <c r="M27" s="47">
        <f>'2012D Academic'!M27</f>
        <v>40629</v>
      </c>
      <c r="O27" s="47">
        <f t="shared" si="3"/>
        <v>4669255.443</v>
      </c>
      <c r="P27" s="39">
        <f t="shared" si="4"/>
        <v>165918.645105</v>
      </c>
      <c r="Q27" s="47">
        <f t="shared" si="5"/>
        <v>4835174.088105</v>
      </c>
      <c r="R27" s="39">
        <f t="shared" si="6"/>
        <v>267059.7905664</v>
      </c>
      <c r="S27" s="39">
        <f t="shared" si="7"/>
        <v>200534</v>
      </c>
      <c r="U27" s="61">
        <f t="shared" si="8"/>
        <v>15711.3315</v>
      </c>
      <c r="V27" s="61">
        <f t="shared" si="9"/>
        <v>558.2909025</v>
      </c>
      <c r="W27" s="20">
        <f t="shared" si="10"/>
        <v>16269.622402500001</v>
      </c>
      <c r="X27" s="34">
        <f t="shared" si="11"/>
        <v>898.6154112</v>
      </c>
      <c r="Y27" s="34">
        <v>680</v>
      </c>
      <c r="AA27" s="61">
        <f>$C27*AC$7</f>
        <v>84561.3385</v>
      </c>
      <c r="AB27" s="61">
        <f t="shared" si="12"/>
        <v>3004.8265475</v>
      </c>
      <c r="AC27" s="20">
        <f t="shared" si="13"/>
        <v>87566.16504749999</v>
      </c>
      <c r="AD27" s="34">
        <f t="shared" si="14"/>
        <v>4836.5170048</v>
      </c>
      <c r="AE27" s="34">
        <v>3653</v>
      </c>
      <c r="AG27" s="61">
        <f>$C27*AI$7</f>
        <v>132552.7435</v>
      </c>
      <c r="AH27" s="61">
        <f t="shared" si="15"/>
        <v>4710.1667225</v>
      </c>
      <c r="AI27" s="32">
        <f t="shared" si="16"/>
        <v>137262.9102225</v>
      </c>
      <c r="AJ27" s="34">
        <f t="shared" si="17"/>
        <v>7581.4031488</v>
      </c>
      <c r="AK27" s="34">
        <v>5743</v>
      </c>
      <c r="AM27" s="61">
        <f>$C27*AO$7</f>
        <v>27519.6765</v>
      </c>
      <c r="AN27" s="61">
        <f t="shared" si="18"/>
        <v>977.8919775</v>
      </c>
      <c r="AO27" s="20">
        <f t="shared" si="19"/>
        <v>28497.5684775</v>
      </c>
      <c r="AP27" s="34">
        <f t="shared" si="20"/>
        <v>1573.9980672000002</v>
      </c>
      <c r="AQ27" s="34">
        <v>1181</v>
      </c>
      <c r="AS27" s="61">
        <f>$C27*AU$7</f>
        <v>1669354.6604999998</v>
      </c>
      <c r="AT27" s="61">
        <f t="shared" si="21"/>
        <v>59319.32121749999</v>
      </c>
      <c r="AU27" s="20">
        <f t="shared" si="22"/>
        <v>1728673.9817174997</v>
      </c>
      <c r="AV27" s="34">
        <f t="shared" si="23"/>
        <v>95479.3567104</v>
      </c>
      <c r="AW27" s="34">
        <v>71690</v>
      </c>
      <c r="AX27" s="32"/>
      <c r="AY27" s="61">
        <f>$C27*BA$7</f>
        <v>9270.9265</v>
      </c>
      <c r="AZ27" s="61">
        <f t="shared" si="24"/>
        <v>329.4357275</v>
      </c>
      <c r="BA27" s="20">
        <f t="shared" si="25"/>
        <v>9600.3622275</v>
      </c>
      <c r="BB27" s="34">
        <f t="shared" si="26"/>
        <v>530.2540672</v>
      </c>
      <c r="BC27" s="34">
        <v>398</v>
      </c>
      <c r="BD27" s="32"/>
      <c r="BE27" s="61">
        <f>$C27*BG$7</f>
        <v>32284.5655</v>
      </c>
      <c r="BF27" s="61">
        <f t="shared" si="27"/>
        <v>1147.2088925</v>
      </c>
      <c r="BG27" s="32">
        <f t="shared" si="28"/>
        <v>33431.7743925</v>
      </c>
      <c r="BH27" s="34">
        <f t="shared" si="29"/>
        <v>1846.5276544</v>
      </c>
      <c r="BI27" s="34">
        <v>1385</v>
      </c>
      <c r="BJ27" s="32"/>
      <c r="BK27" s="61">
        <f>$C27*BM$7</f>
        <v>246972.406</v>
      </c>
      <c r="BL27" s="61">
        <f t="shared" si="30"/>
        <v>8775.98741</v>
      </c>
      <c r="BM27" s="32">
        <f t="shared" si="31"/>
        <v>255748.39341</v>
      </c>
      <c r="BN27" s="34">
        <f t="shared" si="32"/>
        <v>14125.678028799999</v>
      </c>
      <c r="BO27" s="34">
        <v>10596</v>
      </c>
      <c r="BP27" s="32"/>
      <c r="BQ27" s="61">
        <f>$C27*BS$7</f>
        <v>77805.3705</v>
      </c>
      <c r="BR27" s="61">
        <f t="shared" si="33"/>
        <v>2764.7580675</v>
      </c>
      <c r="BS27" s="32">
        <f t="shared" si="34"/>
        <v>80570.12856750001</v>
      </c>
      <c r="BT27" s="34">
        <f t="shared" si="35"/>
        <v>4450.1069184</v>
      </c>
      <c r="BU27" s="34">
        <v>3338</v>
      </c>
      <c r="BV27" s="32"/>
      <c r="BW27" s="61">
        <f>$C27*BY$7</f>
        <v>352045.901</v>
      </c>
      <c r="BX27" s="61">
        <f t="shared" si="36"/>
        <v>12509.698735</v>
      </c>
      <c r="BY27" s="32">
        <f t="shared" si="37"/>
        <v>364555.599735</v>
      </c>
      <c r="BZ27" s="34">
        <f t="shared" si="38"/>
        <v>20135.3954048</v>
      </c>
      <c r="CA27" s="34">
        <v>15110</v>
      </c>
      <c r="CB27" s="32"/>
      <c r="CC27" s="61">
        <f>$C27*CE$7</f>
        <v>99.94699999999999</v>
      </c>
      <c r="CD27" s="61">
        <f t="shared" si="39"/>
        <v>3.551545</v>
      </c>
      <c r="CE27" s="32">
        <f t="shared" si="40"/>
        <v>103.498545</v>
      </c>
      <c r="CF27" s="34">
        <f t="shared" si="41"/>
        <v>5.7165056</v>
      </c>
      <c r="CG27" s="34">
        <v>4</v>
      </c>
      <c r="CH27" s="32"/>
      <c r="CI27" s="61">
        <f>$C27*CK$7</f>
        <v>45284.975</v>
      </c>
      <c r="CJ27" s="61">
        <f t="shared" si="42"/>
        <v>1609.169125</v>
      </c>
      <c r="CK27" s="32">
        <f t="shared" si="43"/>
        <v>46894.144125</v>
      </c>
      <c r="CL27" s="34">
        <f t="shared" si="44"/>
        <v>2590.0908799999997</v>
      </c>
      <c r="CM27" s="34">
        <v>1950</v>
      </c>
      <c r="CN27" s="32"/>
      <c r="CO27" s="61">
        <f>$C27*CQ$7</f>
        <v>25292.206000000002</v>
      </c>
      <c r="CP27" s="61">
        <f t="shared" si="45"/>
        <v>898.7404100000001</v>
      </c>
      <c r="CQ27" s="32">
        <f t="shared" si="46"/>
        <v>26190.94641</v>
      </c>
      <c r="CR27" s="34">
        <f t="shared" si="47"/>
        <v>1446.5970688000002</v>
      </c>
      <c r="CS27" s="34">
        <v>1087</v>
      </c>
      <c r="CT27" s="32"/>
      <c r="CU27" s="61">
        <f>$C27*CW$7</f>
        <v>16916.3105</v>
      </c>
      <c r="CV27" s="61">
        <f t="shared" si="48"/>
        <v>601.1089675000001</v>
      </c>
      <c r="CW27" s="32">
        <f t="shared" si="49"/>
        <v>17517.4194675</v>
      </c>
      <c r="CX27" s="34">
        <f t="shared" si="50"/>
        <v>967.5346304000001</v>
      </c>
      <c r="CY27" s="34">
        <v>726</v>
      </c>
      <c r="CZ27" s="32"/>
      <c r="DA27" s="61">
        <f>$C27*DC$7</f>
        <v>18686.1585</v>
      </c>
      <c r="DB27" s="61">
        <f t="shared" si="51"/>
        <v>663.9992475</v>
      </c>
      <c r="DC27" s="32">
        <f t="shared" si="52"/>
        <v>19350.1577475</v>
      </c>
      <c r="DD27" s="34">
        <f t="shared" si="53"/>
        <v>1068.7617408</v>
      </c>
      <c r="DE27" s="34">
        <v>805</v>
      </c>
      <c r="DF27" s="32"/>
      <c r="DG27" s="61">
        <f>$C27*DI$7</f>
        <v>227729.2395</v>
      </c>
      <c r="DH27" s="61">
        <f t="shared" si="54"/>
        <v>8092.1952825</v>
      </c>
      <c r="DI27" s="32">
        <f t="shared" si="55"/>
        <v>235821.4347825</v>
      </c>
      <c r="DJ27" s="34">
        <f t="shared" si="56"/>
        <v>13025.0580096</v>
      </c>
      <c r="DK27" s="34">
        <v>9771</v>
      </c>
      <c r="DL27" s="32"/>
      <c r="DM27" s="61">
        <f>$C27*DO$7</f>
        <v>33990.4025</v>
      </c>
      <c r="DN27" s="61">
        <f t="shared" si="57"/>
        <v>1207.8245875</v>
      </c>
      <c r="DO27" s="32">
        <f t="shared" si="58"/>
        <v>35198.227087499996</v>
      </c>
      <c r="DP27" s="34">
        <f t="shared" si="59"/>
        <v>1944.0936319999998</v>
      </c>
      <c r="DQ27" s="34">
        <v>1458</v>
      </c>
      <c r="DR27" s="32"/>
      <c r="DS27" s="61">
        <f>$C27*DU$7</f>
        <v>666580.233</v>
      </c>
      <c r="DT27" s="61">
        <f t="shared" si="60"/>
        <v>23686.450755</v>
      </c>
      <c r="DU27" s="32">
        <f t="shared" si="61"/>
        <v>690266.683755</v>
      </c>
      <c r="DV27" s="34">
        <f t="shared" si="62"/>
        <v>38125.3027584</v>
      </c>
      <c r="DW27" s="34">
        <v>28600</v>
      </c>
      <c r="DX27" s="32"/>
      <c r="DY27" s="61">
        <f>$C27*EA$7</f>
        <v>34183.5585</v>
      </c>
      <c r="DZ27" s="61">
        <f t="shared" si="63"/>
        <v>1214.6882475</v>
      </c>
      <c r="EA27" s="32">
        <f t="shared" si="64"/>
        <v>35398.2467475</v>
      </c>
      <c r="EB27" s="34">
        <f t="shared" si="65"/>
        <v>1955.1412608</v>
      </c>
      <c r="EC27" s="34">
        <v>1466</v>
      </c>
      <c r="ED27" s="32"/>
      <c r="EE27" s="61">
        <f>$C27*EG$7</f>
        <v>85708.48300000001</v>
      </c>
      <c r="EF27" s="61">
        <f t="shared" si="66"/>
        <v>3045.589505</v>
      </c>
      <c r="EG27" s="32">
        <f t="shared" si="67"/>
        <v>88754.072505</v>
      </c>
      <c r="EH27" s="34">
        <f t="shared" si="68"/>
        <v>4902.1283584</v>
      </c>
      <c r="EI27" s="34">
        <v>3689</v>
      </c>
      <c r="EJ27" s="32"/>
      <c r="EK27" s="61">
        <f>$C27*EM$7</f>
        <v>866705.0095</v>
      </c>
      <c r="EL27" s="61">
        <f t="shared" si="69"/>
        <v>30797.7412325</v>
      </c>
      <c r="EM27" s="32">
        <f t="shared" si="70"/>
        <v>897502.7507325</v>
      </c>
      <c r="EN27" s="34">
        <f t="shared" si="71"/>
        <v>49571.5133056</v>
      </c>
      <c r="EO27" s="34">
        <v>37204</v>
      </c>
      <c r="EP27" s="32"/>
      <c r="EQ27" s="32"/>
      <c r="ER27" s="32"/>
      <c r="ES27" s="32"/>
      <c r="ET27" s="32"/>
      <c r="EU27" s="32"/>
      <c r="EV27" s="32"/>
      <c r="EW27" s="32"/>
      <c r="EX27" s="32"/>
      <c r="EY27" s="32">
        <f t="shared" si="72"/>
        <v>0</v>
      </c>
    </row>
    <row r="28" spans="1:155" ht="12.75">
      <c r="A28" s="19">
        <v>46113</v>
      </c>
      <c r="C28" s="39"/>
      <c r="D28" s="39">
        <v>87225</v>
      </c>
      <c r="E28" s="34">
        <f t="shared" si="0"/>
        <v>87225</v>
      </c>
      <c r="F28" s="34">
        <v>321152</v>
      </c>
      <c r="G28" s="34">
        <f t="shared" si="1"/>
        <v>241163</v>
      </c>
      <c r="I28" s="47"/>
      <c r="J28" s="47">
        <f>'2012D Academic'!J28</f>
        <v>14691.4724775</v>
      </c>
      <c r="K28" s="47">
        <f t="shared" si="2"/>
        <v>14691.4724775</v>
      </c>
      <c r="L28" s="47">
        <f>'2012D Academic'!L28</f>
        <v>54092.2415488</v>
      </c>
      <c r="M28" s="47">
        <f>'2012D Academic'!M28</f>
        <v>40629</v>
      </c>
      <c r="O28" s="47"/>
      <c r="P28" s="39">
        <f t="shared" si="4"/>
        <v>72533.53624499998</v>
      </c>
      <c r="Q28" s="47">
        <f t="shared" si="5"/>
        <v>72533.53624499998</v>
      </c>
      <c r="R28" s="39">
        <f t="shared" si="6"/>
        <v>267059.7905664</v>
      </c>
      <c r="S28" s="39">
        <f t="shared" si="7"/>
        <v>200534</v>
      </c>
      <c r="U28" s="61"/>
      <c r="V28" s="61">
        <f t="shared" si="9"/>
        <v>244.0642725</v>
      </c>
      <c r="W28" s="20">
        <f t="shared" si="10"/>
        <v>244.0642725</v>
      </c>
      <c r="X28" s="34">
        <f t="shared" si="11"/>
        <v>898.6154112</v>
      </c>
      <c r="Y28" s="34">
        <v>680</v>
      </c>
      <c r="AA28" s="61"/>
      <c r="AB28" s="61">
        <f t="shared" si="12"/>
        <v>1313.5997774999998</v>
      </c>
      <c r="AC28" s="20">
        <f t="shared" si="13"/>
        <v>1313.5997774999998</v>
      </c>
      <c r="AD28" s="34">
        <f t="shared" si="14"/>
        <v>4836.5170048</v>
      </c>
      <c r="AE28" s="34">
        <v>3653</v>
      </c>
      <c r="AG28" s="61"/>
      <c r="AH28" s="61">
        <f t="shared" si="15"/>
        <v>2059.1118525</v>
      </c>
      <c r="AI28" s="32">
        <f t="shared" si="16"/>
        <v>2059.1118525</v>
      </c>
      <c r="AJ28" s="34">
        <f t="shared" si="17"/>
        <v>7581.4031488</v>
      </c>
      <c r="AK28" s="34">
        <v>5743</v>
      </c>
      <c r="AM28" s="61"/>
      <c r="AN28" s="61">
        <f t="shared" si="18"/>
        <v>427.4984475</v>
      </c>
      <c r="AO28" s="20">
        <f t="shared" si="19"/>
        <v>427.4984475</v>
      </c>
      <c r="AP28" s="34">
        <f t="shared" si="20"/>
        <v>1573.9980672000002</v>
      </c>
      <c r="AQ28" s="34">
        <v>1181</v>
      </c>
      <c r="AS28" s="61"/>
      <c r="AT28" s="61">
        <f t="shared" si="21"/>
        <v>25932.228007499998</v>
      </c>
      <c r="AU28" s="20">
        <f t="shared" si="22"/>
        <v>25932.228007499998</v>
      </c>
      <c r="AV28" s="34">
        <f t="shared" si="23"/>
        <v>95479.3567104</v>
      </c>
      <c r="AW28" s="34">
        <v>71690</v>
      </c>
      <c r="AX28" s="32"/>
      <c r="AY28" s="61"/>
      <c r="AZ28" s="61">
        <f t="shared" si="24"/>
        <v>144.0171975</v>
      </c>
      <c r="BA28" s="20">
        <f t="shared" si="25"/>
        <v>144.0171975</v>
      </c>
      <c r="BB28" s="34">
        <f t="shared" si="26"/>
        <v>530.2540672</v>
      </c>
      <c r="BC28" s="34">
        <v>398</v>
      </c>
      <c r="BD28" s="32"/>
      <c r="BE28" s="61"/>
      <c r="BF28" s="61">
        <f t="shared" si="27"/>
        <v>501.5175825</v>
      </c>
      <c r="BG28" s="32">
        <f t="shared" si="28"/>
        <v>501.5175825</v>
      </c>
      <c r="BH28" s="34">
        <f t="shared" si="29"/>
        <v>1846.5276544</v>
      </c>
      <c r="BI28" s="34">
        <v>1385</v>
      </c>
      <c r="BJ28" s="32"/>
      <c r="BK28" s="61"/>
      <c r="BL28" s="61">
        <f t="shared" si="30"/>
        <v>3836.53929</v>
      </c>
      <c r="BM28" s="32">
        <f t="shared" si="31"/>
        <v>3836.53929</v>
      </c>
      <c r="BN28" s="34">
        <f t="shared" si="32"/>
        <v>14125.678028799999</v>
      </c>
      <c r="BO28" s="34">
        <v>10596</v>
      </c>
      <c r="BP28" s="32"/>
      <c r="BQ28" s="61"/>
      <c r="BR28" s="61">
        <f t="shared" si="33"/>
        <v>1208.6506574999999</v>
      </c>
      <c r="BS28" s="32">
        <f t="shared" si="34"/>
        <v>1208.6506574999999</v>
      </c>
      <c r="BT28" s="34">
        <f t="shared" si="35"/>
        <v>4450.1069184</v>
      </c>
      <c r="BU28" s="34">
        <v>3338</v>
      </c>
      <c r="BV28" s="32"/>
      <c r="BW28" s="61"/>
      <c r="BX28" s="61">
        <f t="shared" si="36"/>
        <v>5468.780715</v>
      </c>
      <c r="BY28" s="32">
        <f t="shared" si="37"/>
        <v>5468.780715</v>
      </c>
      <c r="BZ28" s="34">
        <f t="shared" si="38"/>
        <v>20135.3954048</v>
      </c>
      <c r="CA28" s="34">
        <v>15110</v>
      </c>
      <c r="CB28" s="32"/>
      <c r="CC28" s="61"/>
      <c r="CD28" s="61">
        <f t="shared" si="39"/>
        <v>1.552605</v>
      </c>
      <c r="CE28" s="32">
        <f t="shared" si="40"/>
        <v>1.552605</v>
      </c>
      <c r="CF28" s="34">
        <f t="shared" si="41"/>
        <v>5.7165056</v>
      </c>
      <c r="CG28" s="34">
        <v>4</v>
      </c>
      <c r="CH28" s="32"/>
      <c r="CI28" s="61"/>
      <c r="CJ28" s="61">
        <f t="shared" si="42"/>
        <v>703.469625</v>
      </c>
      <c r="CK28" s="32">
        <f t="shared" si="43"/>
        <v>703.469625</v>
      </c>
      <c r="CL28" s="34">
        <f t="shared" si="44"/>
        <v>2590.0908799999997</v>
      </c>
      <c r="CM28" s="34">
        <v>1950</v>
      </c>
      <c r="CN28" s="32"/>
      <c r="CO28" s="61"/>
      <c r="CP28" s="61">
        <f t="shared" si="45"/>
        <v>392.89629</v>
      </c>
      <c r="CQ28" s="32">
        <f t="shared" si="46"/>
        <v>392.89629</v>
      </c>
      <c r="CR28" s="34">
        <f t="shared" si="47"/>
        <v>1446.5970688000002</v>
      </c>
      <c r="CS28" s="34">
        <v>1087</v>
      </c>
      <c r="CT28" s="32"/>
      <c r="CU28" s="61"/>
      <c r="CV28" s="61">
        <f t="shared" si="48"/>
        <v>262.7827575</v>
      </c>
      <c r="CW28" s="32">
        <f t="shared" si="49"/>
        <v>262.7827575</v>
      </c>
      <c r="CX28" s="34">
        <f t="shared" si="50"/>
        <v>967.5346304000001</v>
      </c>
      <c r="CY28" s="34">
        <v>726</v>
      </c>
      <c r="CZ28" s="32"/>
      <c r="DA28" s="61"/>
      <c r="DB28" s="61">
        <f t="shared" si="51"/>
        <v>290.2760775</v>
      </c>
      <c r="DC28" s="32">
        <f t="shared" si="52"/>
        <v>290.2760775</v>
      </c>
      <c r="DD28" s="34">
        <f t="shared" si="53"/>
        <v>1068.7617408</v>
      </c>
      <c r="DE28" s="34">
        <v>805</v>
      </c>
      <c r="DF28" s="32"/>
      <c r="DG28" s="61"/>
      <c r="DH28" s="61">
        <f t="shared" si="54"/>
        <v>3537.6104925</v>
      </c>
      <c r="DI28" s="32">
        <f t="shared" si="55"/>
        <v>3537.6104925</v>
      </c>
      <c r="DJ28" s="34">
        <f t="shared" si="56"/>
        <v>13025.0580096</v>
      </c>
      <c r="DK28" s="34">
        <v>9771</v>
      </c>
      <c r="DL28" s="32"/>
      <c r="DM28" s="61"/>
      <c r="DN28" s="61">
        <f t="shared" si="57"/>
        <v>528.0165375</v>
      </c>
      <c r="DO28" s="32">
        <f t="shared" si="58"/>
        <v>528.0165375</v>
      </c>
      <c r="DP28" s="34">
        <f t="shared" si="59"/>
        <v>1944.0936319999998</v>
      </c>
      <c r="DQ28" s="34">
        <v>1458</v>
      </c>
      <c r="DR28" s="32"/>
      <c r="DS28" s="61"/>
      <c r="DT28" s="61">
        <f t="shared" si="60"/>
        <v>10354.846095</v>
      </c>
      <c r="DU28" s="32">
        <f t="shared" si="61"/>
        <v>10354.846095</v>
      </c>
      <c r="DV28" s="34">
        <f t="shared" si="62"/>
        <v>38125.3027584</v>
      </c>
      <c r="DW28" s="34">
        <v>28600</v>
      </c>
      <c r="DX28" s="32"/>
      <c r="DY28" s="61"/>
      <c r="DZ28" s="61">
        <f t="shared" si="63"/>
        <v>531.0170775</v>
      </c>
      <c r="EA28" s="32">
        <f t="shared" si="64"/>
        <v>531.0170775</v>
      </c>
      <c r="EB28" s="34">
        <f t="shared" si="65"/>
        <v>1955.1412608</v>
      </c>
      <c r="EC28" s="34">
        <v>1466</v>
      </c>
      <c r="ED28" s="32"/>
      <c r="EE28" s="61"/>
      <c r="EF28" s="61">
        <f t="shared" si="66"/>
        <v>1331.4198450000001</v>
      </c>
      <c r="EG28" s="32">
        <f t="shared" si="67"/>
        <v>1331.4198450000001</v>
      </c>
      <c r="EH28" s="34">
        <f t="shared" si="68"/>
        <v>4902.1283584</v>
      </c>
      <c r="EI28" s="34">
        <v>3689</v>
      </c>
      <c r="EJ28" s="32"/>
      <c r="EK28" s="61"/>
      <c r="EL28" s="61">
        <f t="shared" si="69"/>
        <v>13463.6410425</v>
      </c>
      <c r="EM28" s="32">
        <f t="shared" si="70"/>
        <v>13463.6410425</v>
      </c>
      <c r="EN28" s="34">
        <f t="shared" si="71"/>
        <v>49571.5133056</v>
      </c>
      <c r="EO28" s="34">
        <v>37204</v>
      </c>
      <c r="EP28" s="32"/>
      <c r="EQ28" s="32"/>
      <c r="ER28" s="32"/>
      <c r="ES28" s="32"/>
      <c r="ET28" s="32"/>
      <c r="EU28" s="32"/>
      <c r="EV28" s="32"/>
      <c r="EW28" s="32"/>
      <c r="EX28" s="32"/>
      <c r="EY28" s="32">
        <f t="shared" si="72"/>
        <v>0</v>
      </c>
    </row>
    <row r="29" spans="1:155" ht="12.75">
      <c r="A29" s="19">
        <v>46296</v>
      </c>
      <c r="C29" s="39">
        <v>5815000</v>
      </c>
      <c r="D29" s="39">
        <v>87225</v>
      </c>
      <c r="E29" s="34">
        <f t="shared" si="0"/>
        <v>5902225</v>
      </c>
      <c r="F29" s="34">
        <v>321152</v>
      </c>
      <c r="G29" s="34">
        <f t="shared" si="1"/>
        <v>241163</v>
      </c>
      <c r="I29" s="47">
        <f>'2012D Academic'!I29</f>
        <v>979431.4984999998</v>
      </c>
      <c r="J29" s="47">
        <f>'2012D Academic'!J29</f>
        <v>14691.4724775</v>
      </c>
      <c r="K29" s="47">
        <f t="shared" si="2"/>
        <v>994122.9709774997</v>
      </c>
      <c r="L29" s="47">
        <f>'2012D Academic'!L29</f>
        <v>54092.2415488</v>
      </c>
      <c r="M29" s="47">
        <f>'2012D Academic'!M29</f>
        <v>40629</v>
      </c>
      <c r="O29" s="47">
        <f t="shared" si="3"/>
        <v>4835569.083000001</v>
      </c>
      <c r="P29" s="39">
        <f t="shared" si="4"/>
        <v>72533.53624499998</v>
      </c>
      <c r="Q29" s="47">
        <f t="shared" si="5"/>
        <v>4908102.619245</v>
      </c>
      <c r="R29" s="39">
        <f t="shared" si="6"/>
        <v>267059.7905664</v>
      </c>
      <c r="S29" s="39">
        <f t="shared" si="7"/>
        <v>200534</v>
      </c>
      <c r="U29" s="61">
        <f t="shared" si="8"/>
        <v>16270.9515</v>
      </c>
      <c r="V29" s="61">
        <f t="shared" si="9"/>
        <v>244.0642725</v>
      </c>
      <c r="W29" s="20">
        <f t="shared" si="10"/>
        <v>16515.0157725</v>
      </c>
      <c r="X29" s="34">
        <f t="shared" si="11"/>
        <v>898.6154112</v>
      </c>
      <c r="Y29" s="34">
        <v>680</v>
      </c>
      <c r="AA29" s="61">
        <f>$C29*AC$7</f>
        <v>87573.3185</v>
      </c>
      <c r="AB29" s="61">
        <f t="shared" si="12"/>
        <v>1313.5997774999998</v>
      </c>
      <c r="AC29" s="20">
        <f t="shared" si="13"/>
        <v>88886.9182775</v>
      </c>
      <c r="AD29" s="34">
        <f t="shared" si="14"/>
        <v>4836.5170048</v>
      </c>
      <c r="AE29" s="34">
        <v>3653</v>
      </c>
      <c r="AG29" s="61">
        <f>$C29*AI$7</f>
        <v>137274.1235</v>
      </c>
      <c r="AH29" s="61">
        <f t="shared" si="15"/>
        <v>2059.1118525</v>
      </c>
      <c r="AI29" s="32">
        <f t="shared" si="16"/>
        <v>139333.2353525</v>
      </c>
      <c r="AJ29" s="34">
        <f t="shared" si="17"/>
        <v>7581.4031488</v>
      </c>
      <c r="AK29" s="34">
        <v>5743</v>
      </c>
      <c r="AM29" s="61">
        <f>$C29*AO$7</f>
        <v>28499.896500000003</v>
      </c>
      <c r="AN29" s="61">
        <f t="shared" si="18"/>
        <v>427.4984475</v>
      </c>
      <c r="AO29" s="20">
        <f t="shared" si="19"/>
        <v>28927.3949475</v>
      </c>
      <c r="AP29" s="34">
        <f t="shared" si="20"/>
        <v>1573.9980672000002</v>
      </c>
      <c r="AQ29" s="34">
        <v>1181</v>
      </c>
      <c r="AS29" s="61">
        <f>$C29*AU$7</f>
        <v>1728815.2004999998</v>
      </c>
      <c r="AT29" s="61">
        <f t="shared" si="21"/>
        <v>25932.228007499998</v>
      </c>
      <c r="AU29" s="20">
        <f t="shared" si="22"/>
        <v>1754747.4285074999</v>
      </c>
      <c r="AV29" s="34">
        <f t="shared" si="23"/>
        <v>95479.3567104</v>
      </c>
      <c r="AW29" s="34">
        <v>71690</v>
      </c>
      <c r="AX29" s="32"/>
      <c r="AY29" s="61">
        <f>$C29*BA$7</f>
        <v>9601.146499999999</v>
      </c>
      <c r="AZ29" s="61">
        <f t="shared" si="24"/>
        <v>144.0171975</v>
      </c>
      <c r="BA29" s="20">
        <f t="shared" si="25"/>
        <v>9745.163697499998</v>
      </c>
      <c r="BB29" s="34">
        <f t="shared" si="26"/>
        <v>530.2540672</v>
      </c>
      <c r="BC29" s="34">
        <v>398</v>
      </c>
      <c r="BD29" s="32"/>
      <c r="BE29" s="61">
        <f>$C29*BG$7</f>
        <v>33434.5055</v>
      </c>
      <c r="BF29" s="61">
        <f t="shared" si="27"/>
        <v>501.5175825</v>
      </c>
      <c r="BG29" s="32">
        <f t="shared" si="28"/>
        <v>33936.023082499996</v>
      </c>
      <c r="BH29" s="34">
        <f t="shared" si="29"/>
        <v>1846.5276544</v>
      </c>
      <c r="BI29" s="34">
        <v>1385</v>
      </c>
      <c r="BJ29" s="32"/>
      <c r="BK29" s="61">
        <f>$C29*BM$7</f>
        <v>255769.286</v>
      </c>
      <c r="BL29" s="61">
        <f t="shared" si="30"/>
        <v>3836.53929</v>
      </c>
      <c r="BM29" s="32">
        <f t="shared" si="31"/>
        <v>259605.82528999998</v>
      </c>
      <c r="BN29" s="34">
        <f t="shared" si="32"/>
        <v>14125.678028799999</v>
      </c>
      <c r="BO29" s="34">
        <v>10596</v>
      </c>
      <c r="BP29" s="32"/>
      <c r="BQ29" s="61">
        <f>$C29*BS$7</f>
        <v>80576.7105</v>
      </c>
      <c r="BR29" s="61">
        <f t="shared" si="33"/>
        <v>1208.6506574999999</v>
      </c>
      <c r="BS29" s="32">
        <f t="shared" si="34"/>
        <v>81785.3611575</v>
      </c>
      <c r="BT29" s="34">
        <f t="shared" si="35"/>
        <v>4450.1069184</v>
      </c>
      <c r="BU29" s="34">
        <v>3338</v>
      </c>
      <c r="BV29" s="32"/>
      <c r="BW29" s="61">
        <f>$C29*BY$7</f>
        <v>364585.381</v>
      </c>
      <c r="BX29" s="61">
        <f t="shared" si="36"/>
        <v>5468.780715</v>
      </c>
      <c r="BY29" s="32">
        <f t="shared" si="37"/>
        <v>370054.161715</v>
      </c>
      <c r="BZ29" s="34">
        <f t="shared" si="38"/>
        <v>20135.3954048</v>
      </c>
      <c r="CA29" s="34">
        <v>15110</v>
      </c>
      <c r="CB29" s="32"/>
      <c r="CC29" s="61">
        <f>$C29*CE$7</f>
        <v>103.50699999999999</v>
      </c>
      <c r="CD29" s="61">
        <f t="shared" si="39"/>
        <v>1.552605</v>
      </c>
      <c r="CE29" s="32">
        <f t="shared" si="40"/>
        <v>105.05960499999999</v>
      </c>
      <c r="CF29" s="34">
        <f t="shared" si="41"/>
        <v>5.7165056</v>
      </c>
      <c r="CG29" s="34">
        <v>4</v>
      </c>
      <c r="CH29" s="32"/>
      <c r="CI29" s="61">
        <f>$C29*CK$7</f>
        <v>46897.975</v>
      </c>
      <c r="CJ29" s="61">
        <f t="shared" si="42"/>
        <v>703.469625</v>
      </c>
      <c r="CK29" s="32">
        <f t="shared" si="43"/>
        <v>47601.444625</v>
      </c>
      <c r="CL29" s="34">
        <f t="shared" si="44"/>
        <v>2590.0908799999997</v>
      </c>
      <c r="CM29" s="34">
        <v>1950</v>
      </c>
      <c r="CN29" s="32"/>
      <c r="CO29" s="61">
        <f>$C29*CQ$7</f>
        <v>26193.086000000003</v>
      </c>
      <c r="CP29" s="61">
        <f t="shared" si="45"/>
        <v>392.89629</v>
      </c>
      <c r="CQ29" s="32">
        <f t="shared" si="46"/>
        <v>26585.982290000004</v>
      </c>
      <c r="CR29" s="34">
        <f t="shared" si="47"/>
        <v>1446.5970688000002</v>
      </c>
      <c r="CS29" s="34">
        <v>1087</v>
      </c>
      <c r="CT29" s="32"/>
      <c r="CU29" s="61">
        <f>$C29*CW$7</f>
        <v>17518.8505</v>
      </c>
      <c r="CV29" s="61">
        <f t="shared" si="48"/>
        <v>262.7827575</v>
      </c>
      <c r="CW29" s="32">
        <f t="shared" si="49"/>
        <v>17781.6332575</v>
      </c>
      <c r="CX29" s="34">
        <f t="shared" si="50"/>
        <v>967.5346304000001</v>
      </c>
      <c r="CY29" s="34">
        <v>726</v>
      </c>
      <c r="CZ29" s="32"/>
      <c r="DA29" s="61">
        <f>$C29*DC$7</f>
        <v>19351.7385</v>
      </c>
      <c r="DB29" s="61">
        <f t="shared" si="51"/>
        <v>290.2760775</v>
      </c>
      <c r="DC29" s="32">
        <f t="shared" si="52"/>
        <v>19642.0145775</v>
      </c>
      <c r="DD29" s="34">
        <f t="shared" si="53"/>
        <v>1068.7617408</v>
      </c>
      <c r="DE29" s="34">
        <v>805</v>
      </c>
      <c r="DF29" s="32"/>
      <c r="DG29" s="61">
        <f>$C29*DI$7</f>
        <v>235840.6995</v>
      </c>
      <c r="DH29" s="61">
        <f t="shared" si="54"/>
        <v>3537.6104925</v>
      </c>
      <c r="DI29" s="32">
        <f t="shared" si="55"/>
        <v>239378.3099925</v>
      </c>
      <c r="DJ29" s="34">
        <f t="shared" si="56"/>
        <v>13025.0580096</v>
      </c>
      <c r="DK29" s="34">
        <v>9771</v>
      </c>
      <c r="DL29" s="32"/>
      <c r="DM29" s="61">
        <f>$C29*DO$7</f>
        <v>35201.1025</v>
      </c>
      <c r="DN29" s="61">
        <f t="shared" si="57"/>
        <v>528.0165375</v>
      </c>
      <c r="DO29" s="32">
        <f t="shared" si="58"/>
        <v>35729.1190375</v>
      </c>
      <c r="DP29" s="34">
        <f t="shared" si="59"/>
        <v>1944.0936319999998</v>
      </c>
      <c r="DQ29" s="34">
        <v>1458</v>
      </c>
      <c r="DR29" s="32"/>
      <c r="DS29" s="61">
        <f>$C29*DU$7</f>
        <v>690323.0730000001</v>
      </c>
      <c r="DT29" s="61">
        <f t="shared" si="60"/>
        <v>10354.846095</v>
      </c>
      <c r="DU29" s="32">
        <f t="shared" si="61"/>
        <v>700677.9190950001</v>
      </c>
      <c r="DV29" s="34">
        <f t="shared" si="62"/>
        <v>38125.3027584</v>
      </c>
      <c r="DW29" s="34">
        <v>28600</v>
      </c>
      <c r="DX29" s="32"/>
      <c r="DY29" s="61">
        <f>$C29*EA$7</f>
        <v>35401.1385</v>
      </c>
      <c r="DZ29" s="61">
        <f t="shared" si="63"/>
        <v>531.0170775</v>
      </c>
      <c r="EA29" s="32">
        <f t="shared" si="64"/>
        <v>35932.1555775</v>
      </c>
      <c r="EB29" s="34">
        <f t="shared" si="65"/>
        <v>1955.1412608</v>
      </c>
      <c r="EC29" s="34">
        <v>1466</v>
      </c>
      <c r="ED29" s="32"/>
      <c r="EE29" s="61">
        <f>$C29*EG$7</f>
        <v>88761.323</v>
      </c>
      <c r="EF29" s="61">
        <f t="shared" si="66"/>
        <v>1331.4198450000001</v>
      </c>
      <c r="EG29" s="32">
        <f t="shared" si="67"/>
        <v>90092.742845</v>
      </c>
      <c r="EH29" s="34">
        <f t="shared" si="68"/>
        <v>4902.1283584</v>
      </c>
      <c r="EI29" s="34">
        <v>3689</v>
      </c>
      <c r="EJ29" s="32"/>
      <c r="EK29" s="61">
        <f>$C29*EM$7</f>
        <v>897576.0695</v>
      </c>
      <c r="EL29" s="61">
        <f t="shared" si="69"/>
        <v>13463.6410425</v>
      </c>
      <c r="EM29" s="32">
        <f t="shared" si="70"/>
        <v>911039.7105425</v>
      </c>
      <c r="EN29" s="34">
        <f t="shared" si="71"/>
        <v>49571.5133056</v>
      </c>
      <c r="EO29" s="34">
        <v>37204</v>
      </c>
      <c r="EP29" s="32"/>
      <c r="EQ29" s="32"/>
      <c r="ER29" s="32"/>
      <c r="ES29" s="32"/>
      <c r="ET29" s="32"/>
      <c r="EU29" s="32"/>
      <c r="EV29" s="32"/>
      <c r="EW29" s="32"/>
      <c r="EX29" s="32"/>
      <c r="EY29" s="32"/>
    </row>
    <row r="30" spans="3:155" ht="12.75">
      <c r="C30" s="39"/>
      <c r="D30" s="39"/>
      <c r="E30" s="39"/>
      <c r="F30" s="39"/>
      <c r="G30" s="39"/>
      <c r="L30" s="39"/>
      <c r="M30" s="39"/>
      <c r="R30" s="39"/>
      <c r="S30" s="39"/>
      <c r="U30" s="20"/>
      <c r="V30" s="20"/>
      <c r="W30" s="20"/>
      <c r="X30" s="39"/>
      <c r="Y30" s="39"/>
      <c r="AA30" s="20"/>
      <c r="AB30" s="20"/>
      <c r="AC30" s="20"/>
      <c r="AD30" s="39"/>
      <c r="AE30" s="39"/>
      <c r="AJ30" s="39"/>
      <c r="AK30" s="39"/>
      <c r="AM30" s="20"/>
      <c r="AN30" s="20"/>
      <c r="AO30" s="20"/>
      <c r="AP30" s="39"/>
      <c r="AQ30" s="39"/>
      <c r="AS30" s="20"/>
      <c r="AT30" s="20"/>
      <c r="AU30" s="20"/>
      <c r="AV30" s="39"/>
      <c r="AW30" s="39"/>
      <c r="AX30" s="32"/>
      <c r="AY30" s="20"/>
      <c r="AZ30" s="20"/>
      <c r="BA30" s="20"/>
      <c r="BB30" s="39"/>
      <c r="BC30" s="39"/>
      <c r="BD30" s="32"/>
      <c r="BE30" s="32"/>
      <c r="BF30" s="32"/>
      <c r="BG30" s="32"/>
      <c r="BH30" s="39"/>
      <c r="BI30" s="39"/>
      <c r="BJ30" s="32"/>
      <c r="BK30" s="32"/>
      <c r="BL30" s="32"/>
      <c r="BM30" s="32"/>
      <c r="BN30" s="39"/>
      <c r="BO30" s="39"/>
      <c r="BP30" s="32"/>
      <c r="BQ30" s="32"/>
      <c r="BR30" s="32"/>
      <c r="BS30" s="32"/>
      <c r="BT30" s="39"/>
      <c r="BU30" s="39"/>
      <c r="BV30" s="32"/>
      <c r="BW30" s="32"/>
      <c r="BX30" s="32"/>
      <c r="BY30" s="32"/>
      <c r="BZ30" s="39"/>
      <c r="CA30" s="39"/>
      <c r="CB30" s="32"/>
      <c r="CC30" s="32"/>
      <c r="CD30" s="32"/>
      <c r="CE30" s="32"/>
      <c r="CF30" s="39"/>
      <c r="CG30" s="39"/>
      <c r="CH30" s="32"/>
      <c r="CI30" s="32"/>
      <c r="CJ30" s="32"/>
      <c r="CK30" s="32"/>
      <c r="CL30" s="39"/>
      <c r="CM30" s="39"/>
      <c r="CN30" s="32"/>
      <c r="CO30" s="32"/>
      <c r="CP30" s="32"/>
      <c r="CQ30" s="32"/>
      <c r="CR30" s="39"/>
      <c r="CS30" s="39"/>
      <c r="CT30" s="32"/>
      <c r="CU30" s="32"/>
      <c r="CV30" s="32"/>
      <c r="CW30" s="32"/>
      <c r="CX30" s="39"/>
      <c r="CY30" s="39"/>
      <c r="CZ30" s="32"/>
      <c r="DA30" s="32"/>
      <c r="DB30" s="32"/>
      <c r="DC30" s="32"/>
      <c r="DD30" s="39"/>
      <c r="DE30" s="39"/>
      <c r="DF30" s="32"/>
      <c r="DG30" s="32"/>
      <c r="DH30" s="32"/>
      <c r="DI30" s="32"/>
      <c r="DJ30" s="39"/>
      <c r="DK30" s="39"/>
      <c r="DL30" s="32"/>
      <c r="DM30" s="32"/>
      <c r="DN30" s="32"/>
      <c r="DO30" s="32"/>
      <c r="DP30" s="39"/>
      <c r="DQ30" s="39"/>
      <c r="DR30" s="32"/>
      <c r="DS30" s="32"/>
      <c r="DT30" s="32"/>
      <c r="DU30" s="32"/>
      <c r="DV30" s="39"/>
      <c r="DW30" s="39"/>
      <c r="DX30" s="32"/>
      <c r="DY30" s="32"/>
      <c r="DZ30" s="32"/>
      <c r="EA30" s="32"/>
      <c r="EB30" s="39"/>
      <c r="EC30" s="39"/>
      <c r="ED30" s="32"/>
      <c r="EE30" s="32"/>
      <c r="EF30" s="32"/>
      <c r="EG30" s="32"/>
      <c r="EH30" s="39"/>
      <c r="EI30" s="39"/>
      <c r="EJ30" s="32"/>
      <c r="EK30" s="32"/>
      <c r="EL30" s="32"/>
      <c r="EM30" s="32"/>
      <c r="EN30" s="39"/>
      <c r="EO30" s="39"/>
      <c r="EP30" s="32"/>
      <c r="EQ30" s="39"/>
      <c r="ER30" s="39"/>
      <c r="ES30" s="39"/>
      <c r="ET30" s="39"/>
      <c r="EU30" s="39"/>
      <c r="EV30" s="32"/>
      <c r="EW30" s="32"/>
      <c r="EX30" s="32"/>
      <c r="EY30" s="32"/>
    </row>
    <row r="31" spans="1:155" ht="13.5" thickBot="1">
      <c r="A31" s="30" t="s">
        <v>4</v>
      </c>
      <c r="C31" s="46">
        <f>SUM(C9:C30)</f>
        <v>44580000</v>
      </c>
      <c r="D31" s="46">
        <f>SUM(D9:D30)</f>
        <v>12529350</v>
      </c>
      <c r="E31" s="46">
        <f>SUM(E9:E30)</f>
        <v>57109350</v>
      </c>
      <c r="F31" s="46">
        <f>SUM(F9:F30)</f>
        <v>6744192</v>
      </c>
      <c r="G31" s="46">
        <f>SUM(G9:G30)</f>
        <v>5064423</v>
      </c>
      <c r="I31" s="46">
        <f>SUM(I9:I29)</f>
        <v>7508694.101999999</v>
      </c>
      <c r="J31" s="46">
        <f>SUM(J9:J29)</f>
        <v>2110342.226265</v>
      </c>
      <c r="K31" s="46">
        <f>SUM(K9:K29)</f>
        <v>9619036.328265</v>
      </c>
      <c r="L31" s="46">
        <f>SUM(L9:L30)</f>
        <v>1135937.0725248002</v>
      </c>
      <c r="M31" s="46">
        <f>SUM(M9:M30)</f>
        <v>853209</v>
      </c>
      <c r="O31" s="46">
        <f>SUM(O9:O30)</f>
        <v>37071310.356</v>
      </c>
      <c r="P31" s="46">
        <f>SUM(P9:P30)</f>
        <v>10419009.026670003</v>
      </c>
      <c r="Q31" s="46">
        <f>SUM(Q9:Q30)</f>
        <v>47490319.38267</v>
      </c>
      <c r="R31" s="46">
        <f>SUM(R9:R30)</f>
        <v>5608255.601894399</v>
      </c>
      <c r="S31" s="46">
        <f>SUM(S9:S30)</f>
        <v>4211214</v>
      </c>
      <c r="U31" s="46">
        <f>SUM(U9:U30)</f>
        <v>124739.298</v>
      </c>
      <c r="V31" s="46">
        <f>SUM(V9:V30)</f>
        <v>35058.374234999996</v>
      </c>
      <c r="W31" s="46">
        <f>SUM(W9:W30)</f>
        <v>159797.67223499998</v>
      </c>
      <c r="X31" s="46">
        <f>SUM(X9:X30)</f>
        <v>18870.923635200004</v>
      </c>
      <c r="Y31" s="46">
        <f>SUM(Y9:Y30)</f>
        <v>14280</v>
      </c>
      <c r="AA31" s="46">
        <f>SUM(AA9:AA30)</f>
        <v>671370.342</v>
      </c>
      <c r="AB31" s="46">
        <f>SUM(AB9:AB30)</f>
        <v>188690.75806499994</v>
      </c>
      <c r="AC31" s="46">
        <f>SUM(AC9:AC30)</f>
        <v>860061.100065</v>
      </c>
      <c r="AD31" s="46">
        <f>SUM(AD9:AD30)</f>
        <v>101566.8571008</v>
      </c>
      <c r="AE31" s="46">
        <f>SUM(AE9:AE30)</f>
        <v>76713</v>
      </c>
      <c r="AG31" s="46">
        <f>SUM(AG9:AG30)</f>
        <v>1052395.602</v>
      </c>
      <c r="AH31" s="46">
        <f>SUM(AH9:AH30)</f>
        <v>295779.112515</v>
      </c>
      <c r="AI31" s="46">
        <f>SUM(AI9:AI30)</f>
        <v>1348174.714515</v>
      </c>
      <c r="AJ31" s="46">
        <f>SUM(AJ9:AJ30)</f>
        <v>159209.4661248</v>
      </c>
      <c r="AK31" s="46">
        <f>SUM(AK9:AK30)</f>
        <v>120603</v>
      </c>
      <c r="AM31" s="46">
        <f>SUM(AM9:AM30)</f>
        <v>218491.038</v>
      </c>
      <c r="AN31" s="46">
        <f>SUM(AN9:AN30)</f>
        <v>61407.597285000025</v>
      </c>
      <c r="AO31" s="46">
        <f>SUM(AO9:AO30)</f>
        <v>279898.63528499997</v>
      </c>
      <c r="AP31" s="46">
        <f>SUM(AP9:AP30)</f>
        <v>33053.95941120002</v>
      </c>
      <c r="AQ31" s="46">
        <f>SUM(AQ9:AQ30)</f>
        <v>24801</v>
      </c>
      <c r="AS31" s="46">
        <f>SUM(AS9:AS30)</f>
        <v>13253754.365999999</v>
      </c>
      <c r="AT31" s="46">
        <f>SUM(AT9:AT30)</f>
        <v>3725009.584244999</v>
      </c>
      <c r="AU31" s="46">
        <f>SUM(AU9:AU30)</f>
        <v>16978763.950244997</v>
      </c>
      <c r="AV31" s="46">
        <f>SUM(AV9:AV30)</f>
        <v>2005066.4909183995</v>
      </c>
      <c r="AW31" s="46">
        <f>SUM(AW9:AW30)</f>
        <v>1505490</v>
      </c>
      <c r="AX31" s="32"/>
      <c r="AY31" s="46">
        <f>SUM(AY9:AY30)</f>
        <v>73606.038</v>
      </c>
      <c r="AZ31" s="46">
        <f>SUM(AZ9:AZ30)</f>
        <v>20687.209785000003</v>
      </c>
      <c r="BA31" s="46">
        <f>SUM(BA9:BA30)</f>
        <v>94293.24778499999</v>
      </c>
      <c r="BB31" s="46">
        <f>SUM(BB9:BB30)</f>
        <v>11135.335411199994</v>
      </c>
      <c r="BC31" s="46">
        <f>SUM(BC9:BC30)</f>
        <v>8358</v>
      </c>
      <c r="BD31" s="32"/>
      <c r="BE31" s="46">
        <f>SUM(BE9:BE30)</f>
        <v>256321.626</v>
      </c>
      <c r="BF31" s="46">
        <f>SUM(BF9:BF30)</f>
        <v>72040.00369499999</v>
      </c>
      <c r="BG31" s="46">
        <f>SUM(BG9:BG30)</f>
        <v>328361.629695</v>
      </c>
      <c r="BH31" s="46">
        <f>SUM(BH9:BH30)</f>
        <v>38777.08074240001</v>
      </c>
      <c r="BI31" s="46">
        <f>SUM(BI9:BI30)</f>
        <v>29085</v>
      </c>
      <c r="BJ31" s="32"/>
      <c r="BK31" s="46">
        <f>SUM(BK9:BK30)</f>
        <v>1960824.5520000001</v>
      </c>
      <c r="BL31" s="46">
        <f>SUM(BL9:BL30)</f>
        <v>551095.9421399998</v>
      </c>
      <c r="BM31" s="46">
        <f>SUM(BM9:BM30)</f>
        <v>2511920.49414</v>
      </c>
      <c r="BN31" s="46">
        <f>SUM(BN9:BN30)</f>
        <v>296639.23860479996</v>
      </c>
      <c r="BO31" s="46">
        <f>SUM(BO9:BO30)</f>
        <v>222516</v>
      </c>
      <c r="BP31" s="32"/>
      <c r="BQ31" s="46">
        <f>SUM(BQ9:BQ30)</f>
        <v>617731.686</v>
      </c>
      <c r="BR31" s="46">
        <f>SUM(BR9:BR30)</f>
        <v>173615.444145</v>
      </c>
      <c r="BS31" s="46">
        <f>SUM(BS9:BS30)</f>
        <v>791347.130145</v>
      </c>
      <c r="BT31" s="46">
        <f>SUM(BT9:BT30)</f>
        <v>93452.24528639996</v>
      </c>
      <c r="BU31" s="46">
        <f>SUM(BU9:BU30)</f>
        <v>70098</v>
      </c>
      <c r="BV31" s="32"/>
      <c r="BW31" s="46">
        <f>SUM(BW9:BW30)</f>
        <v>2795050.0919999997</v>
      </c>
      <c r="BX31" s="46">
        <f>SUM(BX9:BX30)</f>
        <v>785557.6686900001</v>
      </c>
      <c r="BY31" s="46">
        <f>SUM(BY9:BY30)</f>
        <v>3580607.7606900004</v>
      </c>
      <c r="BZ31" s="46">
        <f>SUM(BZ9:BZ30)</f>
        <v>422843.3035008002</v>
      </c>
      <c r="CA31" s="46">
        <f>SUM(CA9:CA30)</f>
        <v>317310</v>
      </c>
      <c r="CB31" s="32"/>
      <c r="CC31" s="46">
        <f>SUM(CC9:CC30)</f>
        <v>793.524</v>
      </c>
      <c r="CD31" s="46">
        <f>SUM(CD9:CD30)</f>
        <v>223.02242999999999</v>
      </c>
      <c r="CE31" s="46">
        <f>SUM(CE9:CE30)</f>
        <v>1016.54643</v>
      </c>
      <c r="CF31" s="46">
        <f>SUM(CF9:CF30)</f>
        <v>120.04661760000003</v>
      </c>
      <c r="CG31" s="46">
        <f>SUM(CG9:CG30)</f>
        <v>84</v>
      </c>
      <c r="CH31" s="32"/>
      <c r="CI31" s="46">
        <f>SUM(CI9:CI30)</f>
        <v>359537.6999999999</v>
      </c>
      <c r="CJ31" s="46">
        <f>SUM(CJ9:CJ30)</f>
        <v>101049.20774999997</v>
      </c>
      <c r="CK31" s="46">
        <f>SUM(CK9:CK30)</f>
        <v>460586.9077500001</v>
      </c>
      <c r="CL31" s="46">
        <f>SUM(CL9:CL30)</f>
        <v>54391.90848000003</v>
      </c>
      <c r="CM31" s="46">
        <f>SUM(CM9:CM30)</f>
        <v>40950</v>
      </c>
      <c r="CN31" s="32"/>
      <c r="CO31" s="46">
        <f>SUM(CO9:CO30)</f>
        <v>200806.15200000003</v>
      </c>
      <c r="CP31" s="46">
        <f>SUM(CP9:CP30)</f>
        <v>56437.20413999999</v>
      </c>
      <c r="CQ31" s="46">
        <f>SUM(CQ9:CQ30)</f>
        <v>257243.35614000005</v>
      </c>
      <c r="CR31" s="46">
        <f>SUM(CR9:CR30)</f>
        <v>30378.538444800015</v>
      </c>
      <c r="CS31" s="46">
        <f>SUM(CS9:CS30)</f>
        <v>22827</v>
      </c>
      <c r="CT31" s="32"/>
      <c r="CU31" s="46">
        <f>SUM(CU9:CU30)</f>
        <v>134306.166</v>
      </c>
      <c r="CV31" s="46">
        <f>SUM(CV9:CV30)</f>
        <v>37747.17274499998</v>
      </c>
      <c r="CW31" s="46">
        <f>SUM(CW9:CW30)</f>
        <v>172053.33874500004</v>
      </c>
      <c r="CX31" s="46">
        <f>SUM(CX9:CX30)</f>
        <v>20318.227238400003</v>
      </c>
      <c r="CY31" s="46">
        <f>SUM(CY9:CY30)</f>
        <v>15246</v>
      </c>
      <c r="CZ31" s="32"/>
      <c r="DA31" s="46">
        <f>SUM(DA9:DA30)</f>
        <v>148357.782</v>
      </c>
      <c r="DB31" s="46">
        <f>SUM(DB9:DB30)</f>
        <v>41696.423865</v>
      </c>
      <c r="DC31" s="46">
        <f>SUM(DC9:DC30)</f>
        <v>190054.20586500003</v>
      </c>
      <c r="DD31" s="46">
        <f>SUM(DD9:DD30)</f>
        <v>22443.996556800008</v>
      </c>
      <c r="DE31" s="46">
        <f>SUM(DE9:DE30)</f>
        <v>16905</v>
      </c>
      <c r="DF31" s="32"/>
      <c r="DG31" s="46">
        <f>SUM(DG9:DG30)</f>
        <v>1808044.434</v>
      </c>
      <c r="DH31" s="46">
        <f>SUM(DH9:DH30)</f>
        <v>508156.60675499996</v>
      </c>
      <c r="DI31" s="46">
        <f>SUM(DI9:DI30)</f>
        <v>2316201.0407549995</v>
      </c>
      <c r="DJ31" s="46">
        <f>SUM(DJ9:DJ30)</f>
        <v>273526.2182016001</v>
      </c>
      <c r="DK31" s="46">
        <f>SUM(DK9:DK30)</f>
        <v>205191</v>
      </c>
      <c r="DL31" s="32"/>
      <c r="DM31" s="46">
        <f>SUM(DM9:DM30)</f>
        <v>269865.03</v>
      </c>
      <c r="DN31" s="46">
        <f>SUM(DN9:DN30)</f>
        <v>75846.42022500001</v>
      </c>
      <c r="DO31" s="46">
        <f>SUM(DO9:DO30)</f>
        <v>345711.45022500004</v>
      </c>
      <c r="DP31" s="46">
        <f>SUM(DP9:DP30)</f>
        <v>40825.96627199998</v>
      </c>
      <c r="DQ31" s="46">
        <f>SUM(DQ9:DQ30)</f>
        <v>30618</v>
      </c>
      <c r="DR31" s="32"/>
      <c r="DS31" s="46">
        <f>SUM(DS9:DS30)</f>
        <v>5292279.036</v>
      </c>
      <c r="DT31" s="46">
        <f>SUM(DT9:DT30)</f>
        <v>1487411.7617699997</v>
      </c>
      <c r="DU31" s="46">
        <f>SUM(DU9:DU30)</f>
        <v>6779690.79777</v>
      </c>
      <c r="DV31" s="46">
        <f>SUM(DV9:DV30)</f>
        <v>800631.3579263998</v>
      </c>
      <c r="DW31" s="46">
        <f>SUM(DW9:DW30)</f>
        <v>600600</v>
      </c>
      <c r="DX31" s="39"/>
      <c r="DY31" s="46">
        <f>SUM(DY9:DY30)</f>
        <v>271398.582</v>
      </c>
      <c r="DZ31" s="46">
        <f>SUM(DZ9:DZ30)</f>
        <v>76277.429865</v>
      </c>
      <c r="EA31" s="46">
        <f>SUM(EA9:EA30)</f>
        <v>347676.011865</v>
      </c>
      <c r="EB31" s="46">
        <f>SUM(EB9:EB30)</f>
        <v>41057.9664768</v>
      </c>
      <c r="EC31" s="46">
        <f>SUM(EC9:EC30)</f>
        <v>30786</v>
      </c>
      <c r="ED31" s="32"/>
      <c r="EE31" s="46">
        <f>SUM(EE9:EE30)</f>
        <v>680478.036</v>
      </c>
      <c r="EF31" s="46">
        <f>SUM(EF9:EF30)</f>
        <v>191250.50427000003</v>
      </c>
      <c r="EG31" s="46">
        <f>SUM(EG9:EG30)</f>
        <v>871728.5402700001</v>
      </c>
      <c r="EH31" s="46">
        <f>SUM(EH9:EH30)</f>
        <v>102944.69552640003</v>
      </c>
      <c r="EI31" s="46">
        <f>SUM(EI9:EI30)</f>
        <v>77469</v>
      </c>
      <c r="EJ31" s="32"/>
      <c r="EK31" s="46">
        <f>SUM(EK9:EK30)</f>
        <v>6881159.274</v>
      </c>
      <c r="EL31" s="46">
        <f>SUM(EL9:EL30)</f>
        <v>1933971.5780549997</v>
      </c>
      <c r="EM31" s="46">
        <f>SUM(EM9:EM30)</f>
        <v>8815130.852055002</v>
      </c>
      <c r="EN31" s="46">
        <f>SUM(EN9:EN30)</f>
        <v>1041001.7794176002</v>
      </c>
      <c r="EO31" s="46">
        <f>SUM(EO9:EO30)</f>
        <v>781284</v>
      </c>
      <c r="EP31" s="32"/>
      <c r="EQ31" s="46">
        <f>SUM(EQ9:EQ30)</f>
        <v>0</v>
      </c>
      <c r="ER31" s="46">
        <f>SUM(ER9:ER30)</f>
        <v>0</v>
      </c>
      <c r="ES31" s="46">
        <f>SUM(ES9:ES30)</f>
        <v>0</v>
      </c>
      <c r="ET31" s="46">
        <f>SUM(ET9:ET30)</f>
        <v>0</v>
      </c>
      <c r="EU31" s="46">
        <f>SUM(EU9:EU30)</f>
        <v>0</v>
      </c>
      <c r="EV31" s="32"/>
      <c r="EW31" s="46">
        <f>SUM(EW9:EW30)</f>
        <v>0</v>
      </c>
      <c r="EX31" s="46">
        <f>SUM(EX9:EX30)</f>
        <v>0</v>
      </c>
      <c r="EY31" s="46">
        <f>SUM(EY9:EY30)</f>
        <v>0</v>
      </c>
    </row>
    <row r="32" spans="21:55" ht="13.5" thickTop="1">
      <c r="U32" s="20"/>
      <c r="V32" s="20"/>
      <c r="W32" s="20"/>
      <c r="X32" s="20"/>
      <c r="Y32" s="20"/>
      <c r="AA32" s="20"/>
      <c r="AB32" s="20"/>
      <c r="AC32" s="20"/>
      <c r="AD32" s="20"/>
      <c r="AE32" s="20"/>
      <c r="AM32" s="20"/>
      <c r="AN32" s="20"/>
      <c r="AO32" s="20"/>
      <c r="AP32" s="20"/>
      <c r="AQ32" s="20"/>
      <c r="AS32" s="20"/>
      <c r="AT32" s="20"/>
      <c r="AU32" s="20"/>
      <c r="AV32" s="20"/>
      <c r="AW32" s="20"/>
      <c r="AY32" s="20"/>
      <c r="AZ32" s="20"/>
      <c r="BA32" s="20"/>
      <c r="BB32" s="20"/>
      <c r="BC32" s="20"/>
    </row>
    <row r="33" spans="3:55" ht="12.75">
      <c r="C33" s="34">
        <f>I31+O31</f>
        <v>44580004.458</v>
      </c>
      <c r="D33" s="34">
        <f>J31+P31</f>
        <v>12529351.252935003</v>
      </c>
      <c r="E33" s="34">
        <f>K31+Q31</f>
        <v>57109355.710935</v>
      </c>
      <c r="F33" s="34">
        <f>L31+R31</f>
        <v>6744192.674419199</v>
      </c>
      <c r="G33" s="34">
        <f>M31+S31</f>
        <v>5064423</v>
      </c>
      <c r="U33" s="20"/>
      <c r="V33" s="20"/>
      <c r="W33" s="20"/>
      <c r="X33" s="20"/>
      <c r="Y33" s="20"/>
      <c r="AA33" s="20"/>
      <c r="AB33" s="20"/>
      <c r="AC33" s="20"/>
      <c r="AD33" s="20"/>
      <c r="AE33" s="20"/>
      <c r="AM33" s="20"/>
      <c r="AN33" s="20"/>
      <c r="AO33" s="20"/>
      <c r="AP33" s="20"/>
      <c r="AQ33" s="20"/>
      <c r="AS33" s="20"/>
      <c r="AT33" s="20"/>
      <c r="AU33" s="20"/>
      <c r="AV33" s="20"/>
      <c r="AW33" s="20"/>
      <c r="AY33" s="20"/>
      <c r="AZ33" s="20"/>
      <c r="BA33" s="20"/>
      <c r="BB33" s="20"/>
      <c r="BC33" s="20"/>
    </row>
    <row r="34" spans="21:55" ht="12.75">
      <c r="U34" s="20"/>
      <c r="V34" s="20"/>
      <c r="W34" s="20"/>
      <c r="X34" s="20"/>
      <c r="Y34" s="20"/>
      <c r="AA34" s="20"/>
      <c r="AB34" s="20"/>
      <c r="AC34" s="20"/>
      <c r="AD34" s="20"/>
      <c r="AE34" s="20"/>
      <c r="AM34" s="20"/>
      <c r="AN34" s="20"/>
      <c r="AO34" s="20"/>
      <c r="AP34" s="20"/>
      <c r="AQ34" s="20"/>
      <c r="AS34" s="20"/>
      <c r="AT34" s="20"/>
      <c r="AU34" s="20"/>
      <c r="AV34" s="20"/>
      <c r="AW34" s="20"/>
      <c r="AY34" s="20"/>
      <c r="AZ34" s="20"/>
      <c r="BA34" s="20"/>
      <c r="BB34" s="20"/>
      <c r="BC34" s="20"/>
    </row>
    <row r="35" spans="21:55" ht="12.75">
      <c r="U35" s="20"/>
      <c r="V35" s="20"/>
      <c r="W35" s="20"/>
      <c r="X35" s="20"/>
      <c r="Y35" s="20"/>
      <c r="AA35" s="20"/>
      <c r="AB35" s="20"/>
      <c r="AC35" s="20"/>
      <c r="AD35" s="20"/>
      <c r="AE35" s="20"/>
      <c r="AM35" s="20"/>
      <c r="AN35" s="20"/>
      <c r="AO35" s="20"/>
      <c r="AP35" s="20"/>
      <c r="AQ35" s="20"/>
      <c r="AS35" s="20"/>
      <c r="AT35" s="20"/>
      <c r="AU35" s="20"/>
      <c r="AV35" s="20"/>
      <c r="AW35" s="20"/>
      <c r="AY35" s="20"/>
      <c r="AZ35" s="20"/>
      <c r="BA35" s="20"/>
      <c r="BB35" s="20"/>
      <c r="BC35" s="20"/>
    </row>
    <row r="36" spans="21:55" ht="12.75">
      <c r="U36" s="20"/>
      <c r="V36" s="20"/>
      <c r="W36" s="20"/>
      <c r="X36" s="20"/>
      <c r="Y36" s="20"/>
      <c r="AA36" s="20"/>
      <c r="AB36" s="20"/>
      <c r="AC36" s="20"/>
      <c r="AD36" s="20"/>
      <c r="AE36" s="20"/>
      <c r="AM36" s="20"/>
      <c r="AN36" s="20"/>
      <c r="AO36" s="20"/>
      <c r="AP36" s="20"/>
      <c r="AQ36" s="20"/>
      <c r="AS36" s="20"/>
      <c r="AT36" s="20"/>
      <c r="AU36" s="20"/>
      <c r="AV36" s="20"/>
      <c r="AW36" s="20"/>
      <c r="AY36" s="20"/>
      <c r="AZ36" s="20"/>
      <c r="BA36" s="20"/>
      <c r="BB36" s="20"/>
      <c r="BC36" s="20"/>
    </row>
    <row r="37" spans="21:55" ht="12.75">
      <c r="U37" s="20"/>
      <c r="V37" s="20"/>
      <c r="W37" s="20"/>
      <c r="X37" s="20"/>
      <c r="Y37" s="20"/>
      <c r="AA37" s="20"/>
      <c r="AB37" s="20"/>
      <c r="AC37" s="20"/>
      <c r="AD37" s="20"/>
      <c r="AE37" s="20"/>
      <c r="AM37" s="20"/>
      <c r="AN37" s="20"/>
      <c r="AO37" s="20"/>
      <c r="AP37" s="20"/>
      <c r="AQ37" s="20"/>
      <c r="AS37" s="20"/>
      <c r="AT37" s="20"/>
      <c r="AU37" s="20"/>
      <c r="AV37" s="20"/>
      <c r="AW37" s="20"/>
      <c r="AY37" s="20"/>
      <c r="AZ37" s="20"/>
      <c r="BA37" s="20"/>
      <c r="BB37" s="20"/>
      <c r="BC37" s="20"/>
    </row>
    <row r="38" spans="21:55" ht="12.75">
      <c r="U38" s="20"/>
      <c r="V38" s="20"/>
      <c r="W38" s="20"/>
      <c r="X38" s="20"/>
      <c r="Y38" s="20"/>
      <c r="AA38" s="20"/>
      <c r="AB38" s="20"/>
      <c r="AC38" s="20"/>
      <c r="AD38" s="20"/>
      <c r="AE38" s="20"/>
      <c r="AM38" s="20"/>
      <c r="AN38" s="20"/>
      <c r="AO38" s="20"/>
      <c r="AP38" s="20"/>
      <c r="AQ38" s="20"/>
      <c r="AS38" s="20"/>
      <c r="AT38" s="20"/>
      <c r="AU38" s="20"/>
      <c r="AV38" s="20"/>
      <c r="AW38" s="20"/>
      <c r="AY38" s="20"/>
      <c r="AZ38" s="20"/>
      <c r="BA38" s="20"/>
      <c r="BB38" s="20"/>
      <c r="BC38" s="20"/>
    </row>
    <row r="39" spans="21:55" ht="12.75">
      <c r="U39" s="20"/>
      <c r="V39" s="20"/>
      <c r="W39" s="20"/>
      <c r="X39" s="20"/>
      <c r="Y39" s="20"/>
      <c r="AA39" s="20"/>
      <c r="AB39" s="20"/>
      <c r="AC39" s="20"/>
      <c r="AD39" s="20"/>
      <c r="AE39" s="20"/>
      <c r="AM39" s="20"/>
      <c r="AN39" s="20"/>
      <c r="AO39" s="20"/>
      <c r="AP39" s="20"/>
      <c r="AQ39" s="20"/>
      <c r="AS39" s="20"/>
      <c r="AT39" s="20"/>
      <c r="AU39" s="20"/>
      <c r="AV39" s="20"/>
      <c r="AW39" s="20"/>
      <c r="AY39" s="20"/>
      <c r="AZ39" s="20"/>
      <c r="BA39" s="20"/>
      <c r="BB39" s="20"/>
      <c r="BC39" s="20"/>
    </row>
    <row r="40" spans="21:55" ht="12.75">
      <c r="U40" s="20"/>
      <c r="V40" s="20"/>
      <c r="W40" s="20"/>
      <c r="X40" s="20"/>
      <c r="Y40" s="20"/>
      <c r="AA40" s="20"/>
      <c r="AB40" s="20"/>
      <c r="AC40" s="20"/>
      <c r="AD40" s="20"/>
      <c r="AE40" s="20"/>
      <c r="AM40" s="20"/>
      <c r="AN40" s="20"/>
      <c r="AO40" s="20"/>
      <c r="AP40" s="20"/>
      <c r="AQ40" s="20"/>
      <c r="AS40" s="20"/>
      <c r="AT40" s="20"/>
      <c r="AU40" s="20"/>
      <c r="AV40" s="20"/>
      <c r="AW40" s="20"/>
      <c r="AY40" s="20"/>
      <c r="AZ40" s="20"/>
      <c r="BA40" s="20"/>
      <c r="BB40" s="20"/>
      <c r="BC40" s="20"/>
    </row>
    <row r="41" spans="21:55" ht="12.75">
      <c r="U41" s="20"/>
      <c r="V41" s="20"/>
      <c r="W41" s="20"/>
      <c r="X41" s="20"/>
      <c r="Y41" s="20"/>
      <c r="AA41" s="20"/>
      <c r="AB41" s="20"/>
      <c r="AC41" s="20"/>
      <c r="AD41" s="20"/>
      <c r="AE41" s="20"/>
      <c r="AM41" s="20"/>
      <c r="AN41" s="20"/>
      <c r="AO41" s="20"/>
      <c r="AP41" s="20"/>
      <c r="AQ41" s="20"/>
      <c r="AS41" s="20"/>
      <c r="AT41" s="20"/>
      <c r="AU41" s="20"/>
      <c r="AV41" s="20"/>
      <c r="AW41" s="20"/>
      <c r="AY41" s="20"/>
      <c r="AZ41" s="20"/>
      <c r="BA41" s="20"/>
      <c r="BB41" s="20"/>
      <c r="BC41" s="20"/>
    </row>
    <row r="42" spans="3:55" ht="12.75">
      <c r="C42"/>
      <c r="D42"/>
      <c r="E42"/>
      <c r="F42"/>
      <c r="G42"/>
      <c r="I42"/>
      <c r="J42"/>
      <c r="K42"/>
      <c r="L42"/>
      <c r="M42"/>
      <c r="U42" s="20"/>
      <c r="V42" s="20"/>
      <c r="W42" s="20"/>
      <c r="X42" s="20"/>
      <c r="Y42" s="20"/>
      <c r="AA42" s="20"/>
      <c r="AB42" s="20"/>
      <c r="AC42" s="20"/>
      <c r="AD42" s="20"/>
      <c r="AE42" s="20"/>
      <c r="AM42" s="20"/>
      <c r="AN42" s="20"/>
      <c r="AO42" s="20"/>
      <c r="AP42" s="20"/>
      <c r="AQ42" s="20"/>
      <c r="AS42" s="20"/>
      <c r="AT42" s="20"/>
      <c r="AU42" s="20"/>
      <c r="AV42" s="20"/>
      <c r="AW42" s="20"/>
      <c r="AY42" s="20"/>
      <c r="AZ42" s="20"/>
      <c r="BA42" s="20"/>
      <c r="BB42" s="20"/>
      <c r="BC42" s="20"/>
    </row>
    <row r="43" spans="1:155" ht="12.75">
      <c r="A43"/>
      <c r="C43"/>
      <c r="D43"/>
      <c r="E43"/>
      <c r="F43"/>
      <c r="G43"/>
      <c r="H43"/>
      <c r="I43"/>
      <c r="J43"/>
      <c r="K43"/>
      <c r="L43"/>
      <c r="M43"/>
      <c r="N43"/>
      <c r="T43"/>
      <c r="U43" s="20"/>
      <c r="V43" s="20"/>
      <c r="W43" s="20"/>
      <c r="X43" s="20"/>
      <c r="Y43" s="20"/>
      <c r="Z43"/>
      <c r="AA43" s="20"/>
      <c r="AB43" s="20"/>
      <c r="AC43" s="20"/>
      <c r="AD43" s="20"/>
      <c r="AE43" s="20"/>
      <c r="AF43"/>
      <c r="AG43"/>
      <c r="AH43"/>
      <c r="AI43"/>
      <c r="AJ43"/>
      <c r="AK43"/>
      <c r="AL43"/>
      <c r="AM43" s="20"/>
      <c r="AN43" s="20"/>
      <c r="AO43" s="20"/>
      <c r="AP43" s="20"/>
      <c r="AQ43" s="20"/>
      <c r="AR43"/>
      <c r="AS43" s="20"/>
      <c r="AT43" s="20"/>
      <c r="AU43" s="20"/>
      <c r="AV43" s="20"/>
      <c r="AW43" s="20"/>
      <c r="AY43" s="20"/>
      <c r="AZ43" s="20"/>
      <c r="BA43" s="20"/>
      <c r="BB43" s="20"/>
      <c r="BC43" s="20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</row>
    <row r="44" spans="1:155" ht="12.75">
      <c r="A44"/>
      <c r="C44"/>
      <c r="D44"/>
      <c r="E44"/>
      <c r="F44"/>
      <c r="G44"/>
      <c r="H44"/>
      <c r="I44"/>
      <c r="J44"/>
      <c r="K44"/>
      <c r="L44"/>
      <c r="M44"/>
      <c r="N44"/>
      <c r="T44"/>
      <c r="U44" s="20"/>
      <c r="V44" s="20"/>
      <c r="W44" s="20"/>
      <c r="X44" s="20"/>
      <c r="Y44" s="20"/>
      <c r="Z44"/>
      <c r="AA44" s="20"/>
      <c r="AB44" s="20"/>
      <c r="AC44" s="20"/>
      <c r="AD44" s="20"/>
      <c r="AE44" s="20"/>
      <c r="AF44"/>
      <c r="AG44"/>
      <c r="AH44"/>
      <c r="AI44"/>
      <c r="AJ44"/>
      <c r="AK44"/>
      <c r="AL44"/>
      <c r="AM44" s="20"/>
      <c r="AN44" s="20"/>
      <c r="AO44" s="20"/>
      <c r="AP44" s="20"/>
      <c r="AQ44" s="20"/>
      <c r="AR44"/>
      <c r="AS44" s="20"/>
      <c r="AT44" s="20"/>
      <c r="AU44" s="20"/>
      <c r="AV44" s="20"/>
      <c r="AW44" s="20"/>
      <c r="AY44" s="20"/>
      <c r="AZ44" s="20"/>
      <c r="BA44" s="20"/>
      <c r="BB44" s="20"/>
      <c r="BC44" s="20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</row>
    <row r="45" spans="1:155" ht="12.75">
      <c r="A45"/>
      <c r="C45"/>
      <c r="D45"/>
      <c r="E45"/>
      <c r="F45"/>
      <c r="G45"/>
      <c r="H45"/>
      <c r="I45"/>
      <c r="J45"/>
      <c r="K45"/>
      <c r="L45"/>
      <c r="M45"/>
      <c r="N45"/>
      <c r="T45"/>
      <c r="U45" s="20"/>
      <c r="V45" s="20"/>
      <c r="W45" s="20"/>
      <c r="X45" s="20"/>
      <c r="Y45" s="20"/>
      <c r="Z45"/>
      <c r="AA45" s="20"/>
      <c r="AB45" s="20"/>
      <c r="AC45" s="20"/>
      <c r="AD45" s="20"/>
      <c r="AE45" s="20"/>
      <c r="AF45"/>
      <c r="AG45"/>
      <c r="AH45"/>
      <c r="AI45"/>
      <c r="AJ45"/>
      <c r="AK45"/>
      <c r="AL45"/>
      <c r="AM45" s="20"/>
      <c r="AN45" s="20"/>
      <c r="AO45" s="20"/>
      <c r="AP45" s="20"/>
      <c r="AQ45" s="20"/>
      <c r="AR45"/>
      <c r="AS45" s="20"/>
      <c r="AT45" s="20"/>
      <c r="AU45" s="20"/>
      <c r="AV45" s="20"/>
      <c r="AW45" s="20"/>
      <c r="AY45" s="20"/>
      <c r="AZ45" s="20"/>
      <c r="BA45" s="20"/>
      <c r="BB45" s="20"/>
      <c r="BC45" s="20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</row>
    <row r="46" spans="1:155" ht="12.75">
      <c r="A46"/>
      <c r="C46"/>
      <c r="D46"/>
      <c r="E46"/>
      <c r="F46"/>
      <c r="G46"/>
      <c r="H46"/>
      <c r="I46"/>
      <c r="J46"/>
      <c r="K46"/>
      <c r="L46"/>
      <c r="M46"/>
      <c r="N46"/>
      <c r="T46"/>
      <c r="U46" s="20"/>
      <c r="V46" s="20"/>
      <c r="W46" s="20"/>
      <c r="X46" s="20"/>
      <c r="Y46" s="20"/>
      <c r="Z46"/>
      <c r="AA46" s="20"/>
      <c r="AB46" s="20"/>
      <c r="AC46" s="20"/>
      <c r="AD46" s="20"/>
      <c r="AE46" s="20"/>
      <c r="AF46"/>
      <c r="AG46"/>
      <c r="AH46"/>
      <c r="AI46"/>
      <c r="AJ46"/>
      <c r="AK46"/>
      <c r="AL46"/>
      <c r="AM46" s="20"/>
      <c r="AN46" s="20"/>
      <c r="AO46" s="20"/>
      <c r="AP46" s="20"/>
      <c r="AQ46" s="20"/>
      <c r="AR46"/>
      <c r="AS46" s="20"/>
      <c r="AT46" s="20"/>
      <c r="AU46" s="20"/>
      <c r="AV46" s="20"/>
      <c r="AW46" s="20"/>
      <c r="AY46" s="20"/>
      <c r="AZ46" s="20"/>
      <c r="BA46" s="20"/>
      <c r="BB46" s="20"/>
      <c r="BC46" s="20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</row>
    <row r="47" spans="1:155" ht="12.75">
      <c r="A47"/>
      <c r="C47"/>
      <c r="D47"/>
      <c r="E47"/>
      <c r="F47"/>
      <c r="G47"/>
      <c r="H47"/>
      <c r="I47"/>
      <c r="J47"/>
      <c r="K47"/>
      <c r="L47"/>
      <c r="M47"/>
      <c r="N47"/>
      <c r="T47"/>
      <c r="U47" s="20"/>
      <c r="V47" s="20"/>
      <c r="W47" s="20"/>
      <c r="X47" s="20"/>
      <c r="Y47" s="20"/>
      <c r="Z47"/>
      <c r="AA47" s="20"/>
      <c r="AB47" s="20"/>
      <c r="AC47" s="20"/>
      <c r="AD47" s="20"/>
      <c r="AE47" s="20"/>
      <c r="AF47"/>
      <c r="AG47"/>
      <c r="AH47"/>
      <c r="AI47"/>
      <c r="AJ47"/>
      <c r="AK47"/>
      <c r="AL47"/>
      <c r="AM47" s="20"/>
      <c r="AN47" s="20"/>
      <c r="AO47" s="20"/>
      <c r="AP47" s="20"/>
      <c r="AQ47" s="20"/>
      <c r="AR47"/>
      <c r="AS47" s="20"/>
      <c r="AT47" s="20"/>
      <c r="AU47" s="20"/>
      <c r="AV47" s="20"/>
      <c r="AW47" s="20"/>
      <c r="AY47" s="20"/>
      <c r="AZ47" s="20"/>
      <c r="BA47" s="20"/>
      <c r="BB47" s="20"/>
      <c r="BC47" s="20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</row>
    <row r="48" spans="1:155" ht="12.75">
      <c r="A48"/>
      <c r="C48"/>
      <c r="D48"/>
      <c r="E48"/>
      <c r="F48"/>
      <c r="G48"/>
      <c r="H48"/>
      <c r="I48"/>
      <c r="J48"/>
      <c r="K48"/>
      <c r="L48"/>
      <c r="M48"/>
      <c r="N48"/>
      <c r="T48"/>
      <c r="U48" s="20"/>
      <c r="V48" s="20"/>
      <c r="W48" s="20"/>
      <c r="X48" s="20"/>
      <c r="Y48" s="20"/>
      <c r="Z48"/>
      <c r="AA48" s="20"/>
      <c r="AB48" s="20"/>
      <c r="AC48" s="20"/>
      <c r="AD48" s="20"/>
      <c r="AE48" s="20"/>
      <c r="AF48"/>
      <c r="AG48"/>
      <c r="AH48"/>
      <c r="AI48"/>
      <c r="AJ48"/>
      <c r="AK48"/>
      <c r="AL48"/>
      <c r="AM48" s="20"/>
      <c r="AN48" s="20"/>
      <c r="AO48" s="20"/>
      <c r="AP48" s="20"/>
      <c r="AQ48" s="20"/>
      <c r="AR48"/>
      <c r="AS48" s="20"/>
      <c r="AT48" s="20"/>
      <c r="AU48" s="20"/>
      <c r="AV48" s="20"/>
      <c r="AW48" s="20"/>
      <c r="AY48" s="20"/>
      <c r="AZ48" s="20"/>
      <c r="BA48" s="20"/>
      <c r="BB48" s="20"/>
      <c r="BC48" s="20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</row>
    <row r="49" spans="1:155" ht="12.75">
      <c r="A49"/>
      <c r="C49"/>
      <c r="D49"/>
      <c r="E49"/>
      <c r="F49"/>
      <c r="G49"/>
      <c r="H49"/>
      <c r="I49"/>
      <c r="J49"/>
      <c r="K49"/>
      <c r="L49"/>
      <c r="M49"/>
      <c r="N49"/>
      <c r="T49"/>
      <c r="U49" s="20"/>
      <c r="V49" s="20"/>
      <c r="W49" s="20"/>
      <c r="X49" s="20"/>
      <c r="Y49" s="20"/>
      <c r="Z49"/>
      <c r="AA49" s="20"/>
      <c r="AB49" s="20"/>
      <c r="AC49" s="20"/>
      <c r="AD49" s="20"/>
      <c r="AE49" s="20"/>
      <c r="AF49"/>
      <c r="AG49"/>
      <c r="AH49"/>
      <c r="AI49"/>
      <c r="AJ49"/>
      <c r="AK49"/>
      <c r="AL49"/>
      <c r="AM49" s="20"/>
      <c r="AN49" s="20"/>
      <c r="AO49" s="20"/>
      <c r="AP49" s="20"/>
      <c r="AQ49" s="20"/>
      <c r="AR49"/>
      <c r="AS49" s="20"/>
      <c r="AT49" s="20"/>
      <c r="AU49" s="20"/>
      <c r="AV49" s="20"/>
      <c r="AW49" s="20"/>
      <c r="AY49" s="20"/>
      <c r="AZ49" s="20"/>
      <c r="BA49" s="20"/>
      <c r="BB49" s="20"/>
      <c r="BC49" s="20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</row>
    <row r="50" spans="1:155" ht="12.75">
      <c r="A50"/>
      <c r="C50"/>
      <c r="D50"/>
      <c r="E50"/>
      <c r="F50"/>
      <c r="G50"/>
      <c r="H50"/>
      <c r="I50"/>
      <c r="J50"/>
      <c r="K50"/>
      <c r="L50"/>
      <c r="M50"/>
      <c r="N50"/>
      <c r="T50"/>
      <c r="U50" s="20"/>
      <c r="V50" s="20"/>
      <c r="W50" s="20"/>
      <c r="X50" s="20"/>
      <c r="Y50" s="20"/>
      <c r="Z50"/>
      <c r="AA50" s="20"/>
      <c r="AB50" s="20"/>
      <c r="AC50" s="20"/>
      <c r="AD50" s="20"/>
      <c r="AE50" s="20"/>
      <c r="AF50"/>
      <c r="AG50"/>
      <c r="AH50"/>
      <c r="AI50"/>
      <c r="AJ50"/>
      <c r="AK50"/>
      <c r="AL50"/>
      <c r="AM50" s="20"/>
      <c r="AN50" s="20"/>
      <c r="AO50" s="20"/>
      <c r="AP50" s="20"/>
      <c r="AQ50" s="20"/>
      <c r="AR50"/>
      <c r="AS50" s="20"/>
      <c r="AT50" s="20"/>
      <c r="AU50" s="20"/>
      <c r="AV50" s="20"/>
      <c r="AW50" s="20"/>
      <c r="AY50" s="20"/>
      <c r="AZ50" s="20"/>
      <c r="BA50" s="20"/>
      <c r="BB50" s="20"/>
      <c r="BC50" s="2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</row>
    <row r="51" spans="1:155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20"/>
      <c r="V51" s="20"/>
      <c r="W51" s="20"/>
      <c r="X51" s="20"/>
      <c r="Y51" s="20"/>
      <c r="Z51"/>
      <c r="AA51" s="20"/>
      <c r="AB51" s="20"/>
      <c r="AC51" s="20"/>
      <c r="AD51" s="20"/>
      <c r="AE51" s="20"/>
      <c r="AF51"/>
      <c r="AG51"/>
      <c r="AH51"/>
      <c r="AI51"/>
      <c r="AJ51"/>
      <c r="AK51"/>
      <c r="AL51"/>
      <c r="AM51" s="20"/>
      <c r="AN51" s="20"/>
      <c r="AO51" s="20"/>
      <c r="AP51" s="20"/>
      <c r="AQ51" s="20"/>
      <c r="AR51"/>
      <c r="AS51" s="20"/>
      <c r="AT51" s="20"/>
      <c r="AU51" s="20"/>
      <c r="AV51" s="20"/>
      <c r="AW51" s="20"/>
      <c r="AY51" s="20"/>
      <c r="AZ51" s="20"/>
      <c r="BA51" s="20"/>
      <c r="BB51" s="20"/>
      <c r="BC51" s="2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</row>
    <row r="52" spans="1:155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20"/>
      <c r="V52" s="20"/>
      <c r="W52" s="20"/>
      <c r="X52" s="20"/>
      <c r="Y52" s="20"/>
      <c r="Z52"/>
      <c r="AA52" s="20"/>
      <c r="AB52" s="20"/>
      <c r="AC52" s="20"/>
      <c r="AD52" s="20"/>
      <c r="AE52" s="20"/>
      <c r="AF52"/>
      <c r="AG52"/>
      <c r="AH52"/>
      <c r="AI52"/>
      <c r="AJ52"/>
      <c r="AK52"/>
      <c r="AL52"/>
      <c r="AM52" s="20"/>
      <c r="AN52" s="20"/>
      <c r="AO52" s="20"/>
      <c r="AP52" s="20"/>
      <c r="AQ52" s="20"/>
      <c r="AR52"/>
      <c r="AS52" s="20"/>
      <c r="AT52" s="20"/>
      <c r="AU52" s="20"/>
      <c r="AV52" s="20"/>
      <c r="AW52" s="20"/>
      <c r="AY52" s="20"/>
      <c r="AZ52" s="20"/>
      <c r="BA52" s="20"/>
      <c r="BB52" s="20"/>
      <c r="BC52" s="20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</row>
    <row r="53" spans="1:155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20"/>
      <c r="V53" s="20"/>
      <c r="W53" s="20"/>
      <c r="X53" s="20"/>
      <c r="Y53" s="20"/>
      <c r="Z53"/>
      <c r="AA53" s="20"/>
      <c r="AB53" s="20"/>
      <c r="AC53" s="20"/>
      <c r="AD53" s="20"/>
      <c r="AE53" s="20"/>
      <c r="AF53"/>
      <c r="AG53"/>
      <c r="AH53"/>
      <c r="AI53"/>
      <c r="AJ53"/>
      <c r="AK53"/>
      <c r="AL53"/>
      <c r="AM53" s="20"/>
      <c r="AN53" s="20"/>
      <c r="AO53" s="20"/>
      <c r="AP53" s="20"/>
      <c r="AQ53" s="20"/>
      <c r="AR53"/>
      <c r="AS53" s="20"/>
      <c r="AT53" s="20"/>
      <c r="AU53" s="20"/>
      <c r="AV53" s="20"/>
      <c r="AW53" s="20"/>
      <c r="AY53" s="20"/>
      <c r="AZ53" s="20"/>
      <c r="BA53" s="20"/>
      <c r="BB53" s="20"/>
      <c r="BC53" s="20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</row>
    <row r="54" spans="1:155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20"/>
      <c r="V54" s="20"/>
      <c r="W54" s="20"/>
      <c r="X54" s="20"/>
      <c r="Y54" s="20"/>
      <c r="Z54"/>
      <c r="AA54" s="20"/>
      <c r="AB54" s="20"/>
      <c r="AC54" s="20"/>
      <c r="AD54" s="20"/>
      <c r="AE54" s="20"/>
      <c r="AF54"/>
      <c r="AG54"/>
      <c r="AH54"/>
      <c r="AI54"/>
      <c r="AJ54"/>
      <c r="AK54"/>
      <c r="AL54"/>
      <c r="AM54" s="20"/>
      <c r="AN54" s="20"/>
      <c r="AO54" s="20"/>
      <c r="AP54" s="20"/>
      <c r="AQ54" s="20"/>
      <c r="AR54"/>
      <c r="AS54" s="20"/>
      <c r="AT54" s="20"/>
      <c r="AU54" s="20"/>
      <c r="AV54" s="20"/>
      <c r="AW54" s="20"/>
      <c r="AY54" s="20"/>
      <c r="AZ54" s="20"/>
      <c r="BA54" s="20"/>
      <c r="BB54" s="20"/>
      <c r="BC54" s="20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</row>
    <row r="55" spans="1:155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20"/>
      <c r="V55" s="20"/>
      <c r="W55" s="20"/>
      <c r="X55" s="20"/>
      <c r="Y55" s="20"/>
      <c r="Z55"/>
      <c r="AA55" s="20"/>
      <c r="AB55" s="20"/>
      <c r="AC55" s="20"/>
      <c r="AD55" s="20"/>
      <c r="AE55" s="20"/>
      <c r="AF55"/>
      <c r="AG55"/>
      <c r="AH55"/>
      <c r="AI55"/>
      <c r="AJ55"/>
      <c r="AK55"/>
      <c r="AL55"/>
      <c r="AM55" s="20"/>
      <c r="AN55" s="20"/>
      <c r="AO55" s="20"/>
      <c r="AP55" s="20"/>
      <c r="AQ55" s="20"/>
      <c r="AR55"/>
      <c r="AS55" s="20"/>
      <c r="AT55" s="20"/>
      <c r="AU55" s="20"/>
      <c r="AV55" s="20"/>
      <c r="AW55" s="20"/>
      <c r="AY55" s="20"/>
      <c r="AZ55" s="20"/>
      <c r="BA55" s="20"/>
      <c r="BB55" s="20"/>
      <c r="BC55" s="20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</row>
    <row r="56" spans="1:155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20"/>
      <c r="V56" s="20"/>
      <c r="W56" s="20"/>
      <c r="X56" s="20"/>
      <c r="Y56" s="20"/>
      <c r="Z56"/>
      <c r="AA56" s="20"/>
      <c r="AB56" s="20"/>
      <c r="AC56" s="20"/>
      <c r="AD56" s="20"/>
      <c r="AE56" s="20"/>
      <c r="AF56"/>
      <c r="AG56"/>
      <c r="AH56"/>
      <c r="AI56"/>
      <c r="AJ56"/>
      <c r="AK56"/>
      <c r="AL56"/>
      <c r="AM56" s="20"/>
      <c r="AN56" s="20"/>
      <c r="AO56" s="20"/>
      <c r="AP56" s="20"/>
      <c r="AQ56" s="20"/>
      <c r="AR56"/>
      <c r="AS56" s="20"/>
      <c r="AT56" s="20"/>
      <c r="AU56" s="20"/>
      <c r="AV56" s="20"/>
      <c r="AW56" s="20"/>
      <c r="AY56" s="20"/>
      <c r="AZ56" s="20"/>
      <c r="BA56" s="20"/>
      <c r="BB56" s="20"/>
      <c r="BC56" s="20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</row>
    <row r="57" spans="1:155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Z57"/>
      <c r="AF57"/>
      <c r="AG57"/>
      <c r="AH57"/>
      <c r="AI57"/>
      <c r="AJ57"/>
      <c r="AK57"/>
      <c r="AL57"/>
      <c r="AR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</row>
    <row r="58" spans="1:155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Z58"/>
      <c r="AF58"/>
      <c r="AG58"/>
      <c r="AH58"/>
      <c r="AI58"/>
      <c r="AJ58"/>
      <c r="AK58"/>
      <c r="AL58"/>
      <c r="AR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</row>
    <row r="59" spans="1:155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Z59"/>
      <c r="AF59"/>
      <c r="AG59"/>
      <c r="AH59"/>
      <c r="AI59"/>
      <c r="AJ59"/>
      <c r="AK59"/>
      <c r="AL59"/>
      <c r="AR59"/>
      <c r="AX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</row>
    <row r="60" spans="1:155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Z60"/>
      <c r="AF60"/>
      <c r="AG60"/>
      <c r="AH60"/>
      <c r="AI60"/>
      <c r="AJ60"/>
      <c r="AK60"/>
      <c r="AL60"/>
      <c r="AR60"/>
      <c r="AX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</row>
    <row r="61" spans="1:155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Z61"/>
      <c r="AF61"/>
      <c r="AG61"/>
      <c r="AH61"/>
      <c r="AI61"/>
      <c r="AJ61"/>
      <c r="AK61"/>
      <c r="AL61"/>
      <c r="AR61"/>
      <c r="AX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</row>
    <row r="62" spans="1:155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Z62"/>
      <c r="AF62"/>
      <c r="AG62"/>
      <c r="AH62"/>
      <c r="AI62"/>
      <c r="AJ62"/>
      <c r="AK62"/>
      <c r="AL62"/>
      <c r="AR62"/>
      <c r="AX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</row>
    <row r="63" spans="1:155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Z63"/>
      <c r="AF63"/>
      <c r="AG63"/>
      <c r="AH63"/>
      <c r="AI63"/>
      <c r="AJ63"/>
      <c r="AK63"/>
      <c r="AL63"/>
      <c r="AR63"/>
      <c r="AX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</row>
    <row r="64" spans="1:155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Z64"/>
      <c r="AF64"/>
      <c r="AG64"/>
      <c r="AH64"/>
      <c r="AI64"/>
      <c r="AJ64"/>
      <c r="AK64"/>
      <c r="AL64"/>
      <c r="AR64"/>
      <c r="AX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</row>
    <row r="65" spans="1:155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Z65"/>
      <c r="AF65"/>
      <c r="AG65"/>
      <c r="AH65"/>
      <c r="AI65"/>
      <c r="AJ65"/>
      <c r="AK65"/>
      <c r="AL65"/>
      <c r="AR65"/>
      <c r="AX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</row>
    <row r="66" spans="1:155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Z66"/>
      <c r="AF66"/>
      <c r="AG66"/>
      <c r="AH66"/>
      <c r="AI66"/>
      <c r="AJ66"/>
      <c r="AK66"/>
      <c r="AL66"/>
      <c r="AR66"/>
      <c r="AX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</row>
    <row r="67" spans="1:155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Z67"/>
      <c r="AF67"/>
      <c r="AG67"/>
      <c r="AH67"/>
      <c r="AI67"/>
      <c r="AJ67"/>
      <c r="AK67"/>
      <c r="AL67"/>
      <c r="AR67"/>
      <c r="AX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</row>
    <row r="68" spans="1:155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Z68"/>
      <c r="AF68"/>
      <c r="AG68"/>
      <c r="AH68"/>
      <c r="AI68"/>
      <c r="AJ68"/>
      <c r="AK68"/>
      <c r="AL68"/>
      <c r="AR68"/>
      <c r="AX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</row>
    <row r="69" spans="1:155" ht="12.75">
      <c r="A69"/>
      <c r="H69"/>
      <c r="N69"/>
      <c r="T69"/>
      <c r="Z69"/>
      <c r="AF69"/>
      <c r="AG69"/>
      <c r="AH69"/>
      <c r="AI69"/>
      <c r="AJ69"/>
      <c r="AK69"/>
      <c r="AL69"/>
      <c r="AR69"/>
      <c r="AX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</row>
  </sheetData>
  <sheetProtection/>
  <printOptions/>
  <pageMargins left="0.75" right="0.75" top="1" bottom="1" header="0.5" footer="0.5"/>
  <pageSetup orientation="landscape" scale="78"/>
  <rowBreaks count="1" manualBreakCount="1">
    <brk id="33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ER70"/>
  <sheetViews>
    <sheetView zoomScale="150" zoomScaleNormal="15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2" sqref="I12"/>
    </sheetView>
  </sheetViews>
  <sheetFormatPr defaultColWidth="8.8515625" defaultRowHeight="12.75"/>
  <cols>
    <col min="1" max="1" width="9.7109375" style="19" customWidth="1"/>
    <col min="2" max="2" width="3.7109375" style="0" customWidth="1"/>
    <col min="3" max="5" width="12.7109375" style="34" hidden="1" customWidth="1"/>
    <col min="6" max="6" width="13.140625" style="34" hidden="1" customWidth="1"/>
    <col min="7" max="7" width="13.8515625" style="34" hidden="1" customWidth="1"/>
    <col min="8" max="8" width="3.7109375" style="32" hidden="1" customWidth="1"/>
    <col min="9" max="13" width="13.7109375" style="32" customWidth="1"/>
    <col min="14" max="14" width="3.7109375" style="32" customWidth="1"/>
    <col min="15" max="18" width="13.7109375" style="32" customWidth="1"/>
    <col min="19" max="19" width="14.8515625" style="32" customWidth="1"/>
    <col min="20" max="20" width="3.7109375" style="32" customWidth="1"/>
    <col min="21" max="25" width="13.7109375" style="32" customWidth="1"/>
    <col min="26" max="26" width="3.7109375" style="32" customWidth="1"/>
    <col min="27" max="31" width="13.7109375" style="32" customWidth="1"/>
    <col min="32" max="32" width="3.7109375" style="32" customWidth="1"/>
    <col min="33" max="37" width="13.7109375" style="32" customWidth="1"/>
    <col min="38" max="38" width="3.7109375" style="32" customWidth="1"/>
    <col min="39" max="43" width="13.7109375" style="32" customWidth="1"/>
    <col min="44" max="44" width="3.7109375" style="32" customWidth="1"/>
    <col min="45" max="49" width="13.7109375" style="32" customWidth="1"/>
    <col min="50" max="50" width="3.7109375" style="32" customWidth="1"/>
    <col min="51" max="55" width="13.7109375" style="32" customWidth="1"/>
    <col min="56" max="56" width="3.7109375" style="32" customWidth="1"/>
    <col min="57" max="61" width="13.7109375" style="32" customWidth="1"/>
    <col min="62" max="62" width="3.7109375" style="32" customWidth="1"/>
    <col min="63" max="67" width="13.7109375" style="32" customWidth="1"/>
    <col min="68" max="68" width="3.7109375" style="32" customWidth="1"/>
    <col min="69" max="73" width="13.7109375" style="32" customWidth="1"/>
    <col min="74" max="74" width="3.7109375" style="32" customWidth="1"/>
    <col min="75" max="79" width="13.7109375" style="32" customWidth="1"/>
    <col min="80" max="80" width="3.7109375" style="32" customWidth="1"/>
    <col min="81" max="85" width="13.7109375" style="32" customWidth="1"/>
    <col min="86" max="86" width="3.7109375" style="32" customWidth="1"/>
    <col min="87" max="91" width="13.7109375" style="32" customWidth="1"/>
    <col min="92" max="92" width="3.7109375" style="32" customWidth="1"/>
    <col min="93" max="97" width="13.7109375" style="32" customWidth="1"/>
    <col min="98" max="98" width="3.7109375" style="32" customWidth="1"/>
    <col min="99" max="103" width="13.7109375" style="32" customWidth="1"/>
    <col min="104" max="104" width="3.7109375" style="32" customWidth="1"/>
    <col min="105" max="109" width="13.7109375" style="32" customWidth="1"/>
    <col min="110" max="110" width="3.7109375" style="32" customWidth="1"/>
    <col min="111" max="115" width="13.7109375" style="32" customWidth="1"/>
    <col min="116" max="116" width="3.7109375" style="32" customWidth="1"/>
    <col min="117" max="121" width="13.7109375" style="32" customWidth="1"/>
    <col min="122" max="122" width="3.7109375" style="32" customWidth="1"/>
    <col min="123" max="127" width="13.7109375" style="32" customWidth="1"/>
    <col min="128" max="128" width="3.7109375" style="32" customWidth="1"/>
    <col min="129" max="133" width="13.7109375" style="32" customWidth="1"/>
    <col min="134" max="134" width="3.7109375" style="32" customWidth="1"/>
    <col min="135" max="139" width="13.7109375" style="32" customWidth="1"/>
    <col min="140" max="140" width="3.7109375" style="32" customWidth="1"/>
    <col min="141" max="145" width="13.7109375" style="32" customWidth="1"/>
    <col min="146" max="146" width="3.7109375" style="0" customWidth="1"/>
  </cols>
  <sheetData>
    <row r="1" spans="1:148" ht="12.75">
      <c r="A1" s="40"/>
      <c r="B1" s="29"/>
      <c r="C1" s="41"/>
      <c r="O1" s="41"/>
      <c r="AA1" s="34"/>
      <c r="AB1" s="41" t="s">
        <v>14</v>
      </c>
      <c r="AG1" s="41"/>
      <c r="AM1" s="41"/>
      <c r="AZ1" s="34"/>
      <c r="BA1" s="41" t="s">
        <v>14</v>
      </c>
      <c r="BB1" s="41"/>
      <c r="BC1" s="41"/>
      <c r="BK1" s="41"/>
      <c r="BW1" s="34"/>
      <c r="BX1" s="41" t="s">
        <v>14</v>
      </c>
      <c r="CC1" s="41"/>
      <c r="CO1" s="34"/>
      <c r="CP1" s="41" t="s">
        <v>14</v>
      </c>
      <c r="CU1" s="41"/>
      <c r="DA1" s="41"/>
      <c r="DG1" s="34"/>
      <c r="DH1" s="41" t="s">
        <v>14</v>
      </c>
      <c r="DM1" s="41"/>
      <c r="DY1" s="34"/>
      <c r="DZ1" s="41" t="s">
        <v>14</v>
      </c>
      <c r="EE1" s="41"/>
      <c r="EQ1" s="34"/>
      <c r="ER1" s="41" t="s">
        <v>14</v>
      </c>
    </row>
    <row r="2" spans="1:148" ht="12.75">
      <c r="A2" s="40"/>
      <c r="B2" s="29"/>
      <c r="C2" s="32"/>
      <c r="D2" s="32"/>
      <c r="O2" s="41"/>
      <c r="AA2" s="41" t="s">
        <v>136</v>
      </c>
      <c r="AG2" s="41"/>
      <c r="AM2" s="41"/>
      <c r="AZ2" s="41" t="s">
        <v>136</v>
      </c>
      <c r="BK2" s="41"/>
      <c r="BW2" s="41" t="s">
        <v>136</v>
      </c>
      <c r="CC2" s="41"/>
      <c r="CO2" s="41" t="s">
        <v>136</v>
      </c>
      <c r="CU2" s="41"/>
      <c r="DA2" s="41"/>
      <c r="DG2" s="41" t="s">
        <v>136</v>
      </c>
      <c r="DM2" s="41"/>
      <c r="DY2" s="41" t="s">
        <v>136</v>
      </c>
      <c r="EE2" s="41"/>
      <c r="EQ2" s="41" t="s">
        <v>136</v>
      </c>
      <c r="ER2" s="32"/>
    </row>
    <row r="3" spans="1:148" ht="12.75">
      <c r="A3" s="40"/>
      <c r="B3" s="29"/>
      <c r="C3" s="41"/>
      <c r="O3" s="41"/>
      <c r="AA3" s="34"/>
      <c r="AB3" s="41" t="s">
        <v>60</v>
      </c>
      <c r="AG3" s="41"/>
      <c r="AM3" s="41"/>
      <c r="AZ3" s="34"/>
      <c r="BA3" s="41" t="s">
        <v>60</v>
      </c>
      <c r="BB3" s="41"/>
      <c r="BC3" s="41"/>
      <c r="BK3" s="41"/>
      <c r="BW3" s="34"/>
      <c r="BX3" s="41" t="s">
        <v>60</v>
      </c>
      <c r="CC3" s="41"/>
      <c r="CO3" s="34"/>
      <c r="CP3" s="41" t="s">
        <v>60</v>
      </c>
      <c r="CU3" s="41"/>
      <c r="DA3" s="41"/>
      <c r="DG3" s="34"/>
      <c r="DH3" s="41" t="s">
        <v>60</v>
      </c>
      <c r="DM3" s="41"/>
      <c r="DY3" s="34"/>
      <c r="DZ3" s="41" t="s">
        <v>60</v>
      </c>
      <c r="EE3" s="41"/>
      <c r="EQ3" s="34"/>
      <c r="ER3" s="41" t="s">
        <v>60</v>
      </c>
    </row>
    <row r="4" spans="1:4" ht="12.75">
      <c r="A4" s="40"/>
      <c r="B4" s="29"/>
      <c r="C4" s="41"/>
      <c r="D4" s="41"/>
    </row>
    <row r="5" spans="1:145" ht="12.75">
      <c r="A5" s="21" t="s">
        <v>9</v>
      </c>
      <c r="C5" s="74" t="s">
        <v>143</v>
      </c>
      <c r="D5" s="44"/>
      <c r="E5" s="45"/>
      <c r="F5" s="82"/>
      <c r="G5" s="82"/>
      <c r="I5" s="35" t="s">
        <v>61</v>
      </c>
      <c r="J5" s="36"/>
      <c r="K5" s="37"/>
      <c r="L5" s="39"/>
      <c r="M5" s="39"/>
      <c r="O5" s="35" t="s">
        <v>32</v>
      </c>
      <c r="P5" s="66"/>
      <c r="Q5" s="37"/>
      <c r="R5" s="39"/>
      <c r="S5" s="39"/>
      <c r="U5" s="78" t="s">
        <v>148</v>
      </c>
      <c r="V5" s="66"/>
      <c r="W5" s="37"/>
      <c r="X5" s="39"/>
      <c r="Y5" s="39"/>
      <c r="AA5" s="57" t="s">
        <v>44</v>
      </c>
      <c r="AB5" s="66"/>
      <c r="AC5" s="37"/>
      <c r="AD5" s="39"/>
      <c r="AE5" s="39"/>
      <c r="AG5" s="57" t="s">
        <v>45</v>
      </c>
      <c r="AH5" s="36"/>
      <c r="AI5" s="37"/>
      <c r="AJ5" s="39"/>
      <c r="AK5" s="39"/>
      <c r="AM5" s="35" t="s">
        <v>33</v>
      </c>
      <c r="AN5" s="36"/>
      <c r="AO5" s="37"/>
      <c r="AP5" s="39"/>
      <c r="AQ5" s="39"/>
      <c r="AS5" s="57" t="s">
        <v>120</v>
      </c>
      <c r="AT5" s="36"/>
      <c r="AU5" s="37"/>
      <c r="AV5" s="39"/>
      <c r="AW5" s="39"/>
      <c r="AY5" s="35" t="s">
        <v>46</v>
      </c>
      <c r="AZ5" s="66"/>
      <c r="BA5" s="37"/>
      <c r="BB5" s="39"/>
      <c r="BC5" s="39"/>
      <c r="BE5" s="78" t="s">
        <v>149</v>
      </c>
      <c r="BF5" s="66"/>
      <c r="BG5" s="37"/>
      <c r="BH5" s="39"/>
      <c r="BI5" s="39"/>
      <c r="BK5" s="35" t="s">
        <v>47</v>
      </c>
      <c r="BL5" s="66"/>
      <c r="BM5" s="37"/>
      <c r="BN5" s="39"/>
      <c r="BO5" s="39"/>
      <c r="BP5" s="58"/>
      <c r="BQ5" s="35" t="s">
        <v>76</v>
      </c>
      <c r="BR5" s="66"/>
      <c r="BS5" s="37"/>
      <c r="BT5" s="39"/>
      <c r="BU5" s="39"/>
      <c r="BW5" s="57" t="s">
        <v>121</v>
      </c>
      <c r="BX5" s="66"/>
      <c r="BY5" s="37"/>
      <c r="BZ5" s="39"/>
      <c r="CA5" s="39"/>
      <c r="CC5" s="35" t="s">
        <v>97</v>
      </c>
      <c r="CD5" s="66"/>
      <c r="CE5" s="37"/>
      <c r="CF5" s="39"/>
      <c r="CG5" s="39"/>
      <c r="CI5" s="35" t="s">
        <v>37</v>
      </c>
      <c r="CJ5" s="66"/>
      <c r="CK5" s="37"/>
      <c r="CL5" s="39"/>
      <c r="CM5" s="39"/>
      <c r="CO5" s="35" t="s">
        <v>132</v>
      </c>
      <c r="CP5" s="66"/>
      <c r="CQ5" s="37"/>
      <c r="CR5" s="39"/>
      <c r="CS5" s="39"/>
      <c r="CU5" s="35" t="s">
        <v>38</v>
      </c>
      <c r="CV5" s="66"/>
      <c r="CW5" s="37"/>
      <c r="CX5" s="39"/>
      <c r="CY5" s="39"/>
      <c r="DA5" s="35" t="s">
        <v>129</v>
      </c>
      <c r="DB5" s="66"/>
      <c r="DC5" s="37"/>
      <c r="DD5" s="39"/>
      <c r="DE5" s="39"/>
      <c r="DG5" s="35" t="s">
        <v>39</v>
      </c>
      <c r="DH5" s="66"/>
      <c r="DI5" s="37"/>
      <c r="DJ5" s="39"/>
      <c r="DK5" s="39"/>
      <c r="DM5" s="35" t="s">
        <v>122</v>
      </c>
      <c r="DN5" s="66"/>
      <c r="DO5" s="37"/>
      <c r="DP5" s="39"/>
      <c r="DQ5" s="39"/>
      <c r="DS5" s="35" t="s">
        <v>98</v>
      </c>
      <c r="DT5" s="66"/>
      <c r="DU5" s="37"/>
      <c r="DV5" s="39"/>
      <c r="DW5" s="39"/>
      <c r="DY5" s="35" t="s">
        <v>48</v>
      </c>
      <c r="DZ5" s="66"/>
      <c r="EA5" s="37"/>
      <c r="EB5" s="39"/>
      <c r="EC5" s="39"/>
      <c r="EE5" s="35" t="s">
        <v>123</v>
      </c>
      <c r="EF5" s="66"/>
      <c r="EG5" s="37"/>
      <c r="EH5" s="39"/>
      <c r="EI5" s="39"/>
      <c r="EK5" s="35" t="s">
        <v>49</v>
      </c>
      <c r="EL5" s="66"/>
      <c r="EM5" s="37"/>
      <c r="EN5" s="39"/>
      <c r="EO5" s="39"/>
    </row>
    <row r="6" spans="1:145" s="12" customFormat="1" ht="12.75">
      <c r="A6" s="42" t="s">
        <v>10</v>
      </c>
      <c r="C6" s="57" t="s">
        <v>151</v>
      </c>
      <c r="D6" s="36"/>
      <c r="E6" s="37"/>
      <c r="F6" s="38"/>
      <c r="G6" s="38"/>
      <c r="H6" s="32"/>
      <c r="I6" s="57"/>
      <c r="J6" s="60"/>
      <c r="K6" s="70"/>
      <c r="L6" s="38"/>
      <c r="M6" s="38"/>
      <c r="N6" s="32"/>
      <c r="O6" s="64">
        <v>0.0050554</v>
      </c>
      <c r="P6" s="12">
        <v>0.0129875</v>
      </c>
      <c r="Q6" s="70">
        <v>0.0129875</v>
      </c>
      <c r="R6" s="38"/>
      <c r="S6" s="38"/>
      <c r="T6" s="32"/>
      <c r="U6" s="64"/>
      <c r="W6" s="70"/>
      <c r="X6" s="38"/>
      <c r="Y6" s="38"/>
      <c r="Z6" s="32"/>
      <c r="AA6" s="64">
        <v>0.0017391</v>
      </c>
      <c r="AB6" s="12">
        <v>0.0224122</v>
      </c>
      <c r="AC6" s="70">
        <v>0.0242687</v>
      </c>
      <c r="AD6" s="38"/>
      <c r="AE6" s="38"/>
      <c r="AF6" s="32"/>
      <c r="AG6" s="64">
        <v>0.002279</v>
      </c>
      <c r="AH6" s="60">
        <v>0.0341615</v>
      </c>
      <c r="AI6" s="70">
        <v>0.0341834</v>
      </c>
      <c r="AJ6" s="38"/>
      <c r="AK6" s="38"/>
      <c r="AL6" s="32"/>
      <c r="AM6" s="64">
        <v>0.0072632</v>
      </c>
      <c r="AN6" s="60">
        <v>0.0101094</v>
      </c>
      <c r="AO6" s="70">
        <v>0.0117721</v>
      </c>
      <c r="AP6" s="38"/>
      <c r="AQ6" s="38"/>
      <c r="AR6" s="32"/>
      <c r="AS6" s="64">
        <v>0</v>
      </c>
      <c r="AT6" s="60">
        <v>0</v>
      </c>
      <c r="AU6" s="70">
        <v>3.1E-06</v>
      </c>
      <c r="AV6" s="38"/>
      <c r="AW6" s="38"/>
      <c r="AX6" s="32"/>
      <c r="AY6" s="64">
        <v>0.0035691</v>
      </c>
      <c r="AZ6" s="12">
        <v>0.0050165</v>
      </c>
      <c r="BA6" s="70">
        <v>0.0064936</v>
      </c>
      <c r="BB6" s="38"/>
      <c r="BC6" s="38"/>
      <c r="BD6" s="32"/>
      <c r="BE6" s="64"/>
      <c r="BG6" s="70"/>
      <c r="BH6" s="38"/>
      <c r="BI6" s="38"/>
      <c r="BJ6" s="32"/>
      <c r="BK6" s="64">
        <v>0.0007543</v>
      </c>
      <c r="BL6" s="12">
        <v>0.0026034</v>
      </c>
      <c r="BM6" s="70">
        <v>0.0026034</v>
      </c>
      <c r="BN6" s="38"/>
      <c r="BO6" s="38"/>
      <c r="BP6" s="58"/>
      <c r="BQ6" s="50">
        <v>3.88E-05</v>
      </c>
      <c r="BR6" s="12">
        <v>0.0010297</v>
      </c>
      <c r="BS6" s="70">
        <v>0.0011157</v>
      </c>
      <c r="BT6" s="38"/>
      <c r="BU6" s="38"/>
      <c r="BV6" s="32"/>
      <c r="BW6" s="64">
        <v>0</v>
      </c>
      <c r="BX6" s="12">
        <v>0</v>
      </c>
      <c r="BY6" s="70">
        <v>0.0061982</v>
      </c>
      <c r="BZ6" s="38"/>
      <c r="CA6" s="38"/>
      <c r="CB6" s="32"/>
      <c r="CC6" s="64">
        <v>0</v>
      </c>
      <c r="CD6" s="12">
        <v>0.0005335</v>
      </c>
      <c r="CE6" s="70">
        <v>0.0005536</v>
      </c>
      <c r="CF6" s="38"/>
      <c r="CG6" s="38"/>
      <c r="CH6" s="32"/>
      <c r="CI6" s="64">
        <v>0.0006764</v>
      </c>
      <c r="CJ6" s="12">
        <v>0.0018919</v>
      </c>
      <c r="CK6" s="70">
        <v>0.0036801</v>
      </c>
      <c r="CL6" s="38"/>
      <c r="CM6" s="38"/>
      <c r="CN6" s="32"/>
      <c r="CO6" s="64">
        <v>0</v>
      </c>
      <c r="CP6" s="12">
        <v>0.0020634</v>
      </c>
      <c r="CQ6" s="70">
        <v>0.0023949</v>
      </c>
      <c r="CR6" s="38"/>
      <c r="CS6" s="38"/>
      <c r="CT6" s="32"/>
      <c r="CU6" s="64">
        <v>0.0018592</v>
      </c>
      <c r="CV6" s="12">
        <v>0.0031439</v>
      </c>
      <c r="CW6" s="70">
        <v>0.0031439</v>
      </c>
      <c r="CX6" s="38"/>
      <c r="CY6" s="38"/>
      <c r="CZ6" s="32"/>
      <c r="DA6" s="64">
        <v>0</v>
      </c>
      <c r="DB6" s="12">
        <v>0</v>
      </c>
      <c r="DC6" s="70">
        <v>0</v>
      </c>
      <c r="DD6" s="38"/>
      <c r="DE6" s="38"/>
      <c r="DF6" s="32"/>
      <c r="DG6" s="64">
        <v>0.0003125</v>
      </c>
      <c r="DH6" s="12">
        <v>0.0018856</v>
      </c>
      <c r="DI6" s="70">
        <v>0.0088974</v>
      </c>
      <c r="DJ6" s="38"/>
      <c r="DK6" s="38"/>
      <c r="DL6" s="32"/>
      <c r="DM6" s="64">
        <v>0</v>
      </c>
      <c r="DN6" s="12">
        <v>0</v>
      </c>
      <c r="DO6" s="70">
        <v>0.0013925</v>
      </c>
      <c r="DP6" s="38"/>
      <c r="DQ6" s="38"/>
      <c r="DR6" s="32"/>
      <c r="DS6" s="64">
        <v>0</v>
      </c>
      <c r="DT6" s="12">
        <v>4.02E-05</v>
      </c>
      <c r="DU6" s="70">
        <v>4.02E-05</v>
      </c>
      <c r="DV6" s="38"/>
      <c r="DW6" s="38"/>
      <c r="DX6" s="32"/>
      <c r="DY6" s="64">
        <v>0.0011507</v>
      </c>
      <c r="DZ6" s="12">
        <v>0.0073167</v>
      </c>
      <c r="EA6" s="70">
        <v>0.0171596</v>
      </c>
      <c r="EB6" s="38"/>
      <c r="EC6" s="38"/>
      <c r="ED6" s="32"/>
      <c r="EE6" s="64">
        <v>0</v>
      </c>
      <c r="EF6" s="12">
        <v>0</v>
      </c>
      <c r="EG6" s="70">
        <v>4.52E-05</v>
      </c>
      <c r="EH6" s="38"/>
      <c r="EI6" s="38"/>
      <c r="EJ6" s="32"/>
      <c r="EK6" s="64">
        <v>0.0007744</v>
      </c>
      <c r="EL6" s="12">
        <v>0.000906</v>
      </c>
      <c r="EM6" s="70">
        <v>0.0013209</v>
      </c>
      <c r="EN6" s="38"/>
      <c r="EO6" s="38"/>
    </row>
    <row r="7" spans="1:145" s="12" customFormat="1" ht="12.75">
      <c r="A7" s="42"/>
      <c r="C7" s="72"/>
      <c r="D7" s="36"/>
      <c r="E7" s="37"/>
      <c r="F7" s="38" t="s">
        <v>138</v>
      </c>
      <c r="G7" s="38" t="s">
        <v>138</v>
      </c>
      <c r="H7" s="32"/>
      <c r="I7" s="65"/>
      <c r="J7" s="60">
        <f>P7+AB7+AH7+AN7+AT7+AZ7+BL7+BR7+BX7+CD7+CJ7+CP7+CV7+DB7+DH7+DN7+DT7+DZ7+EF7+EL7+V7+BF7</f>
        <v>0.16845700000000002</v>
      </c>
      <c r="K7" s="70">
        <f>Q7+AC7+AI7+AO7+AU7+BA7+BM7+BS7+BY7+CE7+CK7+CQ7+CW7+DC7+DI7+DO7+DU7+EA7+EG7+EM7+W7+BG7</f>
        <v>0.1684319</v>
      </c>
      <c r="L7" s="38" t="s">
        <v>138</v>
      </c>
      <c r="M7" s="38" t="s">
        <v>138</v>
      </c>
      <c r="N7" s="32"/>
      <c r="O7" s="64"/>
      <c r="P7" s="60">
        <v>0.0129875</v>
      </c>
      <c r="Q7" s="70">
        <v>0.0129855</v>
      </c>
      <c r="R7" s="38" t="s">
        <v>138</v>
      </c>
      <c r="S7" s="38" t="s">
        <v>138</v>
      </c>
      <c r="T7" s="32"/>
      <c r="U7" s="64"/>
      <c r="V7" s="60">
        <v>0.004128783054132632</v>
      </c>
      <c r="W7" s="70">
        <v>0.0041282</v>
      </c>
      <c r="X7" s="38" t="s">
        <v>138</v>
      </c>
      <c r="Y7" s="38" t="s">
        <v>138</v>
      </c>
      <c r="Z7" s="32"/>
      <c r="AA7" s="64"/>
      <c r="AB7" s="60">
        <v>0.0279195</v>
      </c>
      <c r="AC7" s="70">
        <v>0.0279154</v>
      </c>
      <c r="AD7" s="38" t="s">
        <v>138</v>
      </c>
      <c r="AE7" s="38" t="s">
        <v>138</v>
      </c>
      <c r="AF7" s="32"/>
      <c r="AG7" s="64"/>
      <c r="AH7" s="60">
        <v>0.0280726</v>
      </c>
      <c r="AI7" s="70">
        <v>0.0280686</v>
      </c>
      <c r="AJ7" s="38" t="s">
        <v>138</v>
      </c>
      <c r="AK7" s="38" t="s">
        <v>138</v>
      </c>
      <c r="AL7" s="32"/>
      <c r="AM7" s="64"/>
      <c r="AN7" s="60">
        <v>0.0127388</v>
      </c>
      <c r="AO7" s="70">
        <v>0.0127369</v>
      </c>
      <c r="AP7" s="38" t="s">
        <v>138</v>
      </c>
      <c r="AQ7" s="38" t="s">
        <v>138</v>
      </c>
      <c r="AR7" s="32"/>
      <c r="AS7" s="64"/>
      <c r="AT7" s="60">
        <v>2.04E-05</v>
      </c>
      <c r="AU7" s="70">
        <v>2.04E-05</v>
      </c>
      <c r="AV7" s="38" t="s">
        <v>138</v>
      </c>
      <c r="AW7" s="38" t="s">
        <v>138</v>
      </c>
      <c r="AX7" s="32"/>
      <c r="AY7" s="64"/>
      <c r="AZ7" s="60">
        <v>0.0077099</v>
      </c>
      <c r="BA7" s="70">
        <v>0.0077087</v>
      </c>
      <c r="BB7" s="38" t="s">
        <v>138</v>
      </c>
      <c r="BC7" s="38" t="s">
        <v>138</v>
      </c>
      <c r="BD7" s="32"/>
      <c r="BE7" s="64"/>
      <c r="BF7" s="60">
        <v>0.004723816945867368</v>
      </c>
      <c r="BG7" s="70">
        <v>0.0047231</v>
      </c>
      <c r="BH7" s="38" t="s">
        <v>138</v>
      </c>
      <c r="BI7" s="38" t="s">
        <v>138</v>
      </c>
      <c r="BJ7" s="32"/>
      <c r="BK7" s="64"/>
      <c r="BL7" s="60">
        <v>0.0026034</v>
      </c>
      <c r="BM7" s="70">
        <v>0.002603</v>
      </c>
      <c r="BN7" s="38" t="s">
        <v>138</v>
      </c>
      <c r="BO7" s="38" t="s">
        <v>138</v>
      </c>
      <c r="BP7" s="58"/>
      <c r="BQ7" s="50"/>
      <c r="BR7" s="60">
        <v>0.0020582</v>
      </c>
      <c r="BS7" s="70">
        <v>0.0020579</v>
      </c>
      <c r="BT7" s="38" t="s">
        <v>138</v>
      </c>
      <c r="BU7" s="38" t="s">
        <v>138</v>
      </c>
      <c r="BV7" s="32"/>
      <c r="BW7" s="64"/>
      <c r="BX7" s="60">
        <v>0.0107919</v>
      </c>
      <c r="BY7" s="70">
        <v>0.0107903</v>
      </c>
      <c r="BZ7" s="38" t="s">
        <v>138</v>
      </c>
      <c r="CA7" s="38" t="s">
        <v>138</v>
      </c>
      <c r="CB7" s="32"/>
      <c r="CC7" s="64"/>
      <c r="CD7" s="60">
        <v>0.0007297</v>
      </c>
      <c r="CE7" s="70">
        <v>0.0007296</v>
      </c>
      <c r="CF7" s="38" t="s">
        <v>138</v>
      </c>
      <c r="CG7" s="38" t="s">
        <v>138</v>
      </c>
      <c r="CH7" s="32"/>
      <c r="CI7" s="64"/>
      <c r="CJ7" s="60">
        <v>0.0043342</v>
      </c>
      <c r="CK7" s="70">
        <v>0.0043336</v>
      </c>
      <c r="CL7" s="38" t="s">
        <v>138</v>
      </c>
      <c r="CM7" s="38" t="s">
        <v>138</v>
      </c>
      <c r="CN7" s="32"/>
      <c r="CO7" s="64"/>
      <c r="CP7" s="60">
        <v>0.0037319</v>
      </c>
      <c r="CQ7" s="70">
        <v>0.0037314</v>
      </c>
      <c r="CR7" s="38" t="s">
        <v>138</v>
      </c>
      <c r="CS7" s="38" t="s">
        <v>138</v>
      </c>
      <c r="CT7" s="32"/>
      <c r="CU7" s="64"/>
      <c r="CV7" s="60">
        <v>0.0038705</v>
      </c>
      <c r="CW7" s="70">
        <v>0.0038699</v>
      </c>
      <c r="CX7" s="38" t="s">
        <v>138</v>
      </c>
      <c r="CY7" s="38" t="s">
        <v>138</v>
      </c>
      <c r="CZ7" s="32"/>
      <c r="DA7" s="64"/>
      <c r="DB7" s="60">
        <v>0.0018571</v>
      </c>
      <c r="DC7" s="70">
        <v>0.0018568</v>
      </c>
      <c r="DD7" s="38" t="s">
        <v>138</v>
      </c>
      <c r="DE7" s="38" t="s">
        <v>138</v>
      </c>
      <c r="DF7" s="32"/>
      <c r="DG7" s="64"/>
      <c r="DH7" s="60">
        <v>0.0126382</v>
      </c>
      <c r="DI7" s="70">
        <v>0.0126363</v>
      </c>
      <c r="DJ7" s="38" t="s">
        <v>138</v>
      </c>
      <c r="DK7" s="38" t="s">
        <v>138</v>
      </c>
      <c r="DL7" s="32"/>
      <c r="DM7" s="64"/>
      <c r="DN7" s="60">
        <v>0.0076602</v>
      </c>
      <c r="DO7" s="70">
        <v>0.007659</v>
      </c>
      <c r="DP7" s="38" t="s">
        <v>138</v>
      </c>
      <c r="DQ7" s="38" t="s">
        <v>138</v>
      </c>
      <c r="DR7" s="32"/>
      <c r="DS7" s="64"/>
      <c r="DT7" s="60">
        <v>0.0001002</v>
      </c>
      <c r="DU7" s="70">
        <v>0.0001001</v>
      </c>
      <c r="DV7" s="38" t="s">
        <v>138</v>
      </c>
      <c r="DW7" s="38" t="s">
        <v>138</v>
      </c>
      <c r="DX7" s="32"/>
      <c r="DY7" s="64"/>
      <c r="DZ7" s="60">
        <v>0.0183211</v>
      </c>
      <c r="EA7" s="70">
        <v>0.0183184</v>
      </c>
      <c r="EB7" s="38" t="s">
        <v>138</v>
      </c>
      <c r="EC7" s="38" t="s">
        <v>138</v>
      </c>
      <c r="ED7" s="32"/>
      <c r="EE7" s="64"/>
      <c r="EF7" s="60">
        <v>6.02E-05</v>
      </c>
      <c r="EG7" s="70">
        <v>6.02E-05</v>
      </c>
      <c r="EH7" s="38" t="s">
        <v>138</v>
      </c>
      <c r="EI7" s="38" t="s">
        <v>138</v>
      </c>
      <c r="EJ7" s="32"/>
      <c r="EK7" s="64"/>
      <c r="EL7" s="60">
        <v>0.0013989</v>
      </c>
      <c r="EM7" s="70">
        <v>0.0013986</v>
      </c>
      <c r="EN7" s="38" t="s">
        <v>138</v>
      </c>
      <c r="EO7" s="38" t="s">
        <v>138</v>
      </c>
    </row>
    <row r="8" spans="1:145" ht="12.75">
      <c r="A8" s="25"/>
      <c r="C8" s="38" t="s">
        <v>11</v>
      </c>
      <c r="D8" s="38" t="s">
        <v>12</v>
      </c>
      <c r="E8" s="38" t="s">
        <v>4</v>
      </c>
      <c r="F8" s="38" t="s">
        <v>139</v>
      </c>
      <c r="G8" s="38" t="s">
        <v>152</v>
      </c>
      <c r="I8" s="38" t="s">
        <v>11</v>
      </c>
      <c r="J8" s="38" t="s">
        <v>12</v>
      </c>
      <c r="K8" s="38" t="s">
        <v>4</v>
      </c>
      <c r="L8" s="38" t="s">
        <v>139</v>
      </c>
      <c r="M8" s="38" t="s">
        <v>152</v>
      </c>
      <c r="O8" s="38" t="s">
        <v>11</v>
      </c>
      <c r="P8" s="38" t="s">
        <v>12</v>
      </c>
      <c r="Q8" s="38" t="s">
        <v>4</v>
      </c>
      <c r="R8" s="38" t="s">
        <v>139</v>
      </c>
      <c r="S8" s="38" t="s">
        <v>152</v>
      </c>
      <c r="U8" s="38" t="s">
        <v>11</v>
      </c>
      <c r="V8" s="38" t="s">
        <v>12</v>
      </c>
      <c r="W8" s="38" t="s">
        <v>4</v>
      </c>
      <c r="X8" s="38" t="s">
        <v>139</v>
      </c>
      <c r="Y8" s="38" t="s">
        <v>152</v>
      </c>
      <c r="AA8" s="38" t="s">
        <v>11</v>
      </c>
      <c r="AB8" s="38" t="s">
        <v>12</v>
      </c>
      <c r="AC8" s="38" t="s">
        <v>4</v>
      </c>
      <c r="AD8" s="38" t="s">
        <v>139</v>
      </c>
      <c r="AE8" s="38" t="s">
        <v>152</v>
      </c>
      <c r="AG8" s="38" t="s">
        <v>11</v>
      </c>
      <c r="AH8" s="38" t="s">
        <v>12</v>
      </c>
      <c r="AI8" s="38" t="s">
        <v>4</v>
      </c>
      <c r="AJ8" s="38" t="s">
        <v>139</v>
      </c>
      <c r="AK8" s="38" t="s">
        <v>152</v>
      </c>
      <c r="AM8" s="38" t="s">
        <v>11</v>
      </c>
      <c r="AN8" s="38" t="s">
        <v>12</v>
      </c>
      <c r="AO8" s="38" t="s">
        <v>4</v>
      </c>
      <c r="AP8" s="38" t="s">
        <v>139</v>
      </c>
      <c r="AQ8" s="38" t="s">
        <v>152</v>
      </c>
      <c r="AS8" s="38" t="s">
        <v>11</v>
      </c>
      <c r="AT8" s="38" t="s">
        <v>12</v>
      </c>
      <c r="AU8" s="38" t="s">
        <v>4</v>
      </c>
      <c r="AV8" s="38" t="s">
        <v>139</v>
      </c>
      <c r="AW8" s="38" t="s">
        <v>152</v>
      </c>
      <c r="AY8" s="38" t="s">
        <v>11</v>
      </c>
      <c r="AZ8" s="38" t="s">
        <v>12</v>
      </c>
      <c r="BA8" s="38" t="s">
        <v>4</v>
      </c>
      <c r="BB8" s="38" t="s">
        <v>139</v>
      </c>
      <c r="BC8" s="38" t="s">
        <v>152</v>
      </c>
      <c r="BE8" s="38" t="s">
        <v>11</v>
      </c>
      <c r="BF8" s="38" t="s">
        <v>12</v>
      </c>
      <c r="BG8" s="38" t="s">
        <v>4</v>
      </c>
      <c r="BH8" s="38" t="s">
        <v>139</v>
      </c>
      <c r="BI8" s="38" t="s">
        <v>152</v>
      </c>
      <c r="BK8" s="38" t="s">
        <v>11</v>
      </c>
      <c r="BL8" s="38" t="s">
        <v>12</v>
      </c>
      <c r="BM8" s="38" t="s">
        <v>4</v>
      </c>
      <c r="BN8" s="38" t="s">
        <v>139</v>
      </c>
      <c r="BO8" s="38" t="s">
        <v>152</v>
      </c>
      <c r="BP8" s="59"/>
      <c r="BQ8" s="38" t="s">
        <v>11</v>
      </c>
      <c r="BR8" s="38" t="s">
        <v>12</v>
      </c>
      <c r="BS8" s="38" t="s">
        <v>4</v>
      </c>
      <c r="BT8" s="38" t="s">
        <v>139</v>
      </c>
      <c r="BU8" s="38" t="s">
        <v>152</v>
      </c>
      <c r="BW8" s="38" t="s">
        <v>11</v>
      </c>
      <c r="BX8" s="38" t="s">
        <v>12</v>
      </c>
      <c r="BY8" s="38" t="s">
        <v>4</v>
      </c>
      <c r="BZ8" s="38" t="s">
        <v>139</v>
      </c>
      <c r="CA8" s="38" t="s">
        <v>152</v>
      </c>
      <c r="CC8" s="38" t="s">
        <v>11</v>
      </c>
      <c r="CD8" s="38" t="s">
        <v>12</v>
      </c>
      <c r="CE8" s="38" t="s">
        <v>4</v>
      </c>
      <c r="CF8" s="38" t="s">
        <v>139</v>
      </c>
      <c r="CG8" s="38" t="s">
        <v>152</v>
      </c>
      <c r="CI8" s="38" t="s">
        <v>11</v>
      </c>
      <c r="CJ8" s="38" t="s">
        <v>12</v>
      </c>
      <c r="CK8" s="38" t="s">
        <v>4</v>
      </c>
      <c r="CL8" s="38" t="s">
        <v>139</v>
      </c>
      <c r="CM8" s="38" t="s">
        <v>152</v>
      </c>
      <c r="CO8" s="38" t="s">
        <v>11</v>
      </c>
      <c r="CP8" s="38" t="s">
        <v>12</v>
      </c>
      <c r="CQ8" s="38" t="s">
        <v>4</v>
      </c>
      <c r="CR8" s="38" t="s">
        <v>139</v>
      </c>
      <c r="CS8" s="38" t="s">
        <v>152</v>
      </c>
      <c r="CU8" s="38" t="s">
        <v>11</v>
      </c>
      <c r="CV8" s="38" t="s">
        <v>12</v>
      </c>
      <c r="CW8" s="38" t="s">
        <v>4</v>
      </c>
      <c r="CX8" s="38" t="s">
        <v>139</v>
      </c>
      <c r="CY8" s="38" t="s">
        <v>152</v>
      </c>
      <c r="DA8" s="38" t="s">
        <v>11</v>
      </c>
      <c r="DB8" s="38" t="s">
        <v>12</v>
      </c>
      <c r="DC8" s="38" t="s">
        <v>4</v>
      </c>
      <c r="DD8" s="38" t="s">
        <v>139</v>
      </c>
      <c r="DE8" s="38" t="s">
        <v>152</v>
      </c>
      <c r="DG8" s="38" t="s">
        <v>11</v>
      </c>
      <c r="DH8" s="38" t="s">
        <v>12</v>
      </c>
      <c r="DI8" s="38" t="s">
        <v>4</v>
      </c>
      <c r="DJ8" s="38" t="s">
        <v>139</v>
      </c>
      <c r="DK8" s="38" t="s">
        <v>152</v>
      </c>
      <c r="DM8" s="38" t="s">
        <v>11</v>
      </c>
      <c r="DN8" s="38" t="s">
        <v>12</v>
      </c>
      <c r="DO8" s="38" t="s">
        <v>4</v>
      </c>
      <c r="DP8" s="38" t="s">
        <v>139</v>
      </c>
      <c r="DQ8" s="38" t="s">
        <v>152</v>
      </c>
      <c r="DS8" s="38" t="s">
        <v>11</v>
      </c>
      <c r="DT8" s="38" t="s">
        <v>12</v>
      </c>
      <c r="DU8" s="38" t="s">
        <v>4</v>
      </c>
      <c r="DV8" s="38" t="s">
        <v>139</v>
      </c>
      <c r="DW8" s="38" t="s">
        <v>152</v>
      </c>
      <c r="DY8" s="38" t="s">
        <v>11</v>
      </c>
      <c r="DZ8" s="38" t="s">
        <v>12</v>
      </c>
      <c r="EA8" s="38" t="s">
        <v>4</v>
      </c>
      <c r="EB8" s="38" t="s">
        <v>139</v>
      </c>
      <c r="EC8" s="38" t="s">
        <v>152</v>
      </c>
      <c r="EE8" s="38" t="s">
        <v>11</v>
      </c>
      <c r="EF8" s="38" t="s">
        <v>12</v>
      </c>
      <c r="EG8" s="38" t="s">
        <v>4</v>
      </c>
      <c r="EH8" s="38" t="s">
        <v>139</v>
      </c>
      <c r="EI8" s="38" t="s">
        <v>152</v>
      </c>
      <c r="EK8" s="38" t="s">
        <v>11</v>
      </c>
      <c r="EL8" s="38" t="s">
        <v>12</v>
      </c>
      <c r="EM8" s="38" t="s">
        <v>4</v>
      </c>
      <c r="EN8" s="38" t="s">
        <v>139</v>
      </c>
      <c r="EO8" s="38" t="s">
        <v>152</v>
      </c>
    </row>
    <row r="9" spans="1:145" ht="12.75">
      <c r="A9" s="19">
        <v>42644</v>
      </c>
      <c r="C9" s="34">
        <f>'2012D'!C9</f>
        <v>0</v>
      </c>
      <c r="D9" s="34">
        <f>'2012D'!D9</f>
        <v>974900</v>
      </c>
      <c r="E9" s="34">
        <f aca="true" t="shared" si="0" ref="E9:E29">C9+D9</f>
        <v>974900</v>
      </c>
      <c r="F9" s="34">
        <f>'2012D'!F9</f>
        <v>321152</v>
      </c>
      <c r="G9" s="34">
        <f>'2012D'!G9</f>
        <v>241163</v>
      </c>
      <c r="I9" s="67">
        <f aca="true" t="shared" si="1" ref="I9:I29">O9+AA9+AG9+AM9+AS9+AY9+BK9+BQ9+BW9+CC9+CI9+CO9+CU9+DA9+DG9+DM9+DS9+DY9+EE9+EK9+U9+BE9</f>
        <v>0</v>
      </c>
      <c r="J9" s="47">
        <f aca="true" t="shared" si="2" ref="J9:J29">P9+AB9+AH9+AN9+AT9+AZ9+BL9+BR9+BX9+CD9+CJ9+CP9+CV9+DB9+DH9+DN9+DT9+DZ9+EF9+EL9+V9+BF9</f>
        <v>164204.25931000002</v>
      </c>
      <c r="K9" s="47">
        <f aca="true" t="shared" si="3" ref="K9:K28">I9+J9</f>
        <v>164204.25931000002</v>
      </c>
      <c r="L9" s="47">
        <f aca="true" t="shared" si="4" ref="L9:L29">R9+AD9+AJ9+AP9+AV9+BB9+BN9+BT9+BZ9+CF9+CL9+CR9+CX9+DD9+DJ9+DP9+DV9+EB9+EH9+EN9+X9+BH9</f>
        <v>54092.2415488</v>
      </c>
      <c r="M9" s="47">
        <f aca="true" t="shared" si="5" ref="M9:M29">S9+AE9+AK9+AQ9+AW9+BC9+BO9+BU9+CA9+CG9+CM9+CS9+CY9+DE9+DK9+DQ9+DW9+EC9+EI9+EO9+Y9+BI9</f>
        <v>40629</v>
      </c>
      <c r="O9" s="32">
        <f aca="true" t="shared" si="6" ref="O9:O29">$C9*Q$7</f>
        <v>0</v>
      </c>
      <c r="P9" s="47">
        <f aca="true" t="shared" si="7" ref="P9:P29">$D9*Q$7</f>
        <v>12659.56395</v>
      </c>
      <c r="Q9" s="47">
        <f aca="true" t="shared" si="8" ref="Q9:Q29">O9+P9</f>
        <v>12659.56395</v>
      </c>
      <c r="R9" s="47">
        <f aca="true" t="shared" si="9" ref="R9:R29">$F9*Q$7</f>
        <v>4170.319296000001</v>
      </c>
      <c r="S9" s="47">
        <v>3128</v>
      </c>
      <c r="U9" s="32">
        <f>$C9*W$7</f>
        <v>0</v>
      </c>
      <c r="V9" s="47">
        <f aca="true" t="shared" si="10" ref="V9:V29">$D9*W$7</f>
        <v>4024.5821800000003</v>
      </c>
      <c r="W9" s="32">
        <f aca="true" t="shared" si="11" ref="W9:W29">U9+V9</f>
        <v>4024.5821800000003</v>
      </c>
      <c r="X9" s="47">
        <f aca="true" t="shared" si="12" ref="X9:X29">$F9*W$7</f>
        <v>1325.7796864000002</v>
      </c>
      <c r="Y9" s="47">
        <v>995</v>
      </c>
      <c r="AA9" s="32">
        <f>$C9*AC$7</f>
        <v>0</v>
      </c>
      <c r="AB9" s="47">
        <f aca="true" t="shared" si="13" ref="AB9:AB29">$D9*AC$7</f>
        <v>27214.72346</v>
      </c>
      <c r="AC9" s="32">
        <f aca="true" t="shared" si="14" ref="AC9:AC29">AA9+AB9</f>
        <v>27214.72346</v>
      </c>
      <c r="AD9" s="47">
        <f aca="true" t="shared" si="15" ref="AD9:AD29">$F9*AC$7</f>
        <v>8965.0865408</v>
      </c>
      <c r="AE9" s="47">
        <v>6734</v>
      </c>
      <c r="AG9" s="32">
        <f>$C9*AI$7</f>
        <v>0</v>
      </c>
      <c r="AH9" s="47">
        <f aca="true" t="shared" si="16" ref="AH9:AH29">$D9*AI$7</f>
        <v>27364.078139999998</v>
      </c>
      <c r="AI9" s="32">
        <f aca="true" t="shared" si="17" ref="AI9:AI29">AG9+AH9</f>
        <v>27364.078139999998</v>
      </c>
      <c r="AJ9" s="47">
        <f aca="true" t="shared" si="18" ref="AJ9:AJ29">$F9*AI$7</f>
        <v>9014.2870272</v>
      </c>
      <c r="AK9" s="47">
        <v>6748</v>
      </c>
      <c r="AM9" s="32">
        <f>$C9*AO$7</f>
        <v>0</v>
      </c>
      <c r="AN9" s="47">
        <f aca="true" t="shared" si="19" ref="AN9:AN29">$D9*AO$7</f>
        <v>12417.20381</v>
      </c>
      <c r="AO9" s="32">
        <f aca="true" t="shared" si="20" ref="AO9:AO29">AM9+AN9</f>
        <v>12417.20381</v>
      </c>
      <c r="AP9" s="47">
        <f aca="true" t="shared" si="21" ref="AP9:AP29">$F9*AO$7</f>
        <v>4090.4809088</v>
      </c>
      <c r="AQ9" s="47">
        <v>3071</v>
      </c>
      <c r="AS9" s="32">
        <f>$C9*AU$7</f>
        <v>0</v>
      </c>
      <c r="AT9" s="47">
        <f aca="true" t="shared" si="22" ref="AT9:AT29">$D9*AU$7</f>
        <v>19.88796</v>
      </c>
      <c r="AU9" s="32">
        <f aca="true" t="shared" si="23" ref="AU9:AU29">AS9+AT9</f>
        <v>19.88796</v>
      </c>
      <c r="AV9" s="47">
        <f aca="true" t="shared" si="24" ref="AV9:AV29">$F9*AU$7</f>
        <v>6.5515008</v>
      </c>
      <c r="AW9" s="47">
        <v>6</v>
      </c>
      <c r="AY9" s="32">
        <f>$C9*BA$7</f>
        <v>0</v>
      </c>
      <c r="AZ9" s="47">
        <f aca="true" t="shared" si="25" ref="AZ9:AZ29">$D9*BA$7</f>
        <v>7515.21163</v>
      </c>
      <c r="BA9" s="32">
        <f aca="true" t="shared" si="26" ref="BA9:BA29">AY9+AZ9</f>
        <v>7515.21163</v>
      </c>
      <c r="BB9" s="47">
        <f aca="true" t="shared" si="27" ref="BB9:BB29">$F9*BA$7</f>
        <v>2475.6644223999997</v>
      </c>
      <c r="BC9" s="47">
        <v>1860</v>
      </c>
      <c r="BE9" s="32">
        <f>$C9*BG$7</f>
        <v>0</v>
      </c>
      <c r="BF9" s="47">
        <f aca="true" t="shared" si="28" ref="BF9:BF29">$D9*BG$7</f>
        <v>4604.55019</v>
      </c>
      <c r="BG9" s="32">
        <f aca="true" t="shared" si="29" ref="BG9:BG29">BE9+BF9</f>
        <v>4604.55019</v>
      </c>
      <c r="BH9" s="47">
        <f aca="true" t="shared" si="30" ref="BH9:BH29">$F9*BG$7</f>
        <v>1516.8330112</v>
      </c>
      <c r="BI9" s="47">
        <v>1138</v>
      </c>
      <c r="BK9" s="32">
        <f>$C9*BM$7</f>
        <v>0</v>
      </c>
      <c r="BL9" s="47">
        <f aca="true" t="shared" si="31" ref="BL9:BL29">$D9*BM$7</f>
        <v>2537.6647</v>
      </c>
      <c r="BM9" s="32">
        <f aca="true" t="shared" si="32" ref="BM9:BM29">BK9+BL9</f>
        <v>2537.6647</v>
      </c>
      <c r="BN9" s="47">
        <f aca="true" t="shared" si="33" ref="BN9:BN29">$F9*BM$7</f>
        <v>835.9586559999999</v>
      </c>
      <c r="BO9" s="47">
        <v>627</v>
      </c>
      <c r="BQ9" s="32">
        <f>$C9*BS$7</f>
        <v>0</v>
      </c>
      <c r="BR9" s="47">
        <f aca="true" t="shared" si="34" ref="BR9:BR29">$D9*BS$7</f>
        <v>2006.2467100000001</v>
      </c>
      <c r="BS9" s="32">
        <f aca="true" t="shared" si="35" ref="BS9:BS29">BQ9+BR9</f>
        <v>2006.2467100000001</v>
      </c>
      <c r="BT9" s="47">
        <f aca="true" t="shared" si="36" ref="BT9:BT29">$F9*BS$7</f>
        <v>660.8987008</v>
      </c>
      <c r="BU9" s="47">
        <v>498</v>
      </c>
      <c r="BW9" s="32">
        <f>$C9*BY$7</f>
        <v>0</v>
      </c>
      <c r="BX9" s="47">
        <f aca="true" t="shared" si="37" ref="BX9:BX29">$D9*BY$7</f>
        <v>10519.463469999999</v>
      </c>
      <c r="BY9" s="32">
        <f aca="true" t="shared" si="38" ref="BY9:BY29">BW9+BX9</f>
        <v>10519.463469999999</v>
      </c>
      <c r="BZ9" s="47">
        <f aca="true" t="shared" si="39" ref="BZ9:BZ29">$F9*BY$7</f>
        <v>3465.3264255999998</v>
      </c>
      <c r="CA9" s="47">
        <v>2610</v>
      </c>
      <c r="CC9" s="32">
        <f>$C9*CE$7</f>
        <v>0</v>
      </c>
      <c r="CD9" s="47">
        <f aca="true" t="shared" si="40" ref="CD9:CD29">$D9*CE$7</f>
        <v>711.2870399999999</v>
      </c>
      <c r="CE9" s="32">
        <f aca="true" t="shared" si="41" ref="CE9:CE29">CC9+CD9</f>
        <v>711.2870399999999</v>
      </c>
      <c r="CF9" s="47">
        <f aca="true" t="shared" si="42" ref="CF9:CF29">$F9*CE$7</f>
        <v>234.3124992</v>
      </c>
      <c r="CG9" s="47">
        <v>176</v>
      </c>
      <c r="CI9" s="32">
        <f>$C9*CK$7</f>
        <v>0</v>
      </c>
      <c r="CJ9" s="47">
        <f aca="true" t="shared" si="43" ref="CJ9:CJ29">$D9*CK$7</f>
        <v>4224.82664</v>
      </c>
      <c r="CK9" s="32">
        <f aca="true" t="shared" si="44" ref="CK9:CK29">CI9+CJ9</f>
        <v>4224.82664</v>
      </c>
      <c r="CL9" s="47">
        <f aca="true" t="shared" si="45" ref="CL9:CL29">$F9*CK$7</f>
        <v>1391.7443072</v>
      </c>
      <c r="CM9" s="47">
        <v>1046</v>
      </c>
      <c r="CO9" s="32">
        <f>$C9*CQ$7</f>
        <v>0</v>
      </c>
      <c r="CP9" s="47">
        <f aca="true" t="shared" si="46" ref="CP9:CP29">$D9*CQ$7</f>
        <v>3637.74186</v>
      </c>
      <c r="CQ9" s="32">
        <f aca="true" t="shared" si="47" ref="CQ9:CQ29">CO9+CP9</f>
        <v>3637.74186</v>
      </c>
      <c r="CR9" s="47">
        <f aca="true" t="shared" si="48" ref="CR9:CR29">$F9*CQ$7</f>
        <v>1198.3465728</v>
      </c>
      <c r="CS9" s="47">
        <v>902</v>
      </c>
      <c r="CU9" s="32">
        <f>$C9*CW$7</f>
        <v>0</v>
      </c>
      <c r="CV9" s="47">
        <f aca="true" t="shared" si="49" ref="CV9:CV29">$D9*CW$7</f>
        <v>3772.7655099999997</v>
      </c>
      <c r="CW9" s="32">
        <f aca="true" t="shared" si="50" ref="CW9:CW29">CU9+CV9</f>
        <v>3772.7655099999997</v>
      </c>
      <c r="CX9" s="47">
        <f aca="true" t="shared" si="51" ref="CX9:CX29">$F9*CW$7</f>
        <v>1242.8261248</v>
      </c>
      <c r="CY9" s="47">
        <v>934</v>
      </c>
      <c r="DA9" s="32">
        <f>$C9*DC$7</f>
        <v>0</v>
      </c>
      <c r="DB9" s="47">
        <f aca="true" t="shared" si="52" ref="DB9:DB29">$D9*DC$7</f>
        <v>1810.19432</v>
      </c>
      <c r="DC9" s="32">
        <f aca="true" t="shared" si="53" ref="DC9:DC29">DA9+DB9</f>
        <v>1810.19432</v>
      </c>
      <c r="DD9" s="47">
        <f aca="true" t="shared" si="54" ref="DD9:DD29">$F9*DC$7</f>
        <v>596.3150336</v>
      </c>
      <c r="DE9" s="47">
        <v>452</v>
      </c>
      <c r="DG9" s="32">
        <f>$C9*DI$7</f>
        <v>0</v>
      </c>
      <c r="DH9" s="47">
        <f aca="true" t="shared" si="55" ref="DH9:DH29">$D9*DI$7</f>
        <v>12319.12887</v>
      </c>
      <c r="DI9" s="32">
        <f aca="true" t="shared" si="56" ref="DI9:DI29">DG9+DH9</f>
        <v>12319.12887</v>
      </c>
      <c r="DJ9" s="47">
        <f aca="true" t="shared" si="57" ref="DJ9:DJ29">$F9*DI$7</f>
        <v>4058.1730176</v>
      </c>
      <c r="DK9" s="47">
        <v>3053</v>
      </c>
      <c r="DM9" s="32">
        <f>$C9*DO$7</f>
        <v>0</v>
      </c>
      <c r="DN9" s="47">
        <f aca="true" t="shared" si="58" ref="DN9:DN29">$D9*DO$7</f>
        <v>7466.7591</v>
      </c>
      <c r="DO9" s="32">
        <f aca="true" t="shared" si="59" ref="DO9:DO29">DM9+DN9</f>
        <v>7466.7591</v>
      </c>
      <c r="DP9" s="47">
        <f aca="true" t="shared" si="60" ref="DP9:DP29">$F9*DO$7</f>
        <v>2459.703168</v>
      </c>
      <c r="DQ9" s="47">
        <v>1860</v>
      </c>
      <c r="DS9" s="32">
        <f>$C9*DU$7</f>
        <v>0</v>
      </c>
      <c r="DT9" s="47">
        <f aca="true" t="shared" si="61" ref="DT9:DT29">$D9*DU$7</f>
        <v>97.58748999999999</v>
      </c>
      <c r="DU9" s="32">
        <f aca="true" t="shared" si="62" ref="DU9:DU29">DS9+DT9</f>
        <v>97.58748999999999</v>
      </c>
      <c r="DV9" s="47">
        <f aca="true" t="shared" si="63" ref="DV9:DV29">$F9*DU$7</f>
        <v>32.1473152</v>
      </c>
      <c r="DW9" s="47">
        <v>24</v>
      </c>
      <c r="DY9" s="32">
        <f>$C9*EA$7</f>
        <v>0</v>
      </c>
      <c r="DZ9" s="47">
        <f aca="true" t="shared" si="64" ref="DZ9:DZ29">$D9*EA$7</f>
        <v>17858.60816</v>
      </c>
      <c r="EA9" s="32">
        <f aca="true" t="shared" si="65" ref="EA9:EA29">DY9+DZ9</f>
        <v>17858.60816</v>
      </c>
      <c r="EB9" s="47">
        <f aca="true" t="shared" si="66" ref="EB9:EB29">$F9*EA$7</f>
        <v>5882.9907968</v>
      </c>
      <c r="EC9" s="47">
        <v>4416</v>
      </c>
      <c r="EE9" s="32">
        <f>$C9*EG$7</f>
        <v>0</v>
      </c>
      <c r="EF9" s="47">
        <f aca="true" t="shared" si="67" ref="EF9:EF29">$D9*EG$7</f>
        <v>58.68898</v>
      </c>
      <c r="EG9" s="32">
        <f aca="true" t="shared" si="68" ref="EG9:EG29">EE9+EF9</f>
        <v>58.68898</v>
      </c>
      <c r="EH9" s="47">
        <f aca="true" t="shared" si="69" ref="EH9:EH29">$F9*EG$7</f>
        <v>19.3333504</v>
      </c>
      <c r="EI9" s="47">
        <v>14</v>
      </c>
      <c r="EK9" s="32">
        <f>$C9*EM$7</f>
        <v>0</v>
      </c>
      <c r="EL9" s="47">
        <f aca="true" t="shared" si="70" ref="EL9:EL29">$D9*EM$7</f>
        <v>1363.49514</v>
      </c>
      <c r="EM9" s="32">
        <f aca="true" t="shared" si="71" ref="EM9:EM29">EK9+EL9</f>
        <v>1363.49514</v>
      </c>
      <c r="EN9" s="47">
        <f aca="true" t="shared" si="72" ref="EN9:EN29">$F9*EM$7</f>
        <v>449.16318720000004</v>
      </c>
      <c r="EO9" s="47">
        <v>337</v>
      </c>
    </row>
    <row r="10" spans="1:145" ht="12.75">
      <c r="A10" s="19">
        <v>42826</v>
      </c>
      <c r="C10" s="34">
        <f>'2012D'!C10</f>
        <v>0</v>
      </c>
      <c r="D10" s="34">
        <f>'2012D'!D10</f>
        <v>974900</v>
      </c>
      <c r="E10" s="34">
        <f t="shared" si="0"/>
        <v>974900</v>
      </c>
      <c r="F10" s="34">
        <f>'2012D'!F10</f>
        <v>321152</v>
      </c>
      <c r="G10" s="34">
        <f>'2012D'!G10</f>
        <v>241163</v>
      </c>
      <c r="I10" s="67"/>
      <c r="J10" s="47">
        <f t="shared" si="2"/>
        <v>164204.25931000002</v>
      </c>
      <c r="K10" s="47">
        <f t="shared" si="3"/>
        <v>164204.25931000002</v>
      </c>
      <c r="L10" s="47">
        <f t="shared" si="4"/>
        <v>54092.2415488</v>
      </c>
      <c r="M10" s="47">
        <f t="shared" si="5"/>
        <v>40629</v>
      </c>
      <c r="P10" s="47">
        <f t="shared" si="7"/>
        <v>12659.56395</v>
      </c>
      <c r="Q10" s="47">
        <f t="shared" si="8"/>
        <v>12659.56395</v>
      </c>
      <c r="R10" s="47">
        <f t="shared" si="9"/>
        <v>4170.319296000001</v>
      </c>
      <c r="S10" s="47">
        <v>3128</v>
      </c>
      <c r="V10" s="47">
        <f t="shared" si="10"/>
        <v>4024.5821800000003</v>
      </c>
      <c r="W10" s="32">
        <f t="shared" si="11"/>
        <v>4024.5821800000003</v>
      </c>
      <c r="X10" s="47">
        <f t="shared" si="12"/>
        <v>1325.7796864000002</v>
      </c>
      <c r="Y10" s="47">
        <v>995</v>
      </c>
      <c r="AB10" s="47">
        <f t="shared" si="13"/>
        <v>27214.72346</v>
      </c>
      <c r="AC10" s="32">
        <f t="shared" si="14"/>
        <v>27214.72346</v>
      </c>
      <c r="AD10" s="47">
        <f t="shared" si="15"/>
        <v>8965.0865408</v>
      </c>
      <c r="AE10" s="47">
        <v>6734</v>
      </c>
      <c r="AH10" s="47">
        <f t="shared" si="16"/>
        <v>27364.078139999998</v>
      </c>
      <c r="AI10" s="32">
        <f t="shared" si="17"/>
        <v>27364.078139999998</v>
      </c>
      <c r="AJ10" s="47">
        <f t="shared" si="18"/>
        <v>9014.2870272</v>
      </c>
      <c r="AK10" s="47">
        <v>6748</v>
      </c>
      <c r="AN10" s="47">
        <f t="shared" si="19"/>
        <v>12417.20381</v>
      </c>
      <c r="AO10" s="32">
        <f t="shared" si="20"/>
        <v>12417.20381</v>
      </c>
      <c r="AP10" s="47">
        <f t="shared" si="21"/>
        <v>4090.4809088</v>
      </c>
      <c r="AQ10" s="47">
        <v>3071</v>
      </c>
      <c r="AT10" s="47">
        <f t="shared" si="22"/>
        <v>19.88796</v>
      </c>
      <c r="AU10" s="32">
        <f t="shared" si="23"/>
        <v>19.88796</v>
      </c>
      <c r="AV10" s="47">
        <f t="shared" si="24"/>
        <v>6.5515008</v>
      </c>
      <c r="AW10" s="47">
        <v>6</v>
      </c>
      <c r="AZ10" s="47">
        <f t="shared" si="25"/>
        <v>7515.21163</v>
      </c>
      <c r="BA10" s="32">
        <f t="shared" si="26"/>
        <v>7515.21163</v>
      </c>
      <c r="BB10" s="47">
        <f t="shared" si="27"/>
        <v>2475.6644223999997</v>
      </c>
      <c r="BC10" s="47">
        <v>1860</v>
      </c>
      <c r="BF10" s="47">
        <f t="shared" si="28"/>
        <v>4604.55019</v>
      </c>
      <c r="BG10" s="32">
        <f t="shared" si="29"/>
        <v>4604.55019</v>
      </c>
      <c r="BH10" s="47">
        <f t="shared" si="30"/>
        <v>1516.8330112</v>
      </c>
      <c r="BI10" s="47">
        <v>1138</v>
      </c>
      <c r="BL10" s="47">
        <f t="shared" si="31"/>
        <v>2537.6647</v>
      </c>
      <c r="BM10" s="32">
        <f t="shared" si="32"/>
        <v>2537.6647</v>
      </c>
      <c r="BN10" s="47">
        <f t="shared" si="33"/>
        <v>835.9586559999999</v>
      </c>
      <c r="BO10" s="47">
        <v>627</v>
      </c>
      <c r="BR10" s="47">
        <f t="shared" si="34"/>
        <v>2006.2467100000001</v>
      </c>
      <c r="BS10" s="32">
        <f t="shared" si="35"/>
        <v>2006.2467100000001</v>
      </c>
      <c r="BT10" s="47">
        <f t="shared" si="36"/>
        <v>660.8987008</v>
      </c>
      <c r="BU10" s="47">
        <v>498</v>
      </c>
      <c r="BX10" s="47">
        <f t="shared" si="37"/>
        <v>10519.463469999999</v>
      </c>
      <c r="BY10" s="32">
        <f t="shared" si="38"/>
        <v>10519.463469999999</v>
      </c>
      <c r="BZ10" s="47">
        <f t="shared" si="39"/>
        <v>3465.3264255999998</v>
      </c>
      <c r="CA10" s="47">
        <v>2610</v>
      </c>
      <c r="CD10" s="47">
        <f t="shared" si="40"/>
        <v>711.2870399999999</v>
      </c>
      <c r="CE10" s="32">
        <f t="shared" si="41"/>
        <v>711.2870399999999</v>
      </c>
      <c r="CF10" s="47">
        <f t="shared" si="42"/>
        <v>234.3124992</v>
      </c>
      <c r="CG10" s="47">
        <v>176</v>
      </c>
      <c r="CJ10" s="47">
        <f t="shared" si="43"/>
        <v>4224.82664</v>
      </c>
      <c r="CK10" s="32">
        <f t="shared" si="44"/>
        <v>4224.82664</v>
      </c>
      <c r="CL10" s="47">
        <f t="shared" si="45"/>
        <v>1391.7443072</v>
      </c>
      <c r="CM10" s="47">
        <v>1046</v>
      </c>
      <c r="CP10" s="47">
        <f t="shared" si="46"/>
        <v>3637.74186</v>
      </c>
      <c r="CQ10" s="32">
        <f t="shared" si="47"/>
        <v>3637.74186</v>
      </c>
      <c r="CR10" s="47">
        <f t="shared" si="48"/>
        <v>1198.3465728</v>
      </c>
      <c r="CS10" s="47">
        <v>902</v>
      </c>
      <c r="CV10" s="47">
        <f t="shared" si="49"/>
        <v>3772.7655099999997</v>
      </c>
      <c r="CW10" s="32">
        <f t="shared" si="50"/>
        <v>3772.7655099999997</v>
      </c>
      <c r="CX10" s="47">
        <f t="shared" si="51"/>
        <v>1242.8261248</v>
      </c>
      <c r="CY10" s="47">
        <v>934</v>
      </c>
      <c r="DB10" s="47">
        <f t="shared" si="52"/>
        <v>1810.19432</v>
      </c>
      <c r="DC10" s="32">
        <f t="shared" si="53"/>
        <v>1810.19432</v>
      </c>
      <c r="DD10" s="47">
        <f t="shared" si="54"/>
        <v>596.3150336</v>
      </c>
      <c r="DE10" s="47">
        <v>452</v>
      </c>
      <c r="DH10" s="47">
        <f t="shared" si="55"/>
        <v>12319.12887</v>
      </c>
      <c r="DI10" s="32">
        <f t="shared" si="56"/>
        <v>12319.12887</v>
      </c>
      <c r="DJ10" s="47">
        <f t="shared" si="57"/>
        <v>4058.1730176</v>
      </c>
      <c r="DK10" s="47">
        <v>3053</v>
      </c>
      <c r="DN10" s="47">
        <f t="shared" si="58"/>
        <v>7466.7591</v>
      </c>
      <c r="DO10" s="32">
        <f t="shared" si="59"/>
        <v>7466.7591</v>
      </c>
      <c r="DP10" s="47">
        <f t="shared" si="60"/>
        <v>2459.703168</v>
      </c>
      <c r="DQ10" s="47">
        <v>1860</v>
      </c>
      <c r="DT10" s="47">
        <f t="shared" si="61"/>
        <v>97.58748999999999</v>
      </c>
      <c r="DU10" s="32">
        <f t="shared" si="62"/>
        <v>97.58748999999999</v>
      </c>
      <c r="DV10" s="47">
        <f t="shared" si="63"/>
        <v>32.1473152</v>
      </c>
      <c r="DW10" s="47">
        <v>24</v>
      </c>
      <c r="DZ10" s="47">
        <f t="shared" si="64"/>
        <v>17858.60816</v>
      </c>
      <c r="EA10" s="32">
        <f t="shared" si="65"/>
        <v>17858.60816</v>
      </c>
      <c r="EB10" s="47">
        <f t="shared" si="66"/>
        <v>5882.9907968</v>
      </c>
      <c r="EC10" s="47">
        <v>4416</v>
      </c>
      <c r="EF10" s="47">
        <f t="shared" si="67"/>
        <v>58.68898</v>
      </c>
      <c r="EG10" s="32">
        <f t="shared" si="68"/>
        <v>58.68898</v>
      </c>
      <c r="EH10" s="47">
        <f t="shared" si="69"/>
        <v>19.3333504</v>
      </c>
      <c r="EI10" s="47">
        <v>14</v>
      </c>
      <c r="EL10" s="47">
        <f t="shared" si="70"/>
        <v>1363.49514</v>
      </c>
      <c r="EM10" s="32">
        <f t="shared" si="71"/>
        <v>1363.49514</v>
      </c>
      <c r="EN10" s="47">
        <f t="shared" si="72"/>
        <v>449.16318720000004</v>
      </c>
      <c r="EO10" s="47">
        <v>337</v>
      </c>
    </row>
    <row r="11" spans="1:145" ht="12.75">
      <c r="A11" s="19">
        <v>43009</v>
      </c>
      <c r="C11" s="34">
        <f>'2012D'!C11</f>
        <v>100000</v>
      </c>
      <c r="D11" s="34">
        <f>'2012D'!D11</f>
        <v>974900</v>
      </c>
      <c r="E11" s="34">
        <f t="shared" si="0"/>
        <v>1074900</v>
      </c>
      <c r="F11" s="34">
        <f>'2012D'!F11</f>
        <v>321152</v>
      </c>
      <c r="G11" s="34">
        <f>'2012D'!G11</f>
        <v>241163</v>
      </c>
      <c r="I11" s="67">
        <f t="shared" si="1"/>
        <v>16843.190000000002</v>
      </c>
      <c r="J11" s="47">
        <f t="shared" si="2"/>
        <v>164204.25931000002</v>
      </c>
      <c r="K11" s="47">
        <f t="shared" si="3"/>
        <v>181047.44931000003</v>
      </c>
      <c r="L11" s="47">
        <f t="shared" si="4"/>
        <v>54092.2415488</v>
      </c>
      <c r="M11" s="47">
        <f t="shared" si="5"/>
        <v>40629</v>
      </c>
      <c r="O11" s="32">
        <f t="shared" si="6"/>
        <v>1298.55</v>
      </c>
      <c r="P11" s="47">
        <f t="shared" si="7"/>
        <v>12659.56395</v>
      </c>
      <c r="Q11" s="47">
        <f t="shared" si="8"/>
        <v>13958.113949999999</v>
      </c>
      <c r="R11" s="47">
        <f t="shared" si="9"/>
        <v>4170.319296000001</v>
      </c>
      <c r="S11" s="47">
        <v>3128</v>
      </c>
      <c r="U11" s="32">
        <f>$C11*W$7</f>
        <v>412.82000000000005</v>
      </c>
      <c r="V11" s="47">
        <f t="shared" si="10"/>
        <v>4024.5821800000003</v>
      </c>
      <c r="W11" s="32">
        <f t="shared" si="11"/>
        <v>4437.40218</v>
      </c>
      <c r="X11" s="47">
        <f t="shared" si="12"/>
        <v>1325.7796864000002</v>
      </c>
      <c r="Y11" s="47">
        <v>995</v>
      </c>
      <c r="AA11" s="32">
        <f>$C11*AC$7</f>
        <v>2791.54</v>
      </c>
      <c r="AB11" s="47">
        <f t="shared" si="13"/>
        <v>27214.72346</v>
      </c>
      <c r="AC11" s="32">
        <f t="shared" si="14"/>
        <v>30006.263460000002</v>
      </c>
      <c r="AD11" s="47">
        <f t="shared" si="15"/>
        <v>8965.0865408</v>
      </c>
      <c r="AE11" s="47">
        <v>6734</v>
      </c>
      <c r="AG11" s="32">
        <f>$C11*AI$7</f>
        <v>2806.86</v>
      </c>
      <c r="AH11" s="47">
        <f t="shared" si="16"/>
        <v>27364.078139999998</v>
      </c>
      <c r="AI11" s="32">
        <f t="shared" si="17"/>
        <v>30170.93814</v>
      </c>
      <c r="AJ11" s="47">
        <f t="shared" si="18"/>
        <v>9014.2870272</v>
      </c>
      <c r="AK11" s="47">
        <v>6748</v>
      </c>
      <c r="AM11" s="32">
        <f>$C11*AO$7</f>
        <v>1273.69</v>
      </c>
      <c r="AN11" s="47">
        <f t="shared" si="19"/>
        <v>12417.20381</v>
      </c>
      <c r="AO11" s="32">
        <f t="shared" si="20"/>
        <v>13690.893810000001</v>
      </c>
      <c r="AP11" s="47">
        <f t="shared" si="21"/>
        <v>4090.4809088</v>
      </c>
      <c r="AQ11" s="47">
        <v>3071</v>
      </c>
      <c r="AS11" s="32">
        <f>$C11*AU$7</f>
        <v>2.04</v>
      </c>
      <c r="AT11" s="47">
        <f t="shared" si="22"/>
        <v>19.88796</v>
      </c>
      <c r="AU11" s="32">
        <f t="shared" si="23"/>
        <v>21.92796</v>
      </c>
      <c r="AV11" s="47">
        <f t="shared" si="24"/>
        <v>6.5515008</v>
      </c>
      <c r="AW11" s="47">
        <v>6</v>
      </c>
      <c r="AY11" s="32">
        <f>$C11*BA$7</f>
        <v>770.87</v>
      </c>
      <c r="AZ11" s="47">
        <f t="shared" si="25"/>
        <v>7515.21163</v>
      </c>
      <c r="BA11" s="32">
        <f t="shared" si="26"/>
        <v>8286.08163</v>
      </c>
      <c r="BB11" s="47">
        <f t="shared" si="27"/>
        <v>2475.6644223999997</v>
      </c>
      <c r="BC11" s="47">
        <v>1860</v>
      </c>
      <c r="BE11" s="32">
        <f>$C11*BG$7</f>
        <v>472.31</v>
      </c>
      <c r="BF11" s="47">
        <f t="shared" si="28"/>
        <v>4604.55019</v>
      </c>
      <c r="BG11" s="32">
        <f t="shared" si="29"/>
        <v>5076.86019</v>
      </c>
      <c r="BH11" s="47">
        <f t="shared" si="30"/>
        <v>1516.8330112</v>
      </c>
      <c r="BI11" s="47">
        <v>1138</v>
      </c>
      <c r="BK11" s="32">
        <f>$C11*BM$7</f>
        <v>260.3</v>
      </c>
      <c r="BL11" s="47">
        <f t="shared" si="31"/>
        <v>2537.6647</v>
      </c>
      <c r="BM11" s="32">
        <f t="shared" si="32"/>
        <v>2797.9647</v>
      </c>
      <c r="BN11" s="47">
        <f t="shared" si="33"/>
        <v>835.9586559999999</v>
      </c>
      <c r="BO11" s="47">
        <v>627</v>
      </c>
      <c r="BQ11" s="32">
        <f>$C11*BS$7</f>
        <v>205.79000000000002</v>
      </c>
      <c r="BR11" s="47">
        <f t="shared" si="34"/>
        <v>2006.2467100000001</v>
      </c>
      <c r="BS11" s="32">
        <f t="shared" si="35"/>
        <v>2212.0367100000003</v>
      </c>
      <c r="BT11" s="47">
        <f t="shared" si="36"/>
        <v>660.8987008</v>
      </c>
      <c r="BU11" s="47">
        <v>498</v>
      </c>
      <c r="BW11" s="32">
        <f>$C11*BY$7</f>
        <v>1079.03</v>
      </c>
      <c r="BX11" s="47">
        <f t="shared" si="37"/>
        <v>10519.463469999999</v>
      </c>
      <c r="BY11" s="32">
        <f t="shared" si="38"/>
        <v>11598.49347</v>
      </c>
      <c r="BZ11" s="47">
        <f t="shared" si="39"/>
        <v>3465.3264255999998</v>
      </c>
      <c r="CA11" s="47">
        <v>2610</v>
      </c>
      <c r="CC11" s="32">
        <f>$C11*CE$7</f>
        <v>72.96</v>
      </c>
      <c r="CD11" s="47">
        <f t="shared" si="40"/>
        <v>711.2870399999999</v>
      </c>
      <c r="CE11" s="32">
        <f t="shared" si="41"/>
        <v>784.24704</v>
      </c>
      <c r="CF11" s="47">
        <f t="shared" si="42"/>
        <v>234.3124992</v>
      </c>
      <c r="CG11" s="47">
        <v>176</v>
      </c>
      <c r="CI11" s="32">
        <f>$C11*CK$7</f>
        <v>433.36</v>
      </c>
      <c r="CJ11" s="47">
        <f t="shared" si="43"/>
        <v>4224.82664</v>
      </c>
      <c r="CK11" s="32">
        <f t="shared" si="44"/>
        <v>4658.18664</v>
      </c>
      <c r="CL11" s="47">
        <f t="shared" si="45"/>
        <v>1391.7443072</v>
      </c>
      <c r="CM11" s="47">
        <v>1046</v>
      </c>
      <c r="CO11" s="32">
        <f>$C11*CQ$7</f>
        <v>373.14000000000004</v>
      </c>
      <c r="CP11" s="47">
        <f t="shared" si="46"/>
        <v>3637.74186</v>
      </c>
      <c r="CQ11" s="32">
        <f t="shared" si="47"/>
        <v>4010.88186</v>
      </c>
      <c r="CR11" s="47">
        <f t="shared" si="48"/>
        <v>1198.3465728</v>
      </c>
      <c r="CS11" s="47">
        <v>902</v>
      </c>
      <c r="CU11" s="32">
        <f>$C11*CW$7</f>
        <v>386.99</v>
      </c>
      <c r="CV11" s="47">
        <f t="shared" si="49"/>
        <v>3772.7655099999997</v>
      </c>
      <c r="CW11" s="32">
        <f t="shared" si="50"/>
        <v>4159.75551</v>
      </c>
      <c r="CX11" s="47">
        <f t="shared" si="51"/>
        <v>1242.8261248</v>
      </c>
      <c r="CY11" s="47">
        <v>934</v>
      </c>
      <c r="DA11" s="32">
        <f>$C11*DC$7</f>
        <v>185.68</v>
      </c>
      <c r="DB11" s="47">
        <f t="shared" si="52"/>
        <v>1810.19432</v>
      </c>
      <c r="DC11" s="32">
        <f t="shared" si="53"/>
        <v>1995.8743200000001</v>
      </c>
      <c r="DD11" s="47">
        <f t="shared" si="54"/>
        <v>596.3150336</v>
      </c>
      <c r="DE11" s="47">
        <v>452</v>
      </c>
      <c r="DG11" s="32">
        <f>$C11*DI$7</f>
        <v>1263.6299999999999</v>
      </c>
      <c r="DH11" s="47">
        <f t="shared" si="55"/>
        <v>12319.12887</v>
      </c>
      <c r="DI11" s="32">
        <f t="shared" si="56"/>
        <v>13582.75887</v>
      </c>
      <c r="DJ11" s="47">
        <f t="shared" si="57"/>
        <v>4058.1730176</v>
      </c>
      <c r="DK11" s="47">
        <v>3053</v>
      </c>
      <c r="DM11" s="32">
        <f>$C11*DO$7</f>
        <v>765.9</v>
      </c>
      <c r="DN11" s="47">
        <f t="shared" si="58"/>
        <v>7466.7591</v>
      </c>
      <c r="DO11" s="32">
        <f t="shared" si="59"/>
        <v>8232.6591</v>
      </c>
      <c r="DP11" s="47">
        <f t="shared" si="60"/>
        <v>2459.703168</v>
      </c>
      <c r="DQ11" s="47">
        <v>1860</v>
      </c>
      <c r="DS11" s="32">
        <f>$C11*DU$7</f>
        <v>10.01</v>
      </c>
      <c r="DT11" s="47">
        <f t="shared" si="61"/>
        <v>97.58748999999999</v>
      </c>
      <c r="DU11" s="32">
        <f t="shared" si="62"/>
        <v>107.59749</v>
      </c>
      <c r="DV11" s="47">
        <f t="shared" si="63"/>
        <v>32.1473152</v>
      </c>
      <c r="DW11" s="47">
        <v>24</v>
      </c>
      <c r="DY11" s="32">
        <f>$C11*EA$7</f>
        <v>1831.84</v>
      </c>
      <c r="DZ11" s="47">
        <f t="shared" si="64"/>
        <v>17858.60816</v>
      </c>
      <c r="EA11" s="32">
        <f t="shared" si="65"/>
        <v>19690.44816</v>
      </c>
      <c r="EB11" s="47">
        <f t="shared" si="66"/>
        <v>5882.9907968</v>
      </c>
      <c r="EC11" s="47">
        <v>4416</v>
      </c>
      <c r="EE11" s="32">
        <f>$C11*EG$7</f>
        <v>6.02</v>
      </c>
      <c r="EF11" s="47">
        <f t="shared" si="67"/>
        <v>58.68898</v>
      </c>
      <c r="EG11" s="32">
        <f t="shared" si="68"/>
        <v>64.70898</v>
      </c>
      <c r="EH11" s="47">
        <f t="shared" si="69"/>
        <v>19.3333504</v>
      </c>
      <c r="EI11" s="47">
        <v>14</v>
      </c>
      <c r="EK11" s="32">
        <f>$C11*EM$7</f>
        <v>139.86</v>
      </c>
      <c r="EL11" s="47">
        <f t="shared" si="70"/>
        <v>1363.49514</v>
      </c>
      <c r="EM11" s="32">
        <f t="shared" si="71"/>
        <v>1503.3551400000001</v>
      </c>
      <c r="EN11" s="47">
        <f t="shared" si="72"/>
        <v>449.16318720000004</v>
      </c>
      <c r="EO11" s="47">
        <v>337</v>
      </c>
    </row>
    <row r="12" spans="1:145" ht="12.75">
      <c r="A12" s="48">
        <v>43191</v>
      </c>
      <c r="C12" s="34">
        <f>'2012D'!C12</f>
        <v>0</v>
      </c>
      <c r="D12" s="34">
        <f>'2012D'!D12</f>
        <v>972900</v>
      </c>
      <c r="E12" s="34">
        <f t="shared" si="0"/>
        <v>972900</v>
      </c>
      <c r="F12" s="34">
        <f>'2012D'!F12</f>
        <v>321152</v>
      </c>
      <c r="G12" s="34">
        <f>'2012D'!G12</f>
        <v>241163</v>
      </c>
      <c r="I12" s="67"/>
      <c r="J12" s="47">
        <f t="shared" si="2"/>
        <v>163867.39551000006</v>
      </c>
      <c r="K12" s="47">
        <f t="shared" si="3"/>
        <v>163867.39551000006</v>
      </c>
      <c r="L12" s="47">
        <f t="shared" si="4"/>
        <v>54092.2415488</v>
      </c>
      <c r="M12" s="47">
        <f t="shared" si="5"/>
        <v>40629</v>
      </c>
      <c r="P12" s="47">
        <f t="shared" si="7"/>
        <v>12633.59295</v>
      </c>
      <c r="Q12" s="47">
        <f t="shared" si="8"/>
        <v>12633.59295</v>
      </c>
      <c r="R12" s="47">
        <f t="shared" si="9"/>
        <v>4170.319296000001</v>
      </c>
      <c r="S12" s="47">
        <v>3128</v>
      </c>
      <c r="V12" s="47">
        <f t="shared" si="10"/>
        <v>4016.32578</v>
      </c>
      <c r="W12" s="32">
        <f t="shared" si="11"/>
        <v>4016.32578</v>
      </c>
      <c r="X12" s="47">
        <f t="shared" si="12"/>
        <v>1325.7796864000002</v>
      </c>
      <c r="Y12" s="47">
        <v>995</v>
      </c>
      <c r="AB12" s="47">
        <f t="shared" si="13"/>
        <v>27158.89266</v>
      </c>
      <c r="AC12" s="32">
        <f t="shared" si="14"/>
        <v>27158.89266</v>
      </c>
      <c r="AD12" s="47">
        <f t="shared" si="15"/>
        <v>8965.0865408</v>
      </c>
      <c r="AE12" s="47">
        <v>6734</v>
      </c>
      <c r="AH12" s="47">
        <f t="shared" si="16"/>
        <v>27307.94094</v>
      </c>
      <c r="AI12" s="32">
        <f t="shared" si="17"/>
        <v>27307.94094</v>
      </c>
      <c r="AJ12" s="47">
        <f t="shared" si="18"/>
        <v>9014.2870272</v>
      </c>
      <c r="AK12" s="47">
        <v>6748</v>
      </c>
      <c r="AN12" s="47">
        <f t="shared" si="19"/>
        <v>12391.730010000001</v>
      </c>
      <c r="AO12" s="32">
        <f t="shared" si="20"/>
        <v>12391.730010000001</v>
      </c>
      <c r="AP12" s="47">
        <f t="shared" si="21"/>
        <v>4090.4809088</v>
      </c>
      <c r="AQ12" s="47">
        <v>3071</v>
      </c>
      <c r="AT12" s="47">
        <f t="shared" si="22"/>
        <v>19.847160000000002</v>
      </c>
      <c r="AU12" s="32">
        <f t="shared" si="23"/>
        <v>19.847160000000002</v>
      </c>
      <c r="AV12" s="47">
        <f t="shared" si="24"/>
        <v>6.5515008</v>
      </c>
      <c r="AW12" s="47">
        <v>6</v>
      </c>
      <c r="AZ12" s="47">
        <f t="shared" si="25"/>
        <v>7499.7942299999995</v>
      </c>
      <c r="BA12" s="32">
        <f t="shared" si="26"/>
        <v>7499.7942299999995</v>
      </c>
      <c r="BB12" s="47">
        <f t="shared" si="27"/>
        <v>2475.6644223999997</v>
      </c>
      <c r="BC12" s="47">
        <v>1860</v>
      </c>
      <c r="BF12" s="47">
        <f t="shared" si="28"/>
        <v>4595.10399</v>
      </c>
      <c r="BG12" s="32">
        <f t="shared" si="29"/>
        <v>4595.10399</v>
      </c>
      <c r="BH12" s="47">
        <f t="shared" si="30"/>
        <v>1516.8330112</v>
      </c>
      <c r="BI12" s="47">
        <v>1138</v>
      </c>
      <c r="BL12" s="47">
        <f t="shared" si="31"/>
        <v>2532.4586999999997</v>
      </c>
      <c r="BM12" s="32">
        <f t="shared" si="32"/>
        <v>2532.4586999999997</v>
      </c>
      <c r="BN12" s="47">
        <f t="shared" si="33"/>
        <v>835.9586559999999</v>
      </c>
      <c r="BO12" s="47">
        <v>627</v>
      </c>
      <c r="BR12" s="47">
        <f t="shared" si="34"/>
        <v>2002.13091</v>
      </c>
      <c r="BS12" s="32">
        <f t="shared" si="35"/>
        <v>2002.13091</v>
      </c>
      <c r="BT12" s="47">
        <f t="shared" si="36"/>
        <v>660.8987008</v>
      </c>
      <c r="BU12" s="47">
        <v>498</v>
      </c>
      <c r="BX12" s="47">
        <f t="shared" si="37"/>
        <v>10497.88287</v>
      </c>
      <c r="BY12" s="32">
        <f t="shared" si="38"/>
        <v>10497.88287</v>
      </c>
      <c r="BZ12" s="47">
        <f t="shared" si="39"/>
        <v>3465.3264255999998</v>
      </c>
      <c r="CA12" s="47">
        <v>2610</v>
      </c>
      <c r="CD12" s="47">
        <f t="shared" si="40"/>
        <v>709.8278399999999</v>
      </c>
      <c r="CE12" s="32">
        <f t="shared" si="41"/>
        <v>709.8278399999999</v>
      </c>
      <c r="CF12" s="47">
        <f t="shared" si="42"/>
        <v>234.3124992</v>
      </c>
      <c r="CG12" s="47">
        <v>176</v>
      </c>
      <c r="CJ12" s="47">
        <f t="shared" si="43"/>
        <v>4216.15944</v>
      </c>
      <c r="CK12" s="32">
        <f t="shared" si="44"/>
        <v>4216.15944</v>
      </c>
      <c r="CL12" s="47">
        <f t="shared" si="45"/>
        <v>1391.7443072</v>
      </c>
      <c r="CM12" s="47">
        <v>1046</v>
      </c>
      <c r="CP12" s="47">
        <f t="shared" si="46"/>
        <v>3630.2790600000003</v>
      </c>
      <c r="CQ12" s="32">
        <f t="shared" si="47"/>
        <v>3630.2790600000003</v>
      </c>
      <c r="CR12" s="47">
        <f t="shared" si="48"/>
        <v>1198.3465728</v>
      </c>
      <c r="CS12" s="47">
        <v>902</v>
      </c>
      <c r="CV12" s="47">
        <f t="shared" si="49"/>
        <v>3765.02571</v>
      </c>
      <c r="CW12" s="32">
        <f t="shared" si="50"/>
        <v>3765.02571</v>
      </c>
      <c r="CX12" s="47">
        <f t="shared" si="51"/>
        <v>1242.8261248</v>
      </c>
      <c r="CY12" s="47">
        <v>934</v>
      </c>
      <c r="DB12" s="47">
        <f t="shared" si="52"/>
        <v>1806.48072</v>
      </c>
      <c r="DC12" s="32">
        <f t="shared" si="53"/>
        <v>1806.48072</v>
      </c>
      <c r="DD12" s="47">
        <f t="shared" si="54"/>
        <v>596.3150336</v>
      </c>
      <c r="DE12" s="47">
        <v>452</v>
      </c>
      <c r="DH12" s="47">
        <f t="shared" si="55"/>
        <v>12293.85627</v>
      </c>
      <c r="DI12" s="32">
        <f t="shared" si="56"/>
        <v>12293.85627</v>
      </c>
      <c r="DJ12" s="47">
        <f t="shared" si="57"/>
        <v>4058.1730176</v>
      </c>
      <c r="DK12" s="47">
        <v>3053</v>
      </c>
      <c r="DN12" s="47">
        <f t="shared" si="58"/>
        <v>7451.4411</v>
      </c>
      <c r="DO12" s="32">
        <f t="shared" si="59"/>
        <v>7451.4411</v>
      </c>
      <c r="DP12" s="47">
        <f t="shared" si="60"/>
        <v>2459.703168</v>
      </c>
      <c r="DQ12" s="47">
        <v>1860</v>
      </c>
      <c r="DT12" s="47">
        <f t="shared" si="61"/>
        <v>97.38729</v>
      </c>
      <c r="DU12" s="32">
        <f t="shared" si="62"/>
        <v>97.38729</v>
      </c>
      <c r="DV12" s="47">
        <f t="shared" si="63"/>
        <v>32.1473152</v>
      </c>
      <c r="DW12" s="47">
        <v>24</v>
      </c>
      <c r="DZ12" s="47">
        <f t="shared" si="64"/>
        <v>17821.97136</v>
      </c>
      <c r="EA12" s="32">
        <f t="shared" si="65"/>
        <v>17821.97136</v>
      </c>
      <c r="EB12" s="47">
        <f t="shared" si="66"/>
        <v>5882.9907968</v>
      </c>
      <c r="EC12" s="47">
        <v>4416</v>
      </c>
      <c r="EF12" s="47">
        <f t="shared" si="67"/>
        <v>58.56858</v>
      </c>
      <c r="EG12" s="32">
        <f t="shared" si="68"/>
        <v>58.56858</v>
      </c>
      <c r="EH12" s="47">
        <f t="shared" si="69"/>
        <v>19.3333504</v>
      </c>
      <c r="EI12" s="47">
        <v>14</v>
      </c>
      <c r="EL12" s="47">
        <f t="shared" si="70"/>
        <v>1360.69794</v>
      </c>
      <c r="EM12" s="32">
        <f t="shared" si="71"/>
        <v>1360.69794</v>
      </c>
      <c r="EN12" s="47">
        <f t="shared" si="72"/>
        <v>449.16318720000004</v>
      </c>
      <c r="EO12" s="47">
        <v>337</v>
      </c>
    </row>
    <row r="13" spans="1:145" ht="12.75">
      <c r="A13" s="48">
        <v>43374</v>
      </c>
      <c r="C13" s="34">
        <f>'2012D'!C13</f>
        <v>4055000</v>
      </c>
      <c r="D13" s="34">
        <f>'2012D'!D13</f>
        <v>972900</v>
      </c>
      <c r="E13" s="34">
        <f t="shared" si="0"/>
        <v>5027900</v>
      </c>
      <c r="F13" s="34">
        <f>'2012D'!F13</f>
        <v>321152</v>
      </c>
      <c r="G13" s="34">
        <f>'2012D'!G13</f>
        <v>241163</v>
      </c>
      <c r="I13" s="67">
        <f t="shared" si="1"/>
        <v>682991.3545</v>
      </c>
      <c r="J13" s="47">
        <f t="shared" si="2"/>
        <v>163867.39551000006</v>
      </c>
      <c r="K13" s="47">
        <f t="shared" si="3"/>
        <v>846858.7500100001</v>
      </c>
      <c r="L13" s="47">
        <f t="shared" si="4"/>
        <v>54092.2415488</v>
      </c>
      <c r="M13" s="47">
        <f t="shared" si="5"/>
        <v>40629</v>
      </c>
      <c r="O13" s="32">
        <f t="shared" si="6"/>
        <v>52656.2025</v>
      </c>
      <c r="P13" s="47">
        <f t="shared" si="7"/>
        <v>12633.59295</v>
      </c>
      <c r="Q13" s="47">
        <f t="shared" si="8"/>
        <v>65289.79545</v>
      </c>
      <c r="R13" s="47">
        <f t="shared" si="9"/>
        <v>4170.319296000001</v>
      </c>
      <c r="S13" s="47">
        <v>3128</v>
      </c>
      <c r="U13" s="32">
        <f>$C13*W$7</f>
        <v>16739.851000000002</v>
      </c>
      <c r="V13" s="47">
        <f t="shared" si="10"/>
        <v>4016.32578</v>
      </c>
      <c r="W13" s="32">
        <f t="shared" si="11"/>
        <v>20756.17678</v>
      </c>
      <c r="X13" s="47">
        <f t="shared" si="12"/>
        <v>1325.7796864000002</v>
      </c>
      <c r="Y13" s="47">
        <v>995</v>
      </c>
      <c r="AA13" s="32">
        <f>$C13*AC$7</f>
        <v>113196.947</v>
      </c>
      <c r="AB13" s="47">
        <f t="shared" si="13"/>
        <v>27158.89266</v>
      </c>
      <c r="AC13" s="32">
        <f t="shared" si="14"/>
        <v>140355.83966</v>
      </c>
      <c r="AD13" s="47">
        <f t="shared" si="15"/>
        <v>8965.0865408</v>
      </c>
      <c r="AE13" s="47">
        <v>6734</v>
      </c>
      <c r="AG13" s="32">
        <f>$C13*AI$7</f>
        <v>113818.173</v>
      </c>
      <c r="AH13" s="47">
        <f t="shared" si="16"/>
        <v>27307.94094</v>
      </c>
      <c r="AI13" s="32">
        <f t="shared" si="17"/>
        <v>141126.11394</v>
      </c>
      <c r="AJ13" s="47">
        <f t="shared" si="18"/>
        <v>9014.2870272</v>
      </c>
      <c r="AK13" s="47">
        <v>6748</v>
      </c>
      <c r="AM13" s="32">
        <f>$C13*AO$7</f>
        <v>51648.1295</v>
      </c>
      <c r="AN13" s="47">
        <f t="shared" si="19"/>
        <v>12391.730010000001</v>
      </c>
      <c r="AO13" s="32">
        <f t="shared" si="20"/>
        <v>64039.85951</v>
      </c>
      <c r="AP13" s="47">
        <f t="shared" si="21"/>
        <v>4090.4809088</v>
      </c>
      <c r="AQ13" s="47">
        <v>3071</v>
      </c>
      <c r="AS13" s="32">
        <f>$C13*AU$7</f>
        <v>82.72200000000001</v>
      </c>
      <c r="AT13" s="47">
        <f t="shared" si="22"/>
        <v>19.847160000000002</v>
      </c>
      <c r="AU13" s="32">
        <f t="shared" si="23"/>
        <v>102.56916000000001</v>
      </c>
      <c r="AV13" s="47">
        <f t="shared" si="24"/>
        <v>6.5515008</v>
      </c>
      <c r="AW13" s="47">
        <v>6</v>
      </c>
      <c r="AY13" s="32">
        <f>$C13*BA$7</f>
        <v>31258.7785</v>
      </c>
      <c r="AZ13" s="47">
        <f t="shared" si="25"/>
        <v>7499.7942299999995</v>
      </c>
      <c r="BA13" s="32">
        <f t="shared" si="26"/>
        <v>38758.57273</v>
      </c>
      <c r="BB13" s="47">
        <f t="shared" si="27"/>
        <v>2475.6644223999997</v>
      </c>
      <c r="BC13" s="47">
        <v>1860</v>
      </c>
      <c r="BE13" s="32">
        <f>$C13*BG$7</f>
        <v>19152.1705</v>
      </c>
      <c r="BF13" s="47">
        <f t="shared" si="28"/>
        <v>4595.10399</v>
      </c>
      <c r="BG13" s="32">
        <f t="shared" si="29"/>
        <v>23747.27449</v>
      </c>
      <c r="BH13" s="47">
        <f t="shared" si="30"/>
        <v>1516.8330112</v>
      </c>
      <c r="BI13" s="47">
        <v>1138</v>
      </c>
      <c r="BK13" s="32">
        <f>$C13*BM$7</f>
        <v>10555.164999999999</v>
      </c>
      <c r="BL13" s="47">
        <f t="shared" si="31"/>
        <v>2532.4586999999997</v>
      </c>
      <c r="BM13" s="32">
        <f t="shared" si="32"/>
        <v>13087.623699999998</v>
      </c>
      <c r="BN13" s="47">
        <f t="shared" si="33"/>
        <v>835.9586559999999</v>
      </c>
      <c r="BO13" s="47">
        <v>627</v>
      </c>
      <c r="BQ13" s="32">
        <f>$C13*BS$7</f>
        <v>8344.7845</v>
      </c>
      <c r="BR13" s="47">
        <f t="shared" si="34"/>
        <v>2002.13091</v>
      </c>
      <c r="BS13" s="32">
        <f t="shared" si="35"/>
        <v>10346.91541</v>
      </c>
      <c r="BT13" s="47">
        <f t="shared" si="36"/>
        <v>660.8987008</v>
      </c>
      <c r="BU13" s="47">
        <v>498</v>
      </c>
      <c r="BW13" s="32">
        <f>$C13*BY$7</f>
        <v>43754.6665</v>
      </c>
      <c r="BX13" s="47">
        <f t="shared" si="37"/>
        <v>10497.88287</v>
      </c>
      <c r="BY13" s="32">
        <f t="shared" si="38"/>
        <v>54252.54937</v>
      </c>
      <c r="BZ13" s="47">
        <f t="shared" si="39"/>
        <v>3465.3264255999998</v>
      </c>
      <c r="CA13" s="47">
        <v>2610</v>
      </c>
      <c r="CC13" s="32">
        <f>$C13*CE$7</f>
        <v>2958.528</v>
      </c>
      <c r="CD13" s="47">
        <f t="shared" si="40"/>
        <v>709.8278399999999</v>
      </c>
      <c r="CE13" s="32">
        <f t="shared" si="41"/>
        <v>3668.3558399999997</v>
      </c>
      <c r="CF13" s="47">
        <f t="shared" si="42"/>
        <v>234.3124992</v>
      </c>
      <c r="CG13" s="47">
        <v>176</v>
      </c>
      <c r="CI13" s="32">
        <f>$C13*CK$7</f>
        <v>17572.748</v>
      </c>
      <c r="CJ13" s="47">
        <f t="shared" si="43"/>
        <v>4216.15944</v>
      </c>
      <c r="CK13" s="32">
        <f t="shared" si="44"/>
        <v>21788.90744</v>
      </c>
      <c r="CL13" s="47">
        <f t="shared" si="45"/>
        <v>1391.7443072</v>
      </c>
      <c r="CM13" s="47">
        <v>1046</v>
      </c>
      <c r="CO13" s="32">
        <f>$C13*CQ$7</f>
        <v>15130.827000000001</v>
      </c>
      <c r="CP13" s="47">
        <f t="shared" si="46"/>
        <v>3630.2790600000003</v>
      </c>
      <c r="CQ13" s="32">
        <f t="shared" si="47"/>
        <v>18761.106060000002</v>
      </c>
      <c r="CR13" s="47">
        <f t="shared" si="48"/>
        <v>1198.3465728</v>
      </c>
      <c r="CS13" s="47">
        <v>902</v>
      </c>
      <c r="CU13" s="32">
        <f>$C13*CW$7</f>
        <v>15692.4445</v>
      </c>
      <c r="CV13" s="47">
        <f t="shared" si="49"/>
        <v>3765.02571</v>
      </c>
      <c r="CW13" s="32">
        <f t="shared" si="50"/>
        <v>19457.47021</v>
      </c>
      <c r="CX13" s="47">
        <f t="shared" si="51"/>
        <v>1242.8261248</v>
      </c>
      <c r="CY13" s="47">
        <v>934</v>
      </c>
      <c r="DA13" s="32">
        <f>$C13*DC$7</f>
        <v>7529.3240000000005</v>
      </c>
      <c r="DB13" s="47">
        <f t="shared" si="52"/>
        <v>1806.48072</v>
      </c>
      <c r="DC13" s="32">
        <f t="shared" si="53"/>
        <v>9335.80472</v>
      </c>
      <c r="DD13" s="47">
        <f t="shared" si="54"/>
        <v>596.3150336</v>
      </c>
      <c r="DE13" s="47">
        <v>452</v>
      </c>
      <c r="DG13" s="32">
        <f>$C13*DI$7</f>
        <v>51240.1965</v>
      </c>
      <c r="DH13" s="47">
        <f t="shared" si="55"/>
        <v>12293.85627</v>
      </c>
      <c r="DI13" s="32">
        <f t="shared" si="56"/>
        <v>63534.052769999995</v>
      </c>
      <c r="DJ13" s="47">
        <f t="shared" si="57"/>
        <v>4058.1730176</v>
      </c>
      <c r="DK13" s="47">
        <v>3053</v>
      </c>
      <c r="DM13" s="32">
        <f>$C13*DO$7</f>
        <v>31057.245</v>
      </c>
      <c r="DN13" s="47">
        <f t="shared" si="58"/>
        <v>7451.4411</v>
      </c>
      <c r="DO13" s="32">
        <f t="shared" si="59"/>
        <v>38508.6861</v>
      </c>
      <c r="DP13" s="47">
        <f t="shared" si="60"/>
        <v>2459.703168</v>
      </c>
      <c r="DQ13" s="47">
        <v>1860</v>
      </c>
      <c r="DS13" s="32">
        <f>$C13*DU$7</f>
        <v>405.90549999999996</v>
      </c>
      <c r="DT13" s="47">
        <f t="shared" si="61"/>
        <v>97.38729</v>
      </c>
      <c r="DU13" s="32">
        <f t="shared" si="62"/>
        <v>503.29278999999997</v>
      </c>
      <c r="DV13" s="47">
        <f t="shared" si="63"/>
        <v>32.1473152</v>
      </c>
      <c r="DW13" s="47">
        <v>24</v>
      </c>
      <c r="DY13" s="32">
        <f>$C13*EA$7</f>
        <v>74281.112</v>
      </c>
      <c r="DZ13" s="47">
        <f t="shared" si="64"/>
        <v>17821.97136</v>
      </c>
      <c r="EA13" s="32">
        <f t="shared" si="65"/>
        <v>92103.08335999999</v>
      </c>
      <c r="EB13" s="47">
        <f t="shared" si="66"/>
        <v>5882.9907968</v>
      </c>
      <c r="EC13" s="47">
        <v>4416</v>
      </c>
      <c r="EE13" s="32">
        <f>$C13*EG$7</f>
        <v>244.111</v>
      </c>
      <c r="EF13" s="47">
        <f t="shared" si="67"/>
        <v>58.56858</v>
      </c>
      <c r="EG13" s="32">
        <f t="shared" si="68"/>
        <v>302.67958</v>
      </c>
      <c r="EH13" s="47">
        <f t="shared" si="69"/>
        <v>19.3333504</v>
      </c>
      <c r="EI13" s="47">
        <v>14</v>
      </c>
      <c r="EK13" s="32">
        <f>$C13*EM$7</f>
        <v>5671.323</v>
      </c>
      <c r="EL13" s="47">
        <f t="shared" si="70"/>
        <v>1360.69794</v>
      </c>
      <c r="EM13" s="32">
        <f t="shared" si="71"/>
        <v>7032.02094</v>
      </c>
      <c r="EN13" s="47">
        <f t="shared" si="72"/>
        <v>449.16318720000004</v>
      </c>
      <c r="EO13" s="47">
        <v>337</v>
      </c>
    </row>
    <row r="14" spans="1:145" ht="12.75">
      <c r="A14" s="48">
        <v>43556</v>
      </c>
      <c r="C14" s="34">
        <f>'2012D'!C14</f>
        <v>0</v>
      </c>
      <c r="D14" s="34">
        <f>'2012D'!D14</f>
        <v>871525</v>
      </c>
      <c r="E14" s="34">
        <f t="shared" si="0"/>
        <v>871525</v>
      </c>
      <c r="F14" s="34">
        <f>'2012D'!F14</f>
        <v>321152</v>
      </c>
      <c r="G14" s="34">
        <f>'2012D'!G14</f>
        <v>241163</v>
      </c>
      <c r="I14" s="67"/>
      <c r="J14" s="47">
        <f t="shared" si="2"/>
        <v>146792.6116475</v>
      </c>
      <c r="K14" s="47">
        <f t="shared" si="3"/>
        <v>146792.6116475</v>
      </c>
      <c r="L14" s="47">
        <f t="shared" si="4"/>
        <v>54092.2415488</v>
      </c>
      <c r="M14" s="47">
        <f t="shared" si="5"/>
        <v>40629</v>
      </c>
      <c r="P14" s="47">
        <f t="shared" si="7"/>
        <v>11317.1878875</v>
      </c>
      <c r="Q14" s="47">
        <f t="shared" si="8"/>
        <v>11317.1878875</v>
      </c>
      <c r="R14" s="47">
        <f t="shared" si="9"/>
        <v>4170.319296000001</v>
      </c>
      <c r="S14" s="47">
        <v>3128</v>
      </c>
      <c r="V14" s="47">
        <f t="shared" si="10"/>
        <v>3597.829505</v>
      </c>
      <c r="W14" s="32">
        <f t="shared" si="11"/>
        <v>3597.829505</v>
      </c>
      <c r="X14" s="47">
        <f t="shared" si="12"/>
        <v>1325.7796864000002</v>
      </c>
      <c r="Y14" s="47">
        <v>995</v>
      </c>
      <c r="AB14" s="47">
        <f t="shared" si="13"/>
        <v>24328.968985</v>
      </c>
      <c r="AC14" s="32">
        <f t="shared" si="14"/>
        <v>24328.968985</v>
      </c>
      <c r="AD14" s="47">
        <f t="shared" si="15"/>
        <v>8965.0865408</v>
      </c>
      <c r="AE14" s="47">
        <v>6734</v>
      </c>
      <c r="AH14" s="47">
        <f t="shared" si="16"/>
        <v>24462.486614999998</v>
      </c>
      <c r="AI14" s="32">
        <f t="shared" si="17"/>
        <v>24462.486614999998</v>
      </c>
      <c r="AJ14" s="47">
        <f t="shared" si="18"/>
        <v>9014.2870272</v>
      </c>
      <c r="AK14" s="47">
        <v>6748</v>
      </c>
      <c r="AN14" s="47">
        <f t="shared" si="19"/>
        <v>11100.526772500001</v>
      </c>
      <c r="AO14" s="32">
        <f t="shared" si="20"/>
        <v>11100.526772500001</v>
      </c>
      <c r="AP14" s="47">
        <f t="shared" si="21"/>
        <v>4090.4809088</v>
      </c>
      <c r="AQ14" s="47">
        <v>3071</v>
      </c>
      <c r="AT14" s="47">
        <f t="shared" si="22"/>
        <v>17.77911</v>
      </c>
      <c r="AU14" s="32">
        <f t="shared" si="23"/>
        <v>17.77911</v>
      </c>
      <c r="AV14" s="47">
        <f t="shared" si="24"/>
        <v>6.5515008</v>
      </c>
      <c r="AW14" s="47">
        <v>6</v>
      </c>
      <c r="AZ14" s="47">
        <f t="shared" si="25"/>
        <v>6718.3247675</v>
      </c>
      <c r="BA14" s="32">
        <f t="shared" si="26"/>
        <v>6718.3247675</v>
      </c>
      <c r="BB14" s="47">
        <f t="shared" si="27"/>
        <v>2475.6644223999997</v>
      </c>
      <c r="BC14" s="47">
        <v>1860</v>
      </c>
      <c r="BF14" s="47">
        <f t="shared" si="28"/>
        <v>4116.2997275</v>
      </c>
      <c r="BG14" s="32">
        <f t="shared" si="29"/>
        <v>4116.2997275</v>
      </c>
      <c r="BH14" s="47">
        <f t="shared" si="30"/>
        <v>1516.8330112</v>
      </c>
      <c r="BI14" s="47">
        <v>1138</v>
      </c>
      <c r="BL14" s="47">
        <f t="shared" si="31"/>
        <v>2268.5795749999997</v>
      </c>
      <c r="BM14" s="32">
        <f t="shared" si="32"/>
        <v>2268.5795749999997</v>
      </c>
      <c r="BN14" s="47">
        <f t="shared" si="33"/>
        <v>835.9586559999999</v>
      </c>
      <c r="BO14" s="47">
        <v>627</v>
      </c>
      <c r="BR14" s="47">
        <f t="shared" si="34"/>
        <v>1793.5112975000002</v>
      </c>
      <c r="BS14" s="32">
        <f t="shared" si="35"/>
        <v>1793.5112975000002</v>
      </c>
      <c r="BT14" s="47">
        <f t="shared" si="36"/>
        <v>660.8987008</v>
      </c>
      <c r="BU14" s="47">
        <v>498</v>
      </c>
      <c r="BX14" s="47">
        <f t="shared" si="37"/>
        <v>9404.016207499999</v>
      </c>
      <c r="BY14" s="32">
        <f t="shared" si="38"/>
        <v>9404.016207499999</v>
      </c>
      <c r="BZ14" s="47">
        <f t="shared" si="39"/>
        <v>3465.3264255999998</v>
      </c>
      <c r="CA14" s="47">
        <v>2610</v>
      </c>
      <c r="CD14" s="47">
        <f t="shared" si="40"/>
        <v>635.86464</v>
      </c>
      <c r="CE14" s="32">
        <f t="shared" si="41"/>
        <v>635.86464</v>
      </c>
      <c r="CF14" s="47">
        <f t="shared" si="42"/>
        <v>234.3124992</v>
      </c>
      <c r="CG14" s="47">
        <v>176</v>
      </c>
      <c r="CJ14" s="47">
        <f t="shared" si="43"/>
        <v>3776.84074</v>
      </c>
      <c r="CK14" s="32">
        <f t="shared" si="44"/>
        <v>3776.84074</v>
      </c>
      <c r="CL14" s="47">
        <f t="shared" si="45"/>
        <v>1391.7443072</v>
      </c>
      <c r="CM14" s="47">
        <v>1046</v>
      </c>
      <c r="CP14" s="47">
        <f t="shared" si="46"/>
        <v>3252.008385</v>
      </c>
      <c r="CQ14" s="32">
        <f t="shared" si="47"/>
        <v>3252.008385</v>
      </c>
      <c r="CR14" s="47">
        <f t="shared" si="48"/>
        <v>1198.3465728</v>
      </c>
      <c r="CS14" s="47">
        <v>902</v>
      </c>
      <c r="CV14" s="47">
        <f t="shared" si="49"/>
        <v>3372.7145975</v>
      </c>
      <c r="CW14" s="32">
        <f t="shared" si="50"/>
        <v>3372.7145975</v>
      </c>
      <c r="CX14" s="47">
        <f t="shared" si="51"/>
        <v>1242.8261248</v>
      </c>
      <c r="CY14" s="47">
        <v>934</v>
      </c>
      <c r="DB14" s="47">
        <f t="shared" si="52"/>
        <v>1618.24762</v>
      </c>
      <c r="DC14" s="32">
        <f t="shared" si="53"/>
        <v>1618.24762</v>
      </c>
      <c r="DD14" s="47">
        <f t="shared" si="54"/>
        <v>596.3150336</v>
      </c>
      <c r="DE14" s="47">
        <v>452</v>
      </c>
      <c r="DH14" s="47">
        <f t="shared" si="55"/>
        <v>11012.8513575</v>
      </c>
      <c r="DI14" s="32">
        <f t="shared" si="56"/>
        <v>11012.8513575</v>
      </c>
      <c r="DJ14" s="47">
        <f t="shared" si="57"/>
        <v>4058.1730176</v>
      </c>
      <c r="DK14" s="47">
        <v>3053</v>
      </c>
      <c r="DN14" s="47">
        <f t="shared" si="58"/>
        <v>6675.009975</v>
      </c>
      <c r="DO14" s="32">
        <f t="shared" si="59"/>
        <v>6675.009975</v>
      </c>
      <c r="DP14" s="47">
        <f t="shared" si="60"/>
        <v>2459.703168</v>
      </c>
      <c r="DQ14" s="47">
        <v>1860</v>
      </c>
      <c r="DT14" s="47">
        <f t="shared" si="61"/>
        <v>87.23965249999999</v>
      </c>
      <c r="DU14" s="32">
        <f t="shared" si="62"/>
        <v>87.23965249999999</v>
      </c>
      <c r="DV14" s="47">
        <f t="shared" si="63"/>
        <v>32.1473152</v>
      </c>
      <c r="DW14" s="47">
        <v>24</v>
      </c>
      <c r="DZ14" s="47">
        <f t="shared" si="64"/>
        <v>15964.943559999998</v>
      </c>
      <c r="EA14" s="32">
        <f t="shared" si="65"/>
        <v>15964.943559999998</v>
      </c>
      <c r="EB14" s="47">
        <f t="shared" si="66"/>
        <v>5882.9907968</v>
      </c>
      <c r="EC14" s="47">
        <v>4416</v>
      </c>
      <c r="EF14" s="47">
        <f t="shared" si="67"/>
        <v>52.465805</v>
      </c>
      <c r="EG14" s="32">
        <f t="shared" si="68"/>
        <v>52.465805</v>
      </c>
      <c r="EH14" s="47">
        <f t="shared" si="69"/>
        <v>19.3333504</v>
      </c>
      <c r="EI14" s="47">
        <v>14</v>
      </c>
      <c r="EL14" s="47">
        <f t="shared" si="70"/>
        <v>1218.914865</v>
      </c>
      <c r="EM14" s="32">
        <f t="shared" si="71"/>
        <v>1218.914865</v>
      </c>
      <c r="EN14" s="47">
        <f t="shared" si="72"/>
        <v>449.16318720000004</v>
      </c>
      <c r="EO14" s="47">
        <v>337</v>
      </c>
    </row>
    <row r="15" spans="1:145" ht="12.75">
      <c r="A15" s="48">
        <v>43739</v>
      </c>
      <c r="C15" s="34">
        <f>'2012D'!C15</f>
        <v>4265000</v>
      </c>
      <c r="D15" s="34">
        <f>'2012D'!D15</f>
        <v>871525</v>
      </c>
      <c r="E15" s="34">
        <f t="shared" si="0"/>
        <v>5136525</v>
      </c>
      <c r="F15" s="34">
        <f>'2012D'!F15</f>
        <v>321152</v>
      </c>
      <c r="G15" s="34">
        <f>'2012D'!G15</f>
        <v>241163</v>
      </c>
      <c r="I15" s="67">
        <f t="shared" si="1"/>
        <v>718362.0534999999</v>
      </c>
      <c r="J15" s="47">
        <f t="shared" si="2"/>
        <v>146792.6116475</v>
      </c>
      <c r="K15" s="47">
        <f t="shared" si="3"/>
        <v>865154.6651474999</v>
      </c>
      <c r="L15" s="47">
        <f t="shared" si="4"/>
        <v>54092.2415488</v>
      </c>
      <c r="M15" s="47">
        <f t="shared" si="5"/>
        <v>40629</v>
      </c>
      <c r="O15" s="32">
        <f t="shared" si="6"/>
        <v>55383.1575</v>
      </c>
      <c r="P15" s="47">
        <f t="shared" si="7"/>
        <v>11317.1878875</v>
      </c>
      <c r="Q15" s="47">
        <f t="shared" si="8"/>
        <v>66700.3453875</v>
      </c>
      <c r="R15" s="47">
        <f t="shared" si="9"/>
        <v>4170.319296000001</v>
      </c>
      <c r="S15" s="47">
        <v>3128</v>
      </c>
      <c r="U15" s="32">
        <f>$C15*W$7</f>
        <v>17606.773</v>
      </c>
      <c r="V15" s="47">
        <f t="shared" si="10"/>
        <v>3597.829505</v>
      </c>
      <c r="W15" s="32">
        <f t="shared" si="11"/>
        <v>21204.602505000003</v>
      </c>
      <c r="X15" s="47">
        <f t="shared" si="12"/>
        <v>1325.7796864000002</v>
      </c>
      <c r="Y15" s="47">
        <v>995</v>
      </c>
      <c r="AA15" s="32">
        <f>$C15*AC$7</f>
        <v>119059.181</v>
      </c>
      <c r="AB15" s="47">
        <f t="shared" si="13"/>
        <v>24328.968985</v>
      </c>
      <c r="AC15" s="32">
        <f t="shared" si="14"/>
        <v>143388.149985</v>
      </c>
      <c r="AD15" s="47">
        <f t="shared" si="15"/>
        <v>8965.0865408</v>
      </c>
      <c r="AE15" s="47">
        <v>6734</v>
      </c>
      <c r="AG15" s="32">
        <f>$C15*AI$7</f>
        <v>119712.579</v>
      </c>
      <c r="AH15" s="47">
        <f t="shared" si="16"/>
        <v>24462.486614999998</v>
      </c>
      <c r="AI15" s="32">
        <f t="shared" si="17"/>
        <v>144175.065615</v>
      </c>
      <c r="AJ15" s="47">
        <f t="shared" si="18"/>
        <v>9014.2870272</v>
      </c>
      <c r="AK15" s="47">
        <v>6748</v>
      </c>
      <c r="AM15" s="32">
        <f>$C15*AO$7</f>
        <v>54322.878500000006</v>
      </c>
      <c r="AN15" s="47">
        <f t="shared" si="19"/>
        <v>11100.526772500001</v>
      </c>
      <c r="AO15" s="32">
        <f t="shared" si="20"/>
        <v>65423.40527250001</v>
      </c>
      <c r="AP15" s="47">
        <f t="shared" si="21"/>
        <v>4090.4809088</v>
      </c>
      <c r="AQ15" s="47">
        <v>3071</v>
      </c>
      <c r="AS15" s="32">
        <f>$C15*AU$7</f>
        <v>87.006</v>
      </c>
      <c r="AT15" s="47">
        <f t="shared" si="22"/>
        <v>17.77911</v>
      </c>
      <c r="AU15" s="32">
        <f t="shared" si="23"/>
        <v>104.78511</v>
      </c>
      <c r="AV15" s="47">
        <f t="shared" si="24"/>
        <v>6.5515008</v>
      </c>
      <c r="AW15" s="47">
        <v>6</v>
      </c>
      <c r="AY15" s="32">
        <f>$C15*BA$7</f>
        <v>32877.6055</v>
      </c>
      <c r="AZ15" s="47">
        <f t="shared" si="25"/>
        <v>6718.3247675</v>
      </c>
      <c r="BA15" s="32">
        <f t="shared" si="26"/>
        <v>39595.9302675</v>
      </c>
      <c r="BB15" s="47">
        <f t="shared" si="27"/>
        <v>2475.6644223999997</v>
      </c>
      <c r="BC15" s="47">
        <v>1860</v>
      </c>
      <c r="BE15" s="32">
        <f>$C15*BG$7</f>
        <v>20144.0215</v>
      </c>
      <c r="BF15" s="47">
        <f t="shared" si="28"/>
        <v>4116.2997275</v>
      </c>
      <c r="BG15" s="32">
        <f t="shared" si="29"/>
        <v>24260.321227499997</v>
      </c>
      <c r="BH15" s="47">
        <f t="shared" si="30"/>
        <v>1516.8330112</v>
      </c>
      <c r="BI15" s="47">
        <v>1138</v>
      </c>
      <c r="BK15" s="32">
        <f>$C15*BM$7</f>
        <v>11101.795</v>
      </c>
      <c r="BL15" s="47">
        <f t="shared" si="31"/>
        <v>2268.5795749999997</v>
      </c>
      <c r="BM15" s="32">
        <f t="shared" si="32"/>
        <v>13370.374575</v>
      </c>
      <c r="BN15" s="47">
        <f t="shared" si="33"/>
        <v>835.9586559999999</v>
      </c>
      <c r="BO15" s="47">
        <v>627</v>
      </c>
      <c r="BQ15" s="32">
        <f>$C15*BS$7</f>
        <v>8776.943500000001</v>
      </c>
      <c r="BR15" s="47">
        <f t="shared" si="34"/>
        <v>1793.5112975000002</v>
      </c>
      <c r="BS15" s="32">
        <f t="shared" si="35"/>
        <v>10570.454797500002</v>
      </c>
      <c r="BT15" s="47">
        <f t="shared" si="36"/>
        <v>660.8987008</v>
      </c>
      <c r="BU15" s="47">
        <v>498</v>
      </c>
      <c r="BW15" s="32">
        <f>$C15*BY$7</f>
        <v>46020.629499999995</v>
      </c>
      <c r="BX15" s="47">
        <f t="shared" si="37"/>
        <v>9404.016207499999</v>
      </c>
      <c r="BY15" s="32">
        <f t="shared" si="38"/>
        <v>55424.64570749999</v>
      </c>
      <c r="BZ15" s="47">
        <f t="shared" si="39"/>
        <v>3465.3264255999998</v>
      </c>
      <c r="CA15" s="47">
        <v>2610</v>
      </c>
      <c r="CC15" s="32">
        <f>$C15*CE$7</f>
        <v>3111.7439999999997</v>
      </c>
      <c r="CD15" s="47">
        <f t="shared" si="40"/>
        <v>635.86464</v>
      </c>
      <c r="CE15" s="32">
        <f t="shared" si="41"/>
        <v>3747.6086399999995</v>
      </c>
      <c r="CF15" s="47">
        <f t="shared" si="42"/>
        <v>234.3124992</v>
      </c>
      <c r="CG15" s="47">
        <v>176</v>
      </c>
      <c r="CI15" s="32">
        <f>$C15*CK$7</f>
        <v>18482.804</v>
      </c>
      <c r="CJ15" s="47">
        <f t="shared" si="43"/>
        <v>3776.84074</v>
      </c>
      <c r="CK15" s="32">
        <f t="shared" si="44"/>
        <v>22259.64474</v>
      </c>
      <c r="CL15" s="47">
        <f t="shared" si="45"/>
        <v>1391.7443072</v>
      </c>
      <c r="CM15" s="47">
        <v>1046</v>
      </c>
      <c r="CO15" s="32">
        <f>$C15*CQ$7</f>
        <v>15914.421</v>
      </c>
      <c r="CP15" s="47">
        <f t="shared" si="46"/>
        <v>3252.008385</v>
      </c>
      <c r="CQ15" s="32">
        <f t="shared" si="47"/>
        <v>19166.429385</v>
      </c>
      <c r="CR15" s="47">
        <f t="shared" si="48"/>
        <v>1198.3465728</v>
      </c>
      <c r="CS15" s="47">
        <v>902</v>
      </c>
      <c r="CU15" s="32">
        <f>$C15*CW$7</f>
        <v>16505.123499999998</v>
      </c>
      <c r="CV15" s="47">
        <f t="shared" si="49"/>
        <v>3372.7145975</v>
      </c>
      <c r="CW15" s="32">
        <f t="shared" si="50"/>
        <v>19877.838097499996</v>
      </c>
      <c r="CX15" s="47">
        <f t="shared" si="51"/>
        <v>1242.8261248</v>
      </c>
      <c r="CY15" s="47">
        <v>934</v>
      </c>
      <c r="DA15" s="32">
        <f>$C15*DC$7</f>
        <v>7919.252</v>
      </c>
      <c r="DB15" s="47">
        <f t="shared" si="52"/>
        <v>1618.24762</v>
      </c>
      <c r="DC15" s="32">
        <f t="shared" si="53"/>
        <v>9537.49962</v>
      </c>
      <c r="DD15" s="47">
        <f t="shared" si="54"/>
        <v>596.3150336</v>
      </c>
      <c r="DE15" s="47">
        <v>452</v>
      </c>
      <c r="DG15" s="32">
        <f>$C15*DI$7</f>
        <v>53893.8195</v>
      </c>
      <c r="DH15" s="47">
        <f t="shared" si="55"/>
        <v>11012.8513575</v>
      </c>
      <c r="DI15" s="32">
        <f t="shared" si="56"/>
        <v>64906.670857499994</v>
      </c>
      <c r="DJ15" s="47">
        <f t="shared" si="57"/>
        <v>4058.1730176</v>
      </c>
      <c r="DK15" s="47">
        <v>3053</v>
      </c>
      <c r="DM15" s="32">
        <f>$C15*DO$7</f>
        <v>32665.635</v>
      </c>
      <c r="DN15" s="47">
        <f t="shared" si="58"/>
        <v>6675.009975</v>
      </c>
      <c r="DO15" s="32">
        <f t="shared" si="59"/>
        <v>39340.644974999996</v>
      </c>
      <c r="DP15" s="47">
        <f t="shared" si="60"/>
        <v>2459.703168</v>
      </c>
      <c r="DQ15" s="47">
        <v>1860</v>
      </c>
      <c r="DS15" s="32">
        <f>$C15*DU$7</f>
        <v>426.9265</v>
      </c>
      <c r="DT15" s="47">
        <f t="shared" si="61"/>
        <v>87.23965249999999</v>
      </c>
      <c r="DU15" s="32">
        <f t="shared" si="62"/>
        <v>514.1661525</v>
      </c>
      <c r="DV15" s="47">
        <f t="shared" si="63"/>
        <v>32.1473152</v>
      </c>
      <c r="DW15" s="47">
        <v>24</v>
      </c>
      <c r="DY15" s="32">
        <f>$C15*EA$7</f>
        <v>78127.976</v>
      </c>
      <c r="DZ15" s="47">
        <f t="shared" si="64"/>
        <v>15964.943559999998</v>
      </c>
      <c r="EA15" s="32">
        <f t="shared" si="65"/>
        <v>94092.91956</v>
      </c>
      <c r="EB15" s="47">
        <f t="shared" si="66"/>
        <v>5882.9907968</v>
      </c>
      <c r="EC15" s="47">
        <v>4416</v>
      </c>
      <c r="EE15" s="32">
        <f>$C15*EG$7</f>
        <v>256.753</v>
      </c>
      <c r="EF15" s="47">
        <f t="shared" si="67"/>
        <v>52.465805</v>
      </c>
      <c r="EG15" s="32">
        <f t="shared" si="68"/>
        <v>309.218805</v>
      </c>
      <c r="EH15" s="47">
        <f t="shared" si="69"/>
        <v>19.3333504</v>
      </c>
      <c r="EI15" s="47">
        <v>14</v>
      </c>
      <c r="EK15" s="32">
        <f>$C15*EM$7</f>
        <v>5965.029</v>
      </c>
      <c r="EL15" s="47">
        <f t="shared" si="70"/>
        <v>1218.914865</v>
      </c>
      <c r="EM15" s="32">
        <f t="shared" si="71"/>
        <v>7183.943865</v>
      </c>
      <c r="EN15" s="47">
        <f t="shared" si="72"/>
        <v>449.16318720000004</v>
      </c>
      <c r="EO15" s="47">
        <v>337</v>
      </c>
    </row>
    <row r="16" spans="1:145" ht="12.75">
      <c r="A16" s="48">
        <v>43922</v>
      </c>
      <c r="B16" s="49"/>
      <c r="C16" s="34">
        <f>'2012D'!C16</f>
        <v>0</v>
      </c>
      <c r="D16" s="34">
        <f>'2012D'!D16</f>
        <v>764900</v>
      </c>
      <c r="E16" s="34">
        <f t="shared" si="0"/>
        <v>764900</v>
      </c>
      <c r="F16" s="34">
        <f>'2012D'!F16</f>
        <v>321152</v>
      </c>
      <c r="G16" s="34">
        <f>'2012D'!G16</f>
        <v>241163</v>
      </c>
      <c r="I16" s="67"/>
      <c r="J16" s="47">
        <f t="shared" si="2"/>
        <v>128833.56030999999</v>
      </c>
      <c r="K16" s="47">
        <f t="shared" si="3"/>
        <v>128833.56030999999</v>
      </c>
      <c r="L16" s="47">
        <f t="shared" si="4"/>
        <v>54092.2415488</v>
      </c>
      <c r="M16" s="47">
        <f t="shared" si="5"/>
        <v>40629</v>
      </c>
      <c r="P16" s="47">
        <f t="shared" si="7"/>
        <v>9932.60895</v>
      </c>
      <c r="Q16" s="47">
        <f t="shared" si="8"/>
        <v>9932.60895</v>
      </c>
      <c r="R16" s="47">
        <f t="shared" si="9"/>
        <v>4170.319296000001</v>
      </c>
      <c r="S16" s="47">
        <v>3128</v>
      </c>
      <c r="V16" s="47">
        <f t="shared" si="10"/>
        <v>3157.6601800000003</v>
      </c>
      <c r="W16" s="32">
        <f t="shared" si="11"/>
        <v>3157.6601800000003</v>
      </c>
      <c r="X16" s="47">
        <f t="shared" si="12"/>
        <v>1325.7796864000002</v>
      </c>
      <c r="Y16" s="47">
        <v>995</v>
      </c>
      <c r="AB16" s="47">
        <f t="shared" si="13"/>
        <v>21352.48946</v>
      </c>
      <c r="AC16" s="32">
        <f t="shared" si="14"/>
        <v>21352.48946</v>
      </c>
      <c r="AD16" s="47">
        <f t="shared" si="15"/>
        <v>8965.0865408</v>
      </c>
      <c r="AE16" s="47">
        <v>6734</v>
      </c>
      <c r="AH16" s="47">
        <f t="shared" si="16"/>
        <v>21469.67214</v>
      </c>
      <c r="AI16" s="32">
        <f t="shared" si="17"/>
        <v>21469.67214</v>
      </c>
      <c r="AJ16" s="47">
        <f t="shared" si="18"/>
        <v>9014.2870272</v>
      </c>
      <c r="AK16" s="47">
        <v>6748</v>
      </c>
      <c r="AN16" s="47">
        <f t="shared" si="19"/>
        <v>9742.454810000001</v>
      </c>
      <c r="AO16" s="32">
        <f t="shared" si="20"/>
        <v>9742.454810000001</v>
      </c>
      <c r="AP16" s="47">
        <f t="shared" si="21"/>
        <v>4090.4809088</v>
      </c>
      <c r="AQ16" s="47">
        <v>3071</v>
      </c>
      <c r="AT16" s="47">
        <f t="shared" si="22"/>
        <v>15.60396</v>
      </c>
      <c r="AU16" s="32">
        <f t="shared" si="23"/>
        <v>15.60396</v>
      </c>
      <c r="AV16" s="47">
        <f t="shared" si="24"/>
        <v>6.5515008</v>
      </c>
      <c r="AW16" s="47">
        <v>6</v>
      </c>
      <c r="AZ16" s="47">
        <f t="shared" si="25"/>
        <v>5896.38463</v>
      </c>
      <c r="BA16" s="32">
        <f t="shared" si="26"/>
        <v>5896.38463</v>
      </c>
      <c r="BB16" s="47">
        <f t="shared" si="27"/>
        <v>2475.6644223999997</v>
      </c>
      <c r="BC16" s="47">
        <v>1860</v>
      </c>
      <c r="BF16" s="47">
        <f t="shared" si="28"/>
        <v>3612.69919</v>
      </c>
      <c r="BG16" s="32">
        <f t="shared" si="29"/>
        <v>3612.69919</v>
      </c>
      <c r="BH16" s="47">
        <f t="shared" si="30"/>
        <v>1516.8330112</v>
      </c>
      <c r="BI16" s="47">
        <v>1138</v>
      </c>
      <c r="BL16" s="47">
        <f t="shared" si="31"/>
        <v>1991.0347</v>
      </c>
      <c r="BM16" s="32">
        <f t="shared" si="32"/>
        <v>1991.0347</v>
      </c>
      <c r="BN16" s="47">
        <f t="shared" si="33"/>
        <v>835.9586559999999</v>
      </c>
      <c r="BO16" s="47">
        <v>627</v>
      </c>
      <c r="BR16" s="47">
        <f t="shared" si="34"/>
        <v>1574.08771</v>
      </c>
      <c r="BS16" s="32">
        <f t="shared" si="35"/>
        <v>1574.08771</v>
      </c>
      <c r="BT16" s="47">
        <f t="shared" si="36"/>
        <v>660.8987008</v>
      </c>
      <c r="BU16" s="47">
        <v>498</v>
      </c>
      <c r="BX16" s="47">
        <f t="shared" si="37"/>
        <v>8253.500469999999</v>
      </c>
      <c r="BY16" s="32">
        <f t="shared" si="38"/>
        <v>8253.500469999999</v>
      </c>
      <c r="BZ16" s="47">
        <f t="shared" si="39"/>
        <v>3465.3264255999998</v>
      </c>
      <c r="CA16" s="47">
        <v>2610</v>
      </c>
      <c r="CD16" s="47">
        <f t="shared" si="40"/>
        <v>558.0710399999999</v>
      </c>
      <c r="CE16" s="32">
        <f t="shared" si="41"/>
        <v>558.0710399999999</v>
      </c>
      <c r="CF16" s="47">
        <f t="shared" si="42"/>
        <v>234.3124992</v>
      </c>
      <c r="CG16" s="47">
        <v>176</v>
      </c>
      <c r="CJ16" s="47">
        <f t="shared" si="43"/>
        <v>3314.77064</v>
      </c>
      <c r="CK16" s="32">
        <f t="shared" si="44"/>
        <v>3314.77064</v>
      </c>
      <c r="CL16" s="47">
        <f t="shared" si="45"/>
        <v>1391.7443072</v>
      </c>
      <c r="CM16" s="47">
        <v>1046</v>
      </c>
      <c r="CP16" s="47">
        <f t="shared" si="46"/>
        <v>2854.14786</v>
      </c>
      <c r="CQ16" s="32">
        <f t="shared" si="47"/>
        <v>2854.14786</v>
      </c>
      <c r="CR16" s="47">
        <f t="shared" si="48"/>
        <v>1198.3465728</v>
      </c>
      <c r="CS16" s="47">
        <v>902</v>
      </c>
      <c r="CV16" s="47">
        <f t="shared" si="49"/>
        <v>2960.08651</v>
      </c>
      <c r="CW16" s="32">
        <f t="shared" si="50"/>
        <v>2960.08651</v>
      </c>
      <c r="CX16" s="47">
        <f t="shared" si="51"/>
        <v>1242.8261248</v>
      </c>
      <c r="CY16" s="47">
        <v>934</v>
      </c>
      <c r="DB16" s="47">
        <f t="shared" si="52"/>
        <v>1420.26632</v>
      </c>
      <c r="DC16" s="32">
        <f t="shared" si="53"/>
        <v>1420.26632</v>
      </c>
      <c r="DD16" s="47">
        <f t="shared" si="54"/>
        <v>596.3150336</v>
      </c>
      <c r="DE16" s="47">
        <v>452</v>
      </c>
      <c r="DH16" s="47">
        <f t="shared" si="55"/>
        <v>9665.505869999999</v>
      </c>
      <c r="DI16" s="32">
        <f t="shared" si="56"/>
        <v>9665.505869999999</v>
      </c>
      <c r="DJ16" s="47">
        <f t="shared" si="57"/>
        <v>4058.1730176</v>
      </c>
      <c r="DK16" s="47">
        <v>3053</v>
      </c>
      <c r="DN16" s="47">
        <f t="shared" si="58"/>
        <v>5858.3691</v>
      </c>
      <c r="DO16" s="32">
        <f t="shared" si="59"/>
        <v>5858.3691</v>
      </c>
      <c r="DP16" s="47">
        <f t="shared" si="60"/>
        <v>2459.703168</v>
      </c>
      <c r="DQ16" s="47">
        <v>1860</v>
      </c>
      <c r="DT16" s="47">
        <f t="shared" si="61"/>
        <v>76.56649</v>
      </c>
      <c r="DU16" s="32">
        <f t="shared" si="62"/>
        <v>76.56649</v>
      </c>
      <c r="DV16" s="47">
        <f t="shared" si="63"/>
        <v>32.1473152</v>
      </c>
      <c r="DW16" s="47">
        <v>24</v>
      </c>
      <c r="DZ16" s="47">
        <f t="shared" si="64"/>
        <v>14011.744159999998</v>
      </c>
      <c r="EA16" s="32">
        <f t="shared" si="65"/>
        <v>14011.744159999998</v>
      </c>
      <c r="EB16" s="47">
        <f t="shared" si="66"/>
        <v>5882.9907968</v>
      </c>
      <c r="EC16" s="47">
        <v>4416</v>
      </c>
      <c r="EF16" s="47">
        <f t="shared" si="67"/>
        <v>46.04698</v>
      </c>
      <c r="EG16" s="32">
        <f t="shared" si="68"/>
        <v>46.04698</v>
      </c>
      <c r="EH16" s="47">
        <f t="shared" si="69"/>
        <v>19.3333504</v>
      </c>
      <c r="EI16" s="47">
        <v>14</v>
      </c>
      <c r="EL16" s="47">
        <f t="shared" si="70"/>
        <v>1069.78914</v>
      </c>
      <c r="EM16" s="32">
        <f t="shared" si="71"/>
        <v>1069.78914</v>
      </c>
      <c r="EN16" s="47">
        <f t="shared" si="72"/>
        <v>449.16318720000004</v>
      </c>
      <c r="EO16" s="47">
        <v>337</v>
      </c>
    </row>
    <row r="17" spans="1:145" ht="12.75">
      <c r="A17" s="48">
        <v>44105</v>
      </c>
      <c r="B17" s="49"/>
      <c r="C17" s="34">
        <f>'2012D'!C17</f>
        <v>4485000</v>
      </c>
      <c r="D17" s="34">
        <f>'2012D'!D17</f>
        <v>764900</v>
      </c>
      <c r="E17" s="34">
        <f t="shared" si="0"/>
        <v>5249900</v>
      </c>
      <c r="F17" s="34">
        <f>'2012D'!F17</f>
        <v>321152</v>
      </c>
      <c r="G17" s="34">
        <f>'2012D'!G17</f>
        <v>241163</v>
      </c>
      <c r="I17" s="67">
        <f t="shared" si="1"/>
        <v>755417.0715000001</v>
      </c>
      <c r="J17" s="47">
        <f t="shared" si="2"/>
        <v>128833.56030999999</v>
      </c>
      <c r="K17" s="47">
        <f t="shared" si="3"/>
        <v>884250.63181</v>
      </c>
      <c r="L17" s="47">
        <f t="shared" si="4"/>
        <v>54092.2415488</v>
      </c>
      <c r="M17" s="47">
        <f t="shared" si="5"/>
        <v>40629</v>
      </c>
      <c r="O17" s="32">
        <f t="shared" si="6"/>
        <v>58239.9675</v>
      </c>
      <c r="P17" s="47">
        <f t="shared" si="7"/>
        <v>9932.60895</v>
      </c>
      <c r="Q17" s="47">
        <f t="shared" si="8"/>
        <v>68172.57645</v>
      </c>
      <c r="R17" s="47">
        <f t="shared" si="9"/>
        <v>4170.319296000001</v>
      </c>
      <c r="S17" s="47">
        <v>3128</v>
      </c>
      <c r="U17" s="32">
        <f>$C17*W$7</f>
        <v>18514.977000000003</v>
      </c>
      <c r="V17" s="47">
        <f t="shared" si="10"/>
        <v>3157.6601800000003</v>
      </c>
      <c r="W17" s="32">
        <f t="shared" si="11"/>
        <v>21672.63718</v>
      </c>
      <c r="X17" s="47">
        <f t="shared" si="12"/>
        <v>1325.7796864000002</v>
      </c>
      <c r="Y17" s="47">
        <v>995</v>
      </c>
      <c r="AA17" s="32">
        <f>$C17*AC$7</f>
        <v>125200.569</v>
      </c>
      <c r="AB17" s="47">
        <f t="shared" si="13"/>
        <v>21352.48946</v>
      </c>
      <c r="AC17" s="32">
        <f t="shared" si="14"/>
        <v>146553.05846</v>
      </c>
      <c r="AD17" s="47">
        <f t="shared" si="15"/>
        <v>8965.0865408</v>
      </c>
      <c r="AE17" s="47">
        <v>6734</v>
      </c>
      <c r="AG17" s="32">
        <f>$C17*AI$7</f>
        <v>125887.671</v>
      </c>
      <c r="AH17" s="47">
        <f t="shared" si="16"/>
        <v>21469.67214</v>
      </c>
      <c r="AI17" s="32">
        <f t="shared" si="17"/>
        <v>147357.34314</v>
      </c>
      <c r="AJ17" s="47">
        <f t="shared" si="18"/>
        <v>9014.2870272</v>
      </c>
      <c r="AK17" s="47">
        <v>6748</v>
      </c>
      <c r="AM17" s="32">
        <f>$C17*AO$7</f>
        <v>57124.9965</v>
      </c>
      <c r="AN17" s="47">
        <f t="shared" si="19"/>
        <v>9742.454810000001</v>
      </c>
      <c r="AO17" s="32">
        <f t="shared" si="20"/>
        <v>66867.45131</v>
      </c>
      <c r="AP17" s="47">
        <f t="shared" si="21"/>
        <v>4090.4809088</v>
      </c>
      <c r="AQ17" s="47">
        <v>3071</v>
      </c>
      <c r="AS17" s="32">
        <f>$C17*AU$7</f>
        <v>91.494</v>
      </c>
      <c r="AT17" s="47">
        <f t="shared" si="22"/>
        <v>15.60396</v>
      </c>
      <c r="AU17" s="32">
        <f t="shared" si="23"/>
        <v>107.09796</v>
      </c>
      <c r="AV17" s="47">
        <f t="shared" si="24"/>
        <v>6.5515008</v>
      </c>
      <c r="AW17" s="47">
        <v>6</v>
      </c>
      <c r="AY17" s="32">
        <f>$C17*BA$7</f>
        <v>34573.5195</v>
      </c>
      <c r="AZ17" s="47">
        <f t="shared" si="25"/>
        <v>5896.38463</v>
      </c>
      <c r="BA17" s="32">
        <f t="shared" si="26"/>
        <v>40469.90413</v>
      </c>
      <c r="BB17" s="47">
        <f t="shared" si="27"/>
        <v>2475.6644223999997</v>
      </c>
      <c r="BC17" s="47">
        <v>1860</v>
      </c>
      <c r="BE17" s="32">
        <f>$C17*BG$7</f>
        <v>21183.1035</v>
      </c>
      <c r="BF17" s="47">
        <f t="shared" si="28"/>
        <v>3612.69919</v>
      </c>
      <c r="BG17" s="32">
        <f t="shared" si="29"/>
        <v>24795.80269</v>
      </c>
      <c r="BH17" s="47">
        <f t="shared" si="30"/>
        <v>1516.8330112</v>
      </c>
      <c r="BI17" s="47">
        <v>1138</v>
      </c>
      <c r="BK17" s="32">
        <f>$C17*BM$7</f>
        <v>11674.455</v>
      </c>
      <c r="BL17" s="47">
        <f t="shared" si="31"/>
        <v>1991.0347</v>
      </c>
      <c r="BM17" s="32">
        <f t="shared" si="32"/>
        <v>13665.4897</v>
      </c>
      <c r="BN17" s="47">
        <f t="shared" si="33"/>
        <v>835.9586559999999</v>
      </c>
      <c r="BO17" s="47">
        <v>627</v>
      </c>
      <c r="BQ17" s="32">
        <f>$C17*BS$7</f>
        <v>9229.6815</v>
      </c>
      <c r="BR17" s="47">
        <f t="shared" si="34"/>
        <v>1574.08771</v>
      </c>
      <c r="BS17" s="32">
        <f t="shared" si="35"/>
        <v>10803.76921</v>
      </c>
      <c r="BT17" s="47">
        <f t="shared" si="36"/>
        <v>660.8987008</v>
      </c>
      <c r="BU17" s="47">
        <v>498</v>
      </c>
      <c r="BW17" s="32">
        <f>$C17*BY$7</f>
        <v>48394.4955</v>
      </c>
      <c r="BX17" s="47">
        <f t="shared" si="37"/>
        <v>8253.500469999999</v>
      </c>
      <c r="BY17" s="32">
        <f t="shared" si="38"/>
        <v>56647.995969999996</v>
      </c>
      <c r="BZ17" s="47">
        <f t="shared" si="39"/>
        <v>3465.3264255999998</v>
      </c>
      <c r="CA17" s="47">
        <v>2610</v>
      </c>
      <c r="CC17" s="32">
        <f>$C17*CE$7</f>
        <v>3272.256</v>
      </c>
      <c r="CD17" s="47">
        <f t="shared" si="40"/>
        <v>558.0710399999999</v>
      </c>
      <c r="CE17" s="32">
        <f t="shared" si="41"/>
        <v>3830.3270399999997</v>
      </c>
      <c r="CF17" s="47">
        <f t="shared" si="42"/>
        <v>234.3124992</v>
      </c>
      <c r="CG17" s="47">
        <v>176</v>
      </c>
      <c r="CI17" s="32">
        <f>$C17*CK$7</f>
        <v>19436.196</v>
      </c>
      <c r="CJ17" s="47">
        <f t="shared" si="43"/>
        <v>3314.77064</v>
      </c>
      <c r="CK17" s="32">
        <f t="shared" si="44"/>
        <v>22750.96664</v>
      </c>
      <c r="CL17" s="47">
        <f t="shared" si="45"/>
        <v>1391.7443072</v>
      </c>
      <c r="CM17" s="47">
        <v>1046</v>
      </c>
      <c r="CO17" s="32">
        <f>$C17*CQ$7</f>
        <v>16735.329</v>
      </c>
      <c r="CP17" s="47">
        <f t="shared" si="46"/>
        <v>2854.14786</v>
      </c>
      <c r="CQ17" s="32">
        <f t="shared" si="47"/>
        <v>19589.476860000002</v>
      </c>
      <c r="CR17" s="47">
        <f t="shared" si="48"/>
        <v>1198.3465728</v>
      </c>
      <c r="CS17" s="47">
        <v>902</v>
      </c>
      <c r="CU17" s="32">
        <f>$C17*CW$7</f>
        <v>17356.5015</v>
      </c>
      <c r="CV17" s="47">
        <f t="shared" si="49"/>
        <v>2960.08651</v>
      </c>
      <c r="CW17" s="32">
        <f t="shared" si="50"/>
        <v>20316.58801</v>
      </c>
      <c r="CX17" s="47">
        <f t="shared" si="51"/>
        <v>1242.8261248</v>
      </c>
      <c r="CY17" s="47">
        <v>934</v>
      </c>
      <c r="DA17" s="32">
        <f>$C17*DC$7</f>
        <v>8327.748</v>
      </c>
      <c r="DB17" s="47">
        <f t="shared" si="52"/>
        <v>1420.26632</v>
      </c>
      <c r="DC17" s="32">
        <f t="shared" si="53"/>
        <v>9748.01432</v>
      </c>
      <c r="DD17" s="47">
        <f t="shared" si="54"/>
        <v>596.3150336</v>
      </c>
      <c r="DE17" s="47">
        <v>452</v>
      </c>
      <c r="DG17" s="32">
        <f>$C17*DI$7</f>
        <v>56673.805499999995</v>
      </c>
      <c r="DH17" s="47">
        <f t="shared" si="55"/>
        <v>9665.505869999999</v>
      </c>
      <c r="DI17" s="32">
        <f t="shared" si="56"/>
        <v>66339.31137</v>
      </c>
      <c r="DJ17" s="47">
        <f t="shared" si="57"/>
        <v>4058.1730176</v>
      </c>
      <c r="DK17" s="47">
        <v>3053</v>
      </c>
      <c r="DM17" s="32">
        <f>$C17*DO$7</f>
        <v>34350.615</v>
      </c>
      <c r="DN17" s="47">
        <f t="shared" si="58"/>
        <v>5858.3691</v>
      </c>
      <c r="DO17" s="32">
        <f t="shared" si="59"/>
        <v>40208.9841</v>
      </c>
      <c r="DP17" s="47">
        <f t="shared" si="60"/>
        <v>2459.703168</v>
      </c>
      <c r="DQ17" s="47">
        <v>1860</v>
      </c>
      <c r="DS17" s="32">
        <f>$C17*DU$7</f>
        <v>448.94849999999997</v>
      </c>
      <c r="DT17" s="47">
        <f t="shared" si="61"/>
        <v>76.56649</v>
      </c>
      <c r="DU17" s="32">
        <f t="shared" si="62"/>
        <v>525.51499</v>
      </c>
      <c r="DV17" s="47">
        <f t="shared" si="63"/>
        <v>32.1473152</v>
      </c>
      <c r="DW17" s="47">
        <v>24</v>
      </c>
      <c r="DY17" s="32">
        <f>$C17*EA$7</f>
        <v>82158.02399999999</v>
      </c>
      <c r="DZ17" s="47">
        <f t="shared" si="64"/>
        <v>14011.744159999998</v>
      </c>
      <c r="EA17" s="32">
        <f t="shared" si="65"/>
        <v>96169.76815999999</v>
      </c>
      <c r="EB17" s="47">
        <f t="shared" si="66"/>
        <v>5882.9907968</v>
      </c>
      <c r="EC17" s="47">
        <v>4416</v>
      </c>
      <c r="EE17" s="32">
        <f>$C17*EG$7</f>
        <v>269.997</v>
      </c>
      <c r="EF17" s="47">
        <f t="shared" si="67"/>
        <v>46.04698</v>
      </c>
      <c r="EG17" s="32">
        <f t="shared" si="68"/>
        <v>316.04398000000003</v>
      </c>
      <c r="EH17" s="47">
        <f t="shared" si="69"/>
        <v>19.3333504</v>
      </c>
      <c r="EI17" s="47">
        <v>14</v>
      </c>
      <c r="EK17" s="32">
        <f>$C17*EM$7</f>
        <v>6272.7210000000005</v>
      </c>
      <c r="EL17" s="47">
        <f t="shared" si="70"/>
        <v>1069.78914</v>
      </c>
      <c r="EM17" s="32">
        <f t="shared" si="71"/>
        <v>7342.51014</v>
      </c>
      <c r="EN17" s="47">
        <f t="shared" si="72"/>
        <v>449.16318720000004</v>
      </c>
      <c r="EO17" s="47">
        <v>337</v>
      </c>
    </row>
    <row r="18" spans="1:145" s="49" customFormat="1" ht="12.75">
      <c r="A18" s="48">
        <v>44287</v>
      </c>
      <c r="C18" s="34">
        <f>'2012D'!C18</f>
        <v>0</v>
      </c>
      <c r="D18" s="34">
        <f>'2012D'!D18</f>
        <v>652775</v>
      </c>
      <c r="E18" s="34">
        <f t="shared" si="0"/>
        <v>652775</v>
      </c>
      <c r="F18" s="34">
        <f>'2012D'!F18</f>
        <v>321152</v>
      </c>
      <c r="G18" s="34">
        <f>'2012D'!G18</f>
        <v>241163</v>
      </c>
      <c r="H18" s="47"/>
      <c r="I18" s="67"/>
      <c r="J18" s="47">
        <f t="shared" si="2"/>
        <v>109948.13352249998</v>
      </c>
      <c r="K18" s="47">
        <f t="shared" si="3"/>
        <v>109948.13352249998</v>
      </c>
      <c r="L18" s="47">
        <f t="shared" si="4"/>
        <v>54092.2415488</v>
      </c>
      <c r="M18" s="47">
        <f t="shared" si="5"/>
        <v>40629</v>
      </c>
      <c r="N18" s="47"/>
      <c r="O18" s="32"/>
      <c r="P18" s="47">
        <f t="shared" si="7"/>
        <v>8476.6097625</v>
      </c>
      <c r="Q18" s="47">
        <f t="shared" si="8"/>
        <v>8476.6097625</v>
      </c>
      <c r="R18" s="47">
        <f t="shared" si="9"/>
        <v>4170.319296000001</v>
      </c>
      <c r="S18" s="47">
        <v>3128</v>
      </c>
      <c r="T18" s="47"/>
      <c r="U18" s="32"/>
      <c r="V18" s="47">
        <f t="shared" si="10"/>
        <v>2694.7857550000003</v>
      </c>
      <c r="W18" s="32">
        <f t="shared" si="11"/>
        <v>2694.7857550000003</v>
      </c>
      <c r="X18" s="47">
        <f t="shared" si="12"/>
        <v>1325.7796864000002</v>
      </c>
      <c r="Y18" s="47">
        <v>995</v>
      </c>
      <c r="Z18" s="47"/>
      <c r="AA18" s="32"/>
      <c r="AB18" s="47">
        <f t="shared" si="13"/>
        <v>18222.475235</v>
      </c>
      <c r="AC18" s="32">
        <f t="shared" si="14"/>
        <v>18222.475235</v>
      </c>
      <c r="AD18" s="47">
        <f t="shared" si="15"/>
        <v>8965.0865408</v>
      </c>
      <c r="AE18" s="47">
        <v>6734</v>
      </c>
      <c r="AF18" s="47"/>
      <c r="AG18" s="32"/>
      <c r="AH18" s="47">
        <f t="shared" si="16"/>
        <v>18322.480365</v>
      </c>
      <c r="AI18" s="32">
        <f t="shared" si="17"/>
        <v>18322.480365</v>
      </c>
      <c r="AJ18" s="47">
        <f t="shared" si="18"/>
        <v>9014.2870272</v>
      </c>
      <c r="AK18" s="47">
        <v>6748</v>
      </c>
      <c r="AL18" s="47"/>
      <c r="AM18" s="32"/>
      <c r="AN18" s="47">
        <f t="shared" si="19"/>
        <v>8314.3298975</v>
      </c>
      <c r="AO18" s="32">
        <f t="shared" si="20"/>
        <v>8314.3298975</v>
      </c>
      <c r="AP18" s="47">
        <f t="shared" si="21"/>
        <v>4090.4809088</v>
      </c>
      <c r="AQ18" s="47">
        <v>3071</v>
      </c>
      <c r="AR18" s="47"/>
      <c r="AS18" s="32"/>
      <c r="AT18" s="47">
        <f t="shared" si="22"/>
        <v>13.31661</v>
      </c>
      <c r="AU18" s="32">
        <f t="shared" si="23"/>
        <v>13.31661</v>
      </c>
      <c r="AV18" s="47">
        <f t="shared" si="24"/>
        <v>6.5515008</v>
      </c>
      <c r="AW18" s="47">
        <v>6</v>
      </c>
      <c r="AX18" s="47"/>
      <c r="AY18" s="32"/>
      <c r="AZ18" s="47">
        <f t="shared" si="25"/>
        <v>5032.0466424999995</v>
      </c>
      <c r="BA18" s="32">
        <f t="shared" si="26"/>
        <v>5032.0466424999995</v>
      </c>
      <c r="BB18" s="47">
        <f t="shared" si="27"/>
        <v>2475.6644223999997</v>
      </c>
      <c r="BC18" s="47">
        <v>1860</v>
      </c>
      <c r="BD18" s="47"/>
      <c r="BE18" s="32"/>
      <c r="BF18" s="47">
        <f t="shared" si="28"/>
        <v>3083.1216025</v>
      </c>
      <c r="BG18" s="32">
        <f t="shared" si="29"/>
        <v>3083.1216025</v>
      </c>
      <c r="BH18" s="47">
        <f t="shared" si="30"/>
        <v>1516.8330112</v>
      </c>
      <c r="BI18" s="47">
        <v>1138</v>
      </c>
      <c r="BJ18" s="47"/>
      <c r="BK18" s="32"/>
      <c r="BL18" s="47">
        <f t="shared" si="31"/>
        <v>1699.173325</v>
      </c>
      <c r="BM18" s="32">
        <f t="shared" si="32"/>
        <v>1699.173325</v>
      </c>
      <c r="BN18" s="47">
        <f t="shared" si="33"/>
        <v>835.9586559999999</v>
      </c>
      <c r="BO18" s="47">
        <v>627</v>
      </c>
      <c r="BP18" s="32"/>
      <c r="BQ18" s="32"/>
      <c r="BR18" s="47">
        <f t="shared" si="34"/>
        <v>1343.3456725</v>
      </c>
      <c r="BS18" s="32">
        <f t="shared" si="35"/>
        <v>1343.3456725</v>
      </c>
      <c r="BT18" s="47">
        <f t="shared" si="36"/>
        <v>660.8987008</v>
      </c>
      <c r="BU18" s="47">
        <v>498</v>
      </c>
      <c r="BV18" s="47"/>
      <c r="BW18" s="32"/>
      <c r="BX18" s="47">
        <f t="shared" si="37"/>
        <v>7043.6380825</v>
      </c>
      <c r="BY18" s="32">
        <f t="shared" si="38"/>
        <v>7043.6380825</v>
      </c>
      <c r="BZ18" s="47">
        <f t="shared" si="39"/>
        <v>3465.3264255999998</v>
      </c>
      <c r="CA18" s="47">
        <v>2610</v>
      </c>
      <c r="CB18" s="47"/>
      <c r="CC18" s="32"/>
      <c r="CD18" s="47">
        <f t="shared" si="40"/>
        <v>476.26464</v>
      </c>
      <c r="CE18" s="32">
        <f t="shared" si="41"/>
        <v>476.26464</v>
      </c>
      <c r="CF18" s="47">
        <f t="shared" si="42"/>
        <v>234.3124992</v>
      </c>
      <c r="CG18" s="47">
        <v>176</v>
      </c>
      <c r="CH18" s="47"/>
      <c r="CI18" s="32"/>
      <c r="CJ18" s="47">
        <f t="shared" si="43"/>
        <v>2828.86574</v>
      </c>
      <c r="CK18" s="32">
        <f t="shared" si="44"/>
        <v>2828.86574</v>
      </c>
      <c r="CL18" s="47">
        <f t="shared" si="45"/>
        <v>1391.7443072</v>
      </c>
      <c r="CM18" s="47">
        <v>1046</v>
      </c>
      <c r="CN18" s="47"/>
      <c r="CO18" s="32"/>
      <c r="CP18" s="47">
        <f t="shared" si="46"/>
        <v>2435.764635</v>
      </c>
      <c r="CQ18" s="32">
        <f t="shared" si="47"/>
        <v>2435.764635</v>
      </c>
      <c r="CR18" s="47">
        <f t="shared" si="48"/>
        <v>1198.3465728</v>
      </c>
      <c r="CS18" s="47">
        <v>902</v>
      </c>
      <c r="CT18" s="47"/>
      <c r="CU18" s="32"/>
      <c r="CV18" s="47">
        <f t="shared" si="49"/>
        <v>2526.1739724999998</v>
      </c>
      <c r="CW18" s="32">
        <f t="shared" si="50"/>
        <v>2526.1739724999998</v>
      </c>
      <c r="CX18" s="47">
        <f t="shared" si="51"/>
        <v>1242.8261248</v>
      </c>
      <c r="CY18" s="47">
        <v>934</v>
      </c>
      <c r="CZ18" s="47"/>
      <c r="DA18" s="32"/>
      <c r="DB18" s="47">
        <f t="shared" si="52"/>
        <v>1212.07262</v>
      </c>
      <c r="DC18" s="32">
        <f t="shared" si="53"/>
        <v>1212.07262</v>
      </c>
      <c r="DD18" s="47">
        <f t="shared" si="54"/>
        <v>596.3150336</v>
      </c>
      <c r="DE18" s="47">
        <v>452</v>
      </c>
      <c r="DF18" s="47"/>
      <c r="DG18" s="32"/>
      <c r="DH18" s="47">
        <f t="shared" si="55"/>
        <v>8248.6607325</v>
      </c>
      <c r="DI18" s="32">
        <f t="shared" si="56"/>
        <v>8248.6607325</v>
      </c>
      <c r="DJ18" s="47">
        <f t="shared" si="57"/>
        <v>4058.1730176</v>
      </c>
      <c r="DK18" s="47">
        <v>3053</v>
      </c>
      <c r="DL18" s="47"/>
      <c r="DM18" s="32"/>
      <c r="DN18" s="47">
        <f t="shared" si="58"/>
        <v>4999.603725</v>
      </c>
      <c r="DO18" s="32">
        <f t="shared" si="59"/>
        <v>4999.603725</v>
      </c>
      <c r="DP18" s="47">
        <f t="shared" si="60"/>
        <v>2459.703168</v>
      </c>
      <c r="DQ18" s="47">
        <v>1860</v>
      </c>
      <c r="DR18" s="47"/>
      <c r="DS18" s="32"/>
      <c r="DT18" s="47">
        <f t="shared" si="61"/>
        <v>65.3427775</v>
      </c>
      <c r="DU18" s="32">
        <f t="shared" si="62"/>
        <v>65.3427775</v>
      </c>
      <c r="DV18" s="47">
        <f t="shared" si="63"/>
        <v>32.1473152</v>
      </c>
      <c r="DW18" s="47">
        <v>24</v>
      </c>
      <c r="DX18" s="47"/>
      <c r="DY18" s="32"/>
      <c r="DZ18" s="47">
        <f t="shared" si="64"/>
        <v>11957.793559999998</v>
      </c>
      <c r="EA18" s="32">
        <f t="shared" si="65"/>
        <v>11957.793559999998</v>
      </c>
      <c r="EB18" s="47">
        <f t="shared" si="66"/>
        <v>5882.9907968</v>
      </c>
      <c r="EC18" s="47">
        <v>4416</v>
      </c>
      <c r="ED18" s="47"/>
      <c r="EE18" s="32"/>
      <c r="EF18" s="47">
        <f t="shared" si="67"/>
        <v>39.297055</v>
      </c>
      <c r="EG18" s="32">
        <f t="shared" si="68"/>
        <v>39.297055</v>
      </c>
      <c r="EH18" s="47">
        <f t="shared" si="69"/>
        <v>19.3333504</v>
      </c>
      <c r="EI18" s="47">
        <v>14</v>
      </c>
      <c r="EJ18" s="47"/>
      <c r="EK18" s="32"/>
      <c r="EL18" s="47">
        <f t="shared" si="70"/>
        <v>912.971115</v>
      </c>
      <c r="EM18" s="32">
        <f t="shared" si="71"/>
        <v>912.971115</v>
      </c>
      <c r="EN18" s="47">
        <f t="shared" si="72"/>
        <v>449.16318720000004</v>
      </c>
      <c r="EO18" s="47">
        <v>337</v>
      </c>
    </row>
    <row r="19" spans="1:145" s="49" customFormat="1" ht="12.75">
      <c r="A19" s="48">
        <v>44470</v>
      </c>
      <c r="C19" s="34">
        <f>'2012D'!C19</f>
        <v>4710000</v>
      </c>
      <c r="D19" s="34">
        <f>'2012D'!D19</f>
        <v>652775</v>
      </c>
      <c r="E19" s="34">
        <f t="shared" si="0"/>
        <v>5362775</v>
      </c>
      <c r="F19" s="34">
        <f>'2012D'!F19</f>
        <v>321152</v>
      </c>
      <c r="G19" s="34">
        <f>'2012D'!G19</f>
        <v>241163</v>
      </c>
      <c r="H19" s="47"/>
      <c r="I19" s="67">
        <f t="shared" si="1"/>
        <v>793314.2490000001</v>
      </c>
      <c r="J19" s="47">
        <f t="shared" si="2"/>
        <v>109948.13352249998</v>
      </c>
      <c r="K19" s="47">
        <f t="shared" si="3"/>
        <v>903262.3825225</v>
      </c>
      <c r="L19" s="47">
        <f t="shared" si="4"/>
        <v>54092.2415488</v>
      </c>
      <c r="M19" s="47">
        <f t="shared" si="5"/>
        <v>40629</v>
      </c>
      <c r="N19" s="47"/>
      <c r="O19" s="32">
        <f t="shared" si="6"/>
        <v>61161.705</v>
      </c>
      <c r="P19" s="47">
        <f t="shared" si="7"/>
        <v>8476.6097625</v>
      </c>
      <c r="Q19" s="47">
        <f t="shared" si="8"/>
        <v>69638.3147625</v>
      </c>
      <c r="R19" s="47">
        <f t="shared" si="9"/>
        <v>4170.319296000001</v>
      </c>
      <c r="S19" s="47">
        <v>3128</v>
      </c>
      <c r="T19" s="47"/>
      <c r="U19" s="32">
        <f>$C19*W$7</f>
        <v>19443.822</v>
      </c>
      <c r="V19" s="47">
        <f t="shared" si="10"/>
        <v>2694.7857550000003</v>
      </c>
      <c r="W19" s="32">
        <f t="shared" si="11"/>
        <v>22138.607755</v>
      </c>
      <c r="X19" s="47">
        <f t="shared" si="12"/>
        <v>1325.7796864000002</v>
      </c>
      <c r="Y19" s="47">
        <v>995</v>
      </c>
      <c r="Z19" s="47"/>
      <c r="AA19" s="32">
        <f>$C19*AC$7</f>
        <v>131481.534</v>
      </c>
      <c r="AB19" s="47">
        <f t="shared" si="13"/>
        <v>18222.475235</v>
      </c>
      <c r="AC19" s="32">
        <f t="shared" si="14"/>
        <v>149704.009235</v>
      </c>
      <c r="AD19" s="47">
        <f t="shared" si="15"/>
        <v>8965.0865408</v>
      </c>
      <c r="AE19" s="47">
        <v>6734</v>
      </c>
      <c r="AF19" s="47"/>
      <c r="AG19" s="32">
        <f>$C19*AI$7</f>
        <v>132203.106</v>
      </c>
      <c r="AH19" s="47">
        <f t="shared" si="16"/>
        <v>18322.480365</v>
      </c>
      <c r="AI19" s="32">
        <f t="shared" si="17"/>
        <v>150525.586365</v>
      </c>
      <c r="AJ19" s="47">
        <f t="shared" si="18"/>
        <v>9014.2870272</v>
      </c>
      <c r="AK19" s="47">
        <v>6748</v>
      </c>
      <c r="AL19" s="47"/>
      <c r="AM19" s="32">
        <f>$C19*AO$7</f>
        <v>59990.799000000006</v>
      </c>
      <c r="AN19" s="47">
        <f t="shared" si="19"/>
        <v>8314.3298975</v>
      </c>
      <c r="AO19" s="32">
        <f t="shared" si="20"/>
        <v>68305.1288975</v>
      </c>
      <c r="AP19" s="47">
        <f t="shared" si="21"/>
        <v>4090.4809088</v>
      </c>
      <c r="AQ19" s="47">
        <v>3071</v>
      </c>
      <c r="AR19" s="47"/>
      <c r="AS19" s="32">
        <f>$C19*AU$7</f>
        <v>96.084</v>
      </c>
      <c r="AT19" s="47">
        <f t="shared" si="22"/>
        <v>13.31661</v>
      </c>
      <c r="AU19" s="32">
        <f t="shared" si="23"/>
        <v>109.40061</v>
      </c>
      <c r="AV19" s="47">
        <f t="shared" si="24"/>
        <v>6.5515008</v>
      </c>
      <c r="AW19" s="47">
        <v>6</v>
      </c>
      <c r="AX19" s="47"/>
      <c r="AY19" s="32">
        <f>$C19*BA$7</f>
        <v>36307.977</v>
      </c>
      <c r="AZ19" s="47">
        <f t="shared" si="25"/>
        <v>5032.0466424999995</v>
      </c>
      <c r="BA19" s="32">
        <f t="shared" si="26"/>
        <v>41340.0236425</v>
      </c>
      <c r="BB19" s="47">
        <f t="shared" si="27"/>
        <v>2475.6644223999997</v>
      </c>
      <c r="BC19" s="47">
        <v>1860</v>
      </c>
      <c r="BD19" s="47"/>
      <c r="BE19" s="32">
        <f>$C19*BG$7</f>
        <v>22245.801</v>
      </c>
      <c r="BF19" s="47">
        <f t="shared" si="28"/>
        <v>3083.1216025</v>
      </c>
      <c r="BG19" s="32">
        <f t="shared" si="29"/>
        <v>25328.9226025</v>
      </c>
      <c r="BH19" s="47">
        <f t="shared" si="30"/>
        <v>1516.8330112</v>
      </c>
      <c r="BI19" s="47">
        <v>1138</v>
      </c>
      <c r="BJ19" s="47"/>
      <c r="BK19" s="32">
        <f>$C19*BM$7</f>
        <v>12260.13</v>
      </c>
      <c r="BL19" s="47">
        <f t="shared" si="31"/>
        <v>1699.173325</v>
      </c>
      <c r="BM19" s="32">
        <f t="shared" si="32"/>
        <v>13959.303324999999</v>
      </c>
      <c r="BN19" s="47">
        <f t="shared" si="33"/>
        <v>835.9586559999999</v>
      </c>
      <c r="BO19" s="47">
        <v>627</v>
      </c>
      <c r="BP19" s="32"/>
      <c r="BQ19" s="32">
        <f>$C19*BS$7</f>
        <v>9692.709</v>
      </c>
      <c r="BR19" s="47">
        <f t="shared" si="34"/>
        <v>1343.3456725</v>
      </c>
      <c r="BS19" s="32">
        <f t="shared" si="35"/>
        <v>11036.0546725</v>
      </c>
      <c r="BT19" s="47">
        <f t="shared" si="36"/>
        <v>660.8987008</v>
      </c>
      <c r="BU19" s="47">
        <v>498</v>
      </c>
      <c r="BV19" s="47"/>
      <c r="BW19" s="32">
        <f>$C19*BY$7</f>
        <v>50822.312999999995</v>
      </c>
      <c r="BX19" s="47">
        <f t="shared" si="37"/>
        <v>7043.6380825</v>
      </c>
      <c r="BY19" s="32">
        <f t="shared" si="38"/>
        <v>57865.951082499996</v>
      </c>
      <c r="BZ19" s="47">
        <f t="shared" si="39"/>
        <v>3465.3264255999998</v>
      </c>
      <c r="CA19" s="47">
        <v>2610</v>
      </c>
      <c r="CB19" s="47"/>
      <c r="CC19" s="32">
        <f>$C19*CE$7</f>
        <v>3436.4159999999997</v>
      </c>
      <c r="CD19" s="47">
        <f t="shared" si="40"/>
        <v>476.26464</v>
      </c>
      <c r="CE19" s="32">
        <f t="shared" si="41"/>
        <v>3912.6806399999996</v>
      </c>
      <c r="CF19" s="47">
        <f t="shared" si="42"/>
        <v>234.3124992</v>
      </c>
      <c r="CG19" s="47">
        <v>176</v>
      </c>
      <c r="CH19" s="47"/>
      <c r="CI19" s="32">
        <f>$C19*CK$7</f>
        <v>20411.256</v>
      </c>
      <c r="CJ19" s="47">
        <f t="shared" si="43"/>
        <v>2828.86574</v>
      </c>
      <c r="CK19" s="32">
        <f t="shared" si="44"/>
        <v>23240.121740000002</v>
      </c>
      <c r="CL19" s="47">
        <f t="shared" si="45"/>
        <v>1391.7443072</v>
      </c>
      <c r="CM19" s="47">
        <v>1046</v>
      </c>
      <c r="CN19" s="47"/>
      <c r="CO19" s="32">
        <f>$C19*CQ$7</f>
        <v>17574.894</v>
      </c>
      <c r="CP19" s="47">
        <f t="shared" si="46"/>
        <v>2435.764635</v>
      </c>
      <c r="CQ19" s="32">
        <f t="shared" si="47"/>
        <v>20010.658635</v>
      </c>
      <c r="CR19" s="47">
        <f t="shared" si="48"/>
        <v>1198.3465728</v>
      </c>
      <c r="CS19" s="47">
        <v>902</v>
      </c>
      <c r="CT19" s="47"/>
      <c r="CU19" s="32">
        <f>$C19*CW$7</f>
        <v>18227.229</v>
      </c>
      <c r="CV19" s="47">
        <f t="shared" si="49"/>
        <v>2526.1739724999998</v>
      </c>
      <c r="CW19" s="32">
        <f t="shared" si="50"/>
        <v>20753.4029725</v>
      </c>
      <c r="CX19" s="47">
        <f t="shared" si="51"/>
        <v>1242.8261248</v>
      </c>
      <c r="CY19" s="47">
        <v>934</v>
      </c>
      <c r="CZ19" s="47"/>
      <c r="DA19" s="32">
        <f>$C19*DC$7</f>
        <v>8745.528</v>
      </c>
      <c r="DB19" s="47">
        <f t="shared" si="52"/>
        <v>1212.07262</v>
      </c>
      <c r="DC19" s="32">
        <f t="shared" si="53"/>
        <v>9957.600620000001</v>
      </c>
      <c r="DD19" s="47">
        <f t="shared" si="54"/>
        <v>596.3150336</v>
      </c>
      <c r="DE19" s="47">
        <v>452</v>
      </c>
      <c r="DF19" s="47"/>
      <c r="DG19" s="32">
        <f>$C19*DI$7</f>
        <v>59516.973</v>
      </c>
      <c r="DH19" s="47">
        <f t="shared" si="55"/>
        <v>8248.6607325</v>
      </c>
      <c r="DI19" s="32">
        <f t="shared" si="56"/>
        <v>67765.63373249999</v>
      </c>
      <c r="DJ19" s="47">
        <f t="shared" si="57"/>
        <v>4058.1730176</v>
      </c>
      <c r="DK19" s="47">
        <v>3053</v>
      </c>
      <c r="DL19" s="47"/>
      <c r="DM19" s="32">
        <f>$C19*DO$7</f>
        <v>36073.89</v>
      </c>
      <c r="DN19" s="47">
        <f t="shared" si="58"/>
        <v>4999.603725</v>
      </c>
      <c r="DO19" s="32">
        <f t="shared" si="59"/>
        <v>41073.493725</v>
      </c>
      <c r="DP19" s="47">
        <f t="shared" si="60"/>
        <v>2459.703168</v>
      </c>
      <c r="DQ19" s="47">
        <v>1860</v>
      </c>
      <c r="DR19" s="47"/>
      <c r="DS19" s="32">
        <f>$C19*DU$7</f>
        <v>471.47099999999995</v>
      </c>
      <c r="DT19" s="47">
        <f t="shared" si="61"/>
        <v>65.3427775</v>
      </c>
      <c r="DU19" s="32">
        <f t="shared" si="62"/>
        <v>536.8137774999999</v>
      </c>
      <c r="DV19" s="47">
        <f t="shared" si="63"/>
        <v>32.1473152</v>
      </c>
      <c r="DW19" s="47">
        <v>24</v>
      </c>
      <c r="DX19" s="47"/>
      <c r="DY19" s="32">
        <f>$C19*EA$7</f>
        <v>86279.66399999999</v>
      </c>
      <c r="DZ19" s="47">
        <f t="shared" si="64"/>
        <v>11957.793559999998</v>
      </c>
      <c r="EA19" s="32">
        <f t="shared" si="65"/>
        <v>98237.45755999998</v>
      </c>
      <c r="EB19" s="47">
        <f t="shared" si="66"/>
        <v>5882.9907968</v>
      </c>
      <c r="EC19" s="47">
        <v>4416</v>
      </c>
      <c r="ED19" s="47"/>
      <c r="EE19" s="32">
        <f>$C19*EG$7</f>
        <v>283.542</v>
      </c>
      <c r="EF19" s="47">
        <f t="shared" si="67"/>
        <v>39.297055</v>
      </c>
      <c r="EG19" s="32">
        <f t="shared" si="68"/>
        <v>322.839055</v>
      </c>
      <c r="EH19" s="47">
        <f t="shared" si="69"/>
        <v>19.3333504</v>
      </c>
      <c r="EI19" s="47">
        <v>14</v>
      </c>
      <c r="EJ19" s="47"/>
      <c r="EK19" s="32">
        <f>$C19*EM$7</f>
        <v>6587.406</v>
      </c>
      <c r="EL19" s="47">
        <f t="shared" si="70"/>
        <v>912.971115</v>
      </c>
      <c r="EM19" s="32">
        <f t="shared" si="71"/>
        <v>7500.377115</v>
      </c>
      <c r="EN19" s="47">
        <f t="shared" si="72"/>
        <v>449.16318720000004</v>
      </c>
      <c r="EO19" s="47">
        <v>337</v>
      </c>
    </row>
    <row r="20" spans="1:145" s="49" customFormat="1" ht="12.75">
      <c r="A20" s="48">
        <v>44652</v>
      </c>
      <c r="C20" s="34">
        <f>'2012D'!C20</f>
        <v>0</v>
      </c>
      <c r="D20" s="34">
        <f>'2012D'!D20</f>
        <v>535025</v>
      </c>
      <c r="E20" s="34">
        <f t="shared" si="0"/>
        <v>535025</v>
      </c>
      <c r="F20" s="34">
        <f>'2012D'!F20</f>
        <v>321152</v>
      </c>
      <c r="G20" s="34">
        <f>'2012D'!G20</f>
        <v>241163</v>
      </c>
      <c r="H20" s="47"/>
      <c r="I20" s="67"/>
      <c r="J20" s="47">
        <f t="shared" si="2"/>
        <v>90115.27729750001</v>
      </c>
      <c r="K20" s="47">
        <f t="shared" si="3"/>
        <v>90115.27729750001</v>
      </c>
      <c r="L20" s="47">
        <f t="shared" si="4"/>
        <v>54092.2415488</v>
      </c>
      <c r="M20" s="47">
        <f t="shared" si="5"/>
        <v>40629</v>
      </c>
      <c r="N20" s="47"/>
      <c r="O20" s="32"/>
      <c r="P20" s="47">
        <f t="shared" si="7"/>
        <v>6947.5671375</v>
      </c>
      <c r="Q20" s="47">
        <f t="shared" si="8"/>
        <v>6947.5671375</v>
      </c>
      <c r="R20" s="47">
        <f t="shared" si="9"/>
        <v>4170.319296000001</v>
      </c>
      <c r="S20" s="47">
        <v>3128</v>
      </c>
      <c r="T20" s="47"/>
      <c r="U20" s="32"/>
      <c r="V20" s="47">
        <f t="shared" si="10"/>
        <v>2208.6902050000003</v>
      </c>
      <c r="W20" s="32">
        <f t="shared" si="11"/>
        <v>2208.6902050000003</v>
      </c>
      <c r="X20" s="47">
        <f t="shared" si="12"/>
        <v>1325.7796864000002</v>
      </c>
      <c r="Y20" s="47">
        <v>995</v>
      </c>
      <c r="Z20" s="47"/>
      <c r="AA20" s="32"/>
      <c r="AB20" s="47">
        <f t="shared" si="13"/>
        <v>14935.436885</v>
      </c>
      <c r="AC20" s="32">
        <f t="shared" si="14"/>
        <v>14935.436885</v>
      </c>
      <c r="AD20" s="47">
        <f t="shared" si="15"/>
        <v>8965.0865408</v>
      </c>
      <c r="AE20" s="47">
        <v>6734</v>
      </c>
      <c r="AF20" s="47"/>
      <c r="AG20" s="32"/>
      <c r="AH20" s="47">
        <f t="shared" si="16"/>
        <v>15017.402715</v>
      </c>
      <c r="AI20" s="32">
        <f t="shared" si="17"/>
        <v>15017.402715</v>
      </c>
      <c r="AJ20" s="47">
        <f t="shared" si="18"/>
        <v>9014.2870272</v>
      </c>
      <c r="AK20" s="47">
        <v>6748</v>
      </c>
      <c r="AL20" s="47"/>
      <c r="AM20" s="32"/>
      <c r="AN20" s="47">
        <f t="shared" si="19"/>
        <v>6814.5599225000005</v>
      </c>
      <c r="AO20" s="32">
        <f t="shared" si="20"/>
        <v>6814.5599225000005</v>
      </c>
      <c r="AP20" s="47">
        <f t="shared" si="21"/>
        <v>4090.4809088</v>
      </c>
      <c r="AQ20" s="47">
        <v>3071</v>
      </c>
      <c r="AR20" s="47"/>
      <c r="AS20" s="32"/>
      <c r="AT20" s="47">
        <f t="shared" si="22"/>
        <v>10.91451</v>
      </c>
      <c r="AU20" s="32">
        <f t="shared" si="23"/>
        <v>10.91451</v>
      </c>
      <c r="AV20" s="47">
        <f t="shared" si="24"/>
        <v>6.5515008</v>
      </c>
      <c r="AW20" s="47">
        <v>6</v>
      </c>
      <c r="AX20" s="47"/>
      <c r="AY20" s="32"/>
      <c r="AZ20" s="47">
        <f t="shared" si="25"/>
        <v>4124.3472175</v>
      </c>
      <c r="BA20" s="32">
        <f t="shared" si="26"/>
        <v>4124.3472175</v>
      </c>
      <c r="BB20" s="47">
        <f t="shared" si="27"/>
        <v>2475.6644223999997</v>
      </c>
      <c r="BC20" s="47">
        <v>1860</v>
      </c>
      <c r="BD20" s="47"/>
      <c r="BE20" s="32"/>
      <c r="BF20" s="47">
        <f t="shared" si="28"/>
        <v>2526.9765775</v>
      </c>
      <c r="BG20" s="32">
        <f t="shared" si="29"/>
        <v>2526.9765775</v>
      </c>
      <c r="BH20" s="47">
        <f t="shared" si="30"/>
        <v>1516.8330112</v>
      </c>
      <c r="BI20" s="47">
        <v>1138</v>
      </c>
      <c r="BJ20" s="47"/>
      <c r="BK20" s="32"/>
      <c r="BL20" s="47">
        <f t="shared" si="31"/>
        <v>1392.670075</v>
      </c>
      <c r="BM20" s="32">
        <f t="shared" si="32"/>
        <v>1392.670075</v>
      </c>
      <c r="BN20" s="47">
        <f t="shared" si="33"/>
        <v>835.9586559999999</v>
      </c>
      <c r="BO20" s="47">
        <v>627</v>
      </c>
      <c r="BP20" s="32"/>
      <c r="BQ20" s="32"/>
      <c r="BR20" s="47">
        <f t="shared" si="34"/>
        <v>1101.0279475</v>
      </c>
      <c r="BS20" s="32">
        <f t="shared" si="35"/>
        <v>1101.0279475</v>
      </c>
      <c r="BT20" s="47">
        <f t="shared" si="36"/>
        <v>660.8987008</v>
      </c>
      <c r="BU20" s="47">
        <v>498</v>
      </c>
      <c r="BV20" s="47"/>
      <c r="BW20" s="32"/>
      <c r="BX20" s="47">
        <f t="shared" si="37"/>
        <v>5773.0802575</v>
      </c>
      <c r="BY20" s="32">
        <f t="shared" si="38"/>
        <v>5773.0802575</v>
      </c>
      <c r="BZ20" s="47">
        <f t="shared" si="39"/>
        <v>3465.3264255999998</v>
      </c>
      <c r="CA20" s="47">
        <v>2610</v>
      </c>
      <c r="CB20" s="47"/>
      <c r="CC20" s="32"/>
      <c r="CD20" s="47">
        <f t="shared" si="40"/>
        <v>390.35423999999995</v>
      </c>
      <c r="CE20" s="32">
        <f t="shared" si="41"/>
        <v>390.35423999999995</v>
      </c>
      <c r="CF20" s="47">
        <f t="shared" si="42"/>
        <v>234.3124992</v>
      </c>
      <c r="CG20" s="47">
        <v>176</v>
      </c>
      <c r="CH20" s="47"/>
      <c r="CI20" s="32"/>
      <c r="CJ20" s="47">
        <f t="shared" si="43"/>
        <v>2318.58434</v>
      </c>
      <c r="CK20" s="32">
        <f t="shared" si="44"/>
        <v>2318.58434</v>
      </c>
      <c r="CL20" s="47">
        <f t="shared" si="45"/>
        <v>1391.7443072</v>
      </c>
      <c r="CM20" s="47">
        <v>1046</v>
      </c>
      <c r="CN20" s="47"/>
      <c r="CO20" s="32"/>
      <c r="CP20" s="47">
        <f t="shared" si="46"/>
        <v>1996.3922850000001</v>
      </c>
      <c r="CQ20" s="32">
        <f t="shared" si="47"/>
        <v>1996.3922850000001</v>
      </c>
      <c r="CR20" s="47">
        <f t="shared" si="48"/>
        <v>1198.3465728</v>
      </c>
      <c r="CS20" s="47">
        <v>902</v>
      </c>
      <c r="CT20" s="47"/>
      <c r="CU20" s="32"/>
      <c r="CV20" s="47">
        <f t="shared" si="49"/>
        <v>2070.4932475</v>
      </c>
      <c r="CW20" s="32">
        <f t="shared" si="50"/>
        <v>2070.4932475</v>
      </c>
      <c r="CX20" s="47">
        <f t="shared" si="51"/>
        <v>1242.8261248</v>
      </c>
      <c r="CY20" s="47">
        <v>934</v>
      </c>
      <c r="CZ20" s="47"/>
      <c r="DA20" s="32"/>
      <c r="DB20" s="47">
        <f t="shared" si="52"/>
        <v>993.43442</v>
      </c>
      <c r="DC20" s="32">
        <f t="shared" si="53"/>
        <v>993.43442</v>
      </c>
      <c r="DD20" s="47">
        <f t="shared" si="54"/>
        <v>596.3150336</v>
      </c>
      <c r="DE20" s="47">
        <v>452</v>
      </c>
      <c r="DF20" s="47"/>
      <c r="DG20" s="32"/>
      <c r="DH20" s="47">
        <f t="shared" si="55"/>
        <v>6760.7364075</v>
      </c>
      <c r="DI20" s="32">
        <f t="shared" si="56"/>
        <v>6760.7364075</v>
      </c>
      <c r="DJ20" s="47">
        <f t="shared" si="57"/>
        <v>4058.1730176</v>
      </c>
      <c r="DK20" s="47">
        <v>3053</v>
      </c>
      <c r="DL20" s="47"/>
      <c r="DM20" s="32"/>
      <c r="DN20" s="47">
        <f t="shared" si="58"/>
        <v>4097.756475</v>
      </c>
      <c r="DO20" s="32">
        <f t="shared" si="59"/>
        <v>4097.756475</v>
      </c>
      <c r="DP20" s="47">
        <f t="shared" si="60"/>
        <v>2459.703168</v>
      </c>
      <c r="DQ20" s="47">
        <v>1860</v>
      </c>
      <c r="DR20" s="47"/>
      <c r="DS20" s="32"/>
      <c r="DT20" s="47">
        <f t="shared" si="61"/>
        <v>53.5560025</v>
      </c>
      <c r="DU20" s="32">
        <f t="shared" si="62"/>
        <v>53.5560025</v>
      </c>
      <c r="DV20" s="47">
        <f t="shared" si="63"/>
        <v>32.1473152</v>
      </c>
      <c r="DW20" s="47">
        <v>24</v>
      </c>
      <c r="DX20" s="47"/>
      <c r="DY20" s="32"/>
      <c r="DZ20" s="47">
        <f t="shared" si="64"/>
        <v>9800.801959999999</v>
      </c>
      <c r="EA20" s="32">
        <f t="shared" si="65"/>
        <v>9800.801959999999</v>
      </c>
      <c r="EB20" s="47">
        <f t="shared" si="66"/>
        <v>5882.9907968</v>
      </c>
      <c r="EC20" s="47">
        <v>4416</v>
      </c>
      <c r="ED20" s="47"/>
      <c r="EE20" s="32"/>
      <c r="EF20" s="47">
        <f t="shared" si="67"/>
        <v>32.208505</v>
      </c>
      <c r="EG20" s="32">
        <f t="shared" si="68"/>
        <v>32.208505</v>
      </c>
      <c r="EH20" s="47">
        <f t="shared" si="69"/>
        <v>19.3333504</v>
      </c>
      <c r="EI20" s="47">
        <v>14</v>
      </c>
      <c r="EJ20" s="47"/>
      <c r="EK20" s="32"/>
      <c r="EL20" s="47">
        <f t="shared" si="70"/>
        <v>748.285965</v>
      </c>
      <c r="EM20" s="32">
        <f t="shared" si="71"/>
        <v>748.285965</v>
      </c>
      <c r="EN20" s="47">
        <f t="shared" si="72"/>
        <v>449.16318720000004</v>
      </c>
      <c r="EO20" s="47">
        <v>337</v>
      </c>
    </row>
    <row r="21" spans="1:145" s="49" customFormat="1" ht="12.75">
      <c r="A21" s="48">
        <v>44835</v>
      </c>
      <c r="C21" s="34">
        <f>'2012D'!C21</f>
        <v>4960000</v>
      </c>
      <c r="D21" s="34">
        <f>'2012D'!D21</f>
        <v>535025</v>
      </c>
      <c r="E21" s="34">
        <f t="shared" si="0"/>
        <v>5495025</v>
      </c>
      <c r="F21" s="34">
        <f>'2012D'!F21</f>
        <v>321152</v>
      </c>
      <c r="G21" s="34">
        <f>'2012D'!G21</f>
        <v>241163</v>
      </c>
      <c r="H21" s="47"/>
      <c r="I21" s="67">
        <f t="shared" si="1"/>
        <v>835422.2239999998</v>
      </c>
      <c r="J21" s="47">
        <f t="shared" si="2"/>
        <v>90115.27729750001</v>
      </c>
      <c r="K21" s="47">
        <f t="shared" si="3"/>
        <v>925537.5012974999</v>
      </c>
      <c r="L21" s="47">
        <f t="shared" si="4"/>
        <v>54092.2415488</v>
      </c>
      <c r="M21" s="47">
        <f t="shared" si="5"/>
        <v>40629</v>
      </c>
      <c r="N21" s="47"/>
      <c r="O21" s="32">
        <f t="shared" si="6"/>
        <v>64408.08</v>
      </c>
      <c r="P21" s="47">
        <f t="shared" si="7"/>
        <v>6947.5671375</v>
      </c>
      <c r="Q21" s="47">
        <f t="shared" si="8"/>
        <v>71355.6471375</v>
      </c>
      <c r="R21" s="47">
        <f t="shared" si="9"/>
        <v>4170.319296000001</v>
      </c>
      <c r="S21" s="47">
        <v>3128</v>
      </c>
      <c r="T21" s="47"/>
      <c r="U21" s="32">
        <f>$C21*W$7</f>
        <v>20475.872000000003</v>
      </c>
      <c r="V21" s="47">
        <f t="shared" si="10"/>
        <v>2208.6902050000003</v>
      </c>
      <c r="W21" s="32">
        <f t="shared" si="11"/>
        <v>22684.562205000002</v>
      </c>
      <c r="X21" s="47">
        <f t="shared" si="12"/>
        <v>1325.7796864000002</v>
      </c>
      <c r="Y21" s="47">
        <v>995</v>
      </c>
      <c r="Z21" s="47"/>
      <c r="AA21" s="32">
        <f>$C21*AC$7</f>
        <v>138460.384</v>
      </c>
      <c r="AB21" s="47">
        <f t="shared" si="13"/>
        <v>14935.436885</v>
      </c>
      <c r="AC21" s="32">
        <f t="shared" si="14"/>
        <v>153395.820885</v>
      </c>
      <c r="AD21" s="47">
        <f t="shared" si="15"/>
        <v>8965.0865408</v>
      </c>
      <c r="AE21" s="47">
        <v>6734</v>
      </c>
      <c r="AF21" s="47"/>
      <c r="AG21" s="32">
        <f>$C21*AI$7</f>
        <v>139220.256</v>
      </c>
      <c r="AH21" s="47">
        <f t="shared" si="16"/>
        <v>15017.402715</v>
      </c>
      <c r="AI21" s="32">
        <f t="shared" si="17"/>
        <v>154237.658715</v>
      </c>
      <c r="AJ21" s="47">
        <f t="shared" si="18"/>
        <v>9014.2870272</v>
      </c>
      <c r="AK21" s="47">
        <v>6748</v>
      </c>
      <c r="AL21" s="47"/>
      <c r="AM21" s="32">
        <f>$C21*AO$7</f>
        <v>63175.024000000005</v>
      </c>
      <c r="AN21" s="47">
        <f t="shared" si="19"/>
        <v>6814.5599225000005</v>
      </c>
      <c r="AO21" s="32">
        <f t="shared" si="20"/>
        <v>69989.58392250001</v>
      </c>
      <c r="AP21" s="47">
        <f t="shared" si="21"/>
        <v>4090.4809088</v>
      </c>
      <c r="AQ21" s="47">
        <v>3071</v>
      </c>
      <c r="AR21" s="47"/>
      <c r="AS21" s="32">
        <f>$C21*AU$7</f>
        <v>101.18400000000001</v>
      </c>
      <c r="AT21" s="47">
        <f t="shared" si="22"/>
        <v>10.91451</v>
      </c>
      <c r="AU21" s="32">
        <f t="shared" si="23"/>
        <v>112.09851</v>
      </c>
      <c r="AV21" s="47">
        <f t="shared" si="24"/>
        <v>6.5515008</v>
      </c>
      <c r="AW21" s="47">
        <v>6</v>
      </c>
      <c r="AX21" s="47"/>
      <c r="AY21" s="32">
        <f>$C21*BA$7</f>
        <v>38235.152</v>
      </c>
      <c r="AZ21" s="47">
        <f t="shared" si="25"/>
        <v>4124.3472175</v>
      </c>
      <c r="BA21" s="32">
        <f t="shared" si="26"/>
        <v>42359.4992175</v>
      </c>
      <c r="BB21" s="47">
        <f t="shared" si="27"/>
        <v>2475.6644223999997</v>
      </c>
      <c r="BC21" s="47">
        <v>1860</v>
      </c>
      <c r="BD21" s="47"/>
      <c r="BE21" s="32">
        <f>$C21*BG$7</f>
        <v>23426.576</v>
      </c>
      <c r="BF21" s="47">
        <f t="shared" si="28"/>
        <v>2526.9765775</v>
      </c>
      <c r="BG21" s="32">
        <f t="shared" si="29"/>
        <v>25953.552577500002</v>
      </c>
      <c r="BH21" s="47">
        <f t="shared" si="30"/>
        <v>1516.8330112</v>
      </c>
      <c r="BI21" s="47">
        <v>1138</v>
      </c>
      <c r="BJ21" s="47"/>
      <c r="BK21" s="32">
        <f>$C21*BM$7</f>
        <v>12910.88</v>
      </c>
      <c r="BL21" s="47">
        <f t="shared" si="31"/>
        <v>1392.670075</v>
      </c>
      <c r="BM21" s="32">
        <f t="shared" si="32"/>
        <v>14303.550075</v>
      </c>
      <c r="BN21" s="47">
        <f t="shared" si="33"/>
        <v>835.9586559999999</v>
      </c>
      <c r="BO21" s="47">
        <v>627</v>
      </c>
      <c r="BP21" s="32"/>
      <c r="BQ21" s="32">
        <f>$C21*BS$7</f>
        <v>10207.184000000001</v>
      </c>
      <c r="BR21" s="47">
        <f t="shared" si="34"/>
        <v>1101.0279475</v>
      </c>
      <c r="BS21" s="32">
        <f t="shared" si="35"/>
        <v>11308.211947500002</v>
      </c>
      <c r="BT21" s="47">
        <f t="shared" si="36"/>
        <v>660.8987008</v>
      </c>
      <c r="BU21" s="47">
        <v>498</v>
      </c>
      <c r="BV21" s="47"/>
      <c r="BW21" s="32">
        <f>$C21*BY$7</f>
        <v>53519.888</v>
      </c>
      <c r="BX21" s="47">
        <f t="shared" si="37"/>
        <v>5773.0802575</v>
      </c>
      <c r="BY21" s="32">
        <f t="shared" si="38"/>
        <v>59292.9682575</v>
      </c>
      <c r="BZ21" s="47">
        <f t="shared" si="39"/>
        <v>3465.3264255999998</v>
      </c>
      <c r="CA21" s="47">
        <v>2610</v>
      </c>
      <c r="CB21" s="47"/>
      <c r="CC21" s="32">
        <f>$C21*CE$7</f>
        <v>3618.816</v>
      </c>
      <c r="CD21" s="47">
        <f t="shared" si="40"/>
        <v>390.35423999999995</v>
      </c>
      <c r="CE21" s="32">
        <f t="shared" si="41"/>
        <v>4009.17024</v>
      </c>
      <c r="CF21" s="47">
        <f t="shared" si="42"/>
        <v>234.3124992</v>
      </c>
      <c r="CG21" s="47">
        <v>176</v>
      </c>
      <c r="CH21" s="47"/>
      <c r="CI21" s="32">
        <f>$C21*CK$7</f>
        <v>21494.656</v>
      </c>
      <c r="CJ21" s="47">
        <f t="shared" si="43"/>
        <v>2318.58434</v>
      </c>
      <c r="CK21" s="32">
        <f t="shared" si="44"/>
        <v>23813.24034</v>
      </c>
      <c r="CL21" s="47">
        <f t="shared" si="45"/>
        <v>1391.7443072</v>
      </c>
      <c r="CM21" s="47">
        <v>1046</v>
      </c>
      <c r="CN21" s="47"/>
      <c r="CO21" s="32">
        <f>$C21*CQ$7</f>
        <v>18507.744000000002</v>
      </c>
      <c r="CP21" s="47">
        <f t="shared" si="46"/>
        <v>1996.3922850000001</v>
      </c>
      <c r="CQ21" s="32">
        <f t="shared" si="47"/>
        <v>20504.136285000004</v>
      </c>
      <c r="CR21" s="47">
        <f t="shared" si="48"/>
        <v>1198.3465728</v>
      </c>
      <c r="CS21" s="47">
        <v>902</v>
      </c>
      <c r="CT21" s="47"/>
      <c r="CU21" s="32">
        <f>$C21*CW$7</f>
        <v>19194.703999999998</v>
      </c>
      <c r="CV21" s="47">
        <f t="shared" si="49"/>
        <v>2070.4932475</v>
      </c>
      <c r="CW21" s="32">
        <f t="shared" si="50"/>
        <v>21265.197247499997</v>
      </c>
      <c r="CX21" s="47">
        <f t="shared" si="51"/>
        <v>1242.8261248</v>
      </c>
      <c r="CY21" s="47">
        <v>934</v>
      </c>
      <c r="CZ21" s="47"/>
      <c r="DA21" s="32">
        <f>$C21*DC$7</f>
        <v>9209.728000000001</v>
      </c>
      <c r="DB21" s="47">
        <f t="shared" si="52"/>
        <v>993.43442</v>
      </c>
      <c r="DC21" s="32">
        <f t="shared" si="53"/>
        <v>10203.16242</v>
      </c>
      <c r="DD21" s="47">
        <f t="shared" si="54"/>
        <v>596.3150336</v>
      </c>
      <c r="DE21" s="47">
        <v>452</v>
      </c>
      <c r="DF21" s="47"/>
      <c r="DG21" s="32">
        <f>$C21*DI$7</f>
        <v>62676.047999999995</v>
      </c>
      <c r="DH21" s="47">
        <f t="shared" si="55"/>
        <v>6760.7364075</v>
      </c>
      <c r="DI21" s="32">
        <f t="shared" si="56"/>
        <v>69436.78440749999</v>
      </c>
      <c r="DJ21" s="47">
        <f t="shared" si="57"/>
        <v>4058.1730176</v>
      </c>
      <c r="DK21" s="47">
        <v>3053</v>
      </c>
      <c r="DL21" s="47"/>
      <c r="DM21" s="32">
        <f>$C21*DO$7</f>
        <v>37988.64</v>
      </c>
      <c r="DN21" s="47">
        <f t="shared" si="58"/>
        <v>4097.756475</v>
      </c>
      <c r="DO21" s="32">
        <f t="shared" si="59"/>
        <v>42086.396475</v>
      </c>
      <c r="DP21" s="47">
        <f t="shared" si="60"/>
        <v>2459.703168</v>
      </c>
      <c r="DQ21" s="47">
        <v>1860</v>
      </c>
      <c r="DR21" s="47"/>
      <c r="DS21" s="32">
        <f>$C21*DU$7</f>
        <v>496.496</v>
      </c>
      <c r="DT21" s="47">
        <f t="shared" si="61"/>
        <v>53.5560025</v>
      </c>
      <c r="DU21" s="32">
        <f t="shared" si="62"/>
        <v>550.0520025</v>
      </c>
      <c r="DV21" s="47">
        <f t="shared" si="63"/>
        <v>32.1473152</v>
      </c>
      <c r="DW21" s="47">
        <v>24</v>
      </c>
      <c r="DX21" s="47"/>
      <c r="DY21" s="32">
        <f>$C21*EA$7</f>
        <v>90859.264</v>
      </c>
      <c r="DZ21" s="47">
        <f t="shared" si="64"/>
        <v>9800.801959999999</v>
      </c>
      <c r="EA21" s="32">
        <f t="shared" si="65"/>
        <v>100660.06595999999</v>
      </c>
      <c r="EB21" s="47">
        <f t="shared" si="66"/>
        <v>5882.9907968</v>
      </c>
      <c r="EC21" s="47">
        <v>4416</v>
      </c>
      <c r="ED21" s="47"/>
      <c r="EE21" s="32">
        <f>$C21*EG$7</f>
        <v>298.592</v>
      </c>
      <c r="EF21" s="47">
        <f t="shared" si="67"/>
        <v>32.208505</v>
      </c>
      <c r="EG21" s="32">
        <f t="shared" si="68"/>
        <v>330.800505</v>
      </c>
      <c r="EH21" s="47">
        <f t="shared" si="69"/>
        <v>19.3333504</v>
      </c>
      <c r="EI21" s="47">
        <v>14</v>
      </c>
      <c r="EJ21" s="47"/>
      <c r="EK21" s="32">
        <f>$C21*EM$7</f>
        <v>6937.0560000000005</v>
      </c>
      <c r="EL21" s="47">
        <f t="shared" si="70"/>
        <v>748.285965</v>
      </c>
      <c r="EM21" s="32">
        <f t="shared" si="71"/>
        <v>7685.3419650000005</v>
      </c>
      <c r="EN21" s="47">
        <f t="shared" si="72"/>
        <v>449.16318720000004</v>
      </c>
      <c r="EO21" s="47">
        <v>337</v>
      </c>
    </row>
    <row r="22" spans="1:145" s="49" customFormat="1" ht="12.75">
      <c r="A22" s="48">
        <v>45017</v>
      </c>
      <c r="C22" s="34">
        <f>'2012D'!C22</f>
        <v>0</v>
      </c>
      <c r="D22" s="34">
        <f>'2012D'!D22</f>
        <v>411025</v>
      </c>
      <c r="E22" s="34">
        <f t="shared" si="0"/>
        <v>411025</v>
      </c>
      <c r="F22" s="34">
        <f>'2012D'!F22</f>
        <v>321152</v>
      </c>
      <c r="G22" s="34">
        <f>'2012D'!G22</f>
        <v>241163</v>
      </c>
      <c r="H22" s="47"/>
      <c r="I22" s="67"/>
      <c r="J22" s="47">
        <f t="shared" si="2"/>
        <v>69229.72169750002</v>
      </c>
      <c r="K22" s="47">
        <f t="shared" si="3"/>
        <v>69229.72169750002</v>
      </c>
      <c r="L22" s="47">
        <f t="shared" si="4"/>
        <v>54092.2415488</v>
      </c>
      <c r="M22" s="47">
        <f t="shared" si="5"/>
        <v>40629</v>
      </c>
      <c r="N22" s="47"/>
      <c r="O22" s="32"/>
      <c r="P22" s="47">
        <f t="shared" si="7"/>
        <v>5337.3651375</v>
      </c>
      <c r="Q22" s="47">
        <f t="shared" si="8"/>
        <v>5337.3651375</v>
      </c>
      <c r="R22" s="47">
        <f t="shared" si="9"/>
        <v>4170.319296000001</v>
      </c>
      <c r="S22" s="47">
        <v>3128</v>
      </c>
      <c r="T22" s="47"/>
      <c r="U22" s="32"/>
      <c r="V22" s="47">
        <f t="shared" si="10"/>
        <v>1696.7934050000001</v>
      </c>
      <c r="W22" s="32">
        <f t="shared" si="11"/>
        <v>1696.7934050000001</v>
      </c>
      <c r="X22" s="47">
        <f t="shared" si="12"/>
        <v>1325.7796864000002</v>
      </c>
      <c r="Y22" s="47">
        <v>995</v>
      </c>
      <c r="Z22" s="47"/>
      <c r="AA22" s="32"/>
      <c r="AB22" s="47">
        <f t="shared" si="13"/>
        <v>11473.927285</v>
      </c>
      <c r="AC22" s="32">
        <f t="shared" si="14"/>
        <v>11473.927285</v>
      </c>
      <c r="AD22" s="47">
        <f t="shared" si="15"/>
        <v>8965.0865408</v>
      </c>
      <c r="AE22" s="47">
        <v>6734</v>
      </c>
      <c r="AF22" s="47"/>
      <c r="AG22" s="32"/>
      <c r="AH22" s="47">
        <f t="shared" si="16"/>
        <v>11536.896315</v>
      </c>
      <c r="AI22" s="32">
        <f t="shared" si="17"/>
        <v>11536.896315</v>
      </c>
      <c r="AJ22" s="47">
        <f t="shared" si="18"/>
        <v>9014.2870272</v>
      </c>
      <c r="AK22" s="47">
        <v>6748</v>
      </c>
      <c r="AL22" s="47"/>
      <c r="AM22" s="32"/>
      <c r="AN22" s="47">
        <f t="shared" si="19"/>
        <v>5235.1843225</v>
      </c>
      <c r="AO22" s="32">
        <f t="shared" si="20"/>
        <v>5235.1843225</v>
      </c>
      <c r="AP22" s="47">
        <f t="shared" si="21"/>
        <v>4090.4809088</v>
      </c>
      <c r="AQ22" s="47">
        <v>3071</v>
      </c>
      <c r="AR22" s="47"/>
      <c r="AS22" s="32"/>
      <c r="AT22" s="47">
        <f t="shared" si="22"/>
        <v>8.38491</v>
      </c>
      <c r="AU22" s="32">
        <f t="shared" si="23"/>
        <v>8.38491</v>
      </c>
      <c r="AV22" s="47">
        <f t="shared" si="24"/>
        <v>6.5515008</v>
      </c>
      <c r="AW22" s="47">
        <v>6</v>
      </c>
      <c r="AX22" s="47"/>
      <c r="AY22" s="32"/>
      <c r="AZ22" s="47">
        <f t="shared" si="25"/>
        <v>3168.4684174999998</v>
      </c>
      <c r="BA22" s="32">
        <f t="shared" si="26"/>
        <v>3168.4684174999998</v>
      </c>
      <c r="BB22" s="47">
        <f t="shared" si="27"/>
        <v>2475.6644223999997</v>
      </c>
      <c r="BC22" s="47">
        <v>1860</v>
      </c>
      <c r="BD22" s="47"/>
      <c r="BE22" s="32"/>
      <c r="BF22" s="47">
        <f t="shared" si="28"/>
        <v>1941.3121775</v>
      </c>
      <c r="BG22" s="32">
        <f t="shared" si="29"/>
        <v>1941.3121775</v>
      </c>
      <c r="BH22" s="47">
        <f t="shared" si="30"/>
        <v>1516.8330112</v>
      </c>
      <c r="BI22" s="47">
        <v>1138</v>
      </c>
      <c r="BJ22" s="47"/>
      <c r="BK22" s="32"/>
      <c r="BL22" s="47">
        <f t="shared" si="31"/>
        <v>1069.8980749999998</v>
      </c>
      <c r="BM22" s="32">
        <f t="shared" si="32"/>
        <v>1069.8980749999998</v>
      </c>
      <c r="BN22" s="47">
        <f t="shared" si="33"/>
        <v>835.9586559999999</v>
      </c>
      <c r="BO22" s="47">
        <v>627</v>
      </c>
      <c r="BP22" s="32"/>
      <c r="BQ22" s="32"/>
      <c r="BR22" s="47">
        <f t="shared" si="34"/>
        <v>845.8483475</v>
      </c>
      <c r="BS22" s="32">
        <f t="shared" si="35"/>
        <v>845.8483475</v>
      </c>
      <c r="BT22" s="47">
        <f t="shared" si="36"/>
        <v>660.8987008</v>
      </c>
      <c r="BU22" s="47">
        <v>498</v>
      </c>
      <c r="BV22" s="47"/>
      <c r="BW22" s="32"/>
      <c r="BX22" s="47">
        <f t="shared" si="37"/>
        <v>4435.0830575</v>
      </c>
      <c r="BY22" s="32">
        <f t="shared" si="38"/>
        <v>4435.0830575</v>
      </c>
      <c r="BZ22" s="47">
        <f t="shared" si="39"/>
        <v>3465.3264255999998</v>
      </c>
      <c r="CA22" s="47">
        <v>2610</v>
      </c>
      <c r="CB22" s="47"/>
      <c r="CC22" s="32"/>
      <c r="CD22" s="47">
        <f t="shared" si="40"/>
        <v>299.88383999999996</v>
      </c>
      <c r="CE22" s="32">
        <f t="shared" si="41"/>
        <v>299.88383999999996</v>
      </c>
      <c r="CF22" s="47">
        <f t="shared" si="42"/>
        <v>234.3124992</v>
      </c>
      <c r="CG22" s="47">
        <v>176</v>
      </c>
      <c r="CH22" s="47"/>
      <c r="CI22" s="32"/>
      <c r="CJ22" s="47">
        <f t="shared" si="43"/>
        <v>1781.21794</v>
      </c>
      <c r="CK22" s="32">
        <f t="shared" si="44"/>
        <v>1781.21794</v>
      </c>
      <c r="CL22" s="47">
        <f t="shared" si="45"/>
        <v>1391.7443072</v>
      </c>
      <c r="CM22" s="47">
        <v>1046</v>
      </c>
      <c r="CN22" s="47"/>
      <c r="CO22" s="32"/>
      <c r="CP22" s="47">
        <f t="shared" si="46"/>
        <v>1533.698685</v>
      </c>
      <c r="CQ22" s="32">
        <f t="shared" si="47"/>
        <v>1533.698685</v>
      </c>
      <c r="CR22" s="47">
        <f t="shared" si="48"/>
        <v>1198.3465728</v>
      </c>
      <c r="CS22" s="47">
        <v>902</v>
      </c>
      <c r="CT22" s="47"/>
      <c r="CU22" s="32"/>
      <c r="CV22" s="47">
        <f t="shared" si="49"/>
        <v>1590.6256475</v>
      </c>
      <c r="CW22" s="32">
        <f t="shared" si="50"/>
        <v>1590.6256475</v>
      </c>
      <c r="CX22" s="47">
        <f t="shared" si="51"/>
        <v>1242.8261248</v>
      </c>
      <c r="CY22" s="47">
        <v>934</v>
      </c>
      <c r="CZ22" s="47"/>
      <c r="DA22" s="32"/>
      <c r="DB22" s="47">
        <f t="shared" si="52"/>
        <v>763.19122</v>
      </c>
      <c r="DC22" s="32">
        <f t="shared" si="53"/>
        <v>763.19122</v>
      </c>
      <c r="DD22" s="47">
        <f t="shared" si="54"/>
        <v>596.3150336</v>
      </c>
      <c r="DE22" s="47">
        <v>452</v>
      </c>
      <c r="DF22" s="47"/>
      <c r="DG22" s="32"/>
      <c r="DH22" s="47">
        <f t="shared" si="55"/>
        <v>5193.8352075</v>
      </c>
      <c r="DI22" s="32">
        <f t="shared" si="56"/>
        <v>5193.8352075</v>
      </c>
      <c r="DJ22" s="47">
        <f t="shared" si="57"/>
        <v>4058.1730176</v>
      </c>
      <c r="DK22" s="47">
        <v>3053</v>
      </c>
      <c r="DL22" s="47"/>
      <c r="DM22" s="32"/>
      <c r="DN22" s="47">
        <f t="shared" si="58"/>
        <v>3148.040475</v>
      </c>
      <c r="DO22" s="32">
        <f t="shared" si="59"/>
        <v>3148.040475</v>
      </c>
      <c r="DP22" s="47">
        <f t="shared" si="60"/>
        <v>2459.703168</v>
      </c>
      <c r="DQ22" s="47">
        <v>1860</v>
      </c>
      <c r="DR22" s="47"/>
      <c r="DS22" s="32"/>
      <c r="DT22" s="47">
        <f t="shared" si="61"/>
        <v>41.1436025</v>
      </c>
      <c r="DU22" s="32">
        <f t="shared" si="62"/>
        <v>41.1436025</v>
      </c>
      <c r="DV22" s="47">
        <f t="shared" si="63"/>
        <v>32.1473152</v>
      </c>
      <c r="DW22" s="47">
        <v>24</v>
      </c>
      <c r="DX22" s="47"/>
      <c r="DY22" s="32"/>
      <c r="DZ22" s="47">
        <f t="shared" si="64"/>
        <v>7529.32036</v>
      </c>
      <c r="EA22" s="32">
        <f t="shared" si="65"/>
        <v>7529.32036</v>
      </c>
      <c r="EB22" s="47">
        <f t="shared" si="66"/>
        <v>5882.9907968</v>
      </c>
      <c r="EC22" s="47">
        <v>4416</v>
      </c>
      <c r="ED22" s="47"/>
      <c r="EE22" s="32"/>
      <c r="EF22" s="47">
        <f t="shared" si="67"/>
        <v>24.743705</v>
      </c>
      <c r="EG22" s="32">
        <f t="shared" si="68"/>
        <v>24.743705</v>
      </c>
      <c r="EH22" s="47">
        <f t="shared" si="69"/>
        <v>19.3333504</v>
      </c>
      <c r="EI22" s="47">
        <v>14</v>
      </c>
      <c r="EJ22" s="47"/>
      <c r="EK22" s="32"/>
      <c r="EL22" s="47">
        <f t="shared" si="70"/>
        <v>574.859565</v>
      </c>
      <c r="EM22" s="32">
        <f t="shared" si="71"/>
        <v>574.859565</v>
      </c>
      <c r="EN22" s="47">
        <f t="shared" si="72"/>
        <v>449.16318720000004</v>
      </c>
      <c r="EO22" s="47">
        <v>337</v>
      </c>
    </row>
    <row r="23" spans="1:145" s="49" customFormat="1" ht="12.75">
      <c r="A23" s="48">
        <v>45200</v>
      </c>
      <c r="C23" s="34">
        <f>'2012D'!C23</f>
        <v>5180000</v>
      </c>
      <c r="D23" s="34">
        <f>'2012D'!D23</f>
        <v>411025</v>
      </c>
      <c r="E23" s="34">
        <f t="shared" si="0"/>
        <v>5591025</v>
      </c>
      <c r="F23" s="34">
        <f>'2012D'!F23</f>
        <v>321152</v>
      </c>
      <c r="G23" s="34">
        <f>'2012D'!G23</f>
        <v>241163</v>
      </c>
      <c r="H23" s="47"/>
      <c r="I23" s="67">
        <f t="shared" si="1"/>
        <v>872477.2420000002</v>
      </c>
      <c r="J23" s="47">
        <f t="shared" si="2"/>
        <v>69229.72169750002</v>
      </c>
      <c r="K23" s="47">
        <f t="shared" si="3"/>
        <v>941706.9636975002</v>
      </c>
      <c r="L23" s="47">
        <f t="shared" si="4"/>
        <v>54092.2415488</v>
      </c>
      <c r="M23" s="47">
        <f t="shared" si="5"/>
        <v>40629</v>
      </c>
      <c r="N23" s="47"/>
      <c r="O23" s="32">
        <f t="shared" si="6"/>
        <v>67264.89</v>
      </c>
      <c r="P23" s="47">
        <f t="shared" si="7"/>
        <v>5337.3651375</v>
      </c>
      <c r="Q23" s="47">
        <f t="shared" si="8"/>
        <v>72602.2551375</v>
      </c>
      <c r="R23" s="47">
        <f t="shared" si="9"/>
        <v>4170.319296000001</v>
      </c>
      <c r="S23" s="47">
        <v>3128</v>
      </c>
      <c r="T23" s="47"/>
      <c r="U23" s="32">
        <f>$C23*W$7</f>
        <v>21384.076</v>
      </c>
      <c r="V23" s="47">
        <f t="shared" si="10"/>
        <v>1696.7934050000001</v>
      </c>
      <c r="W23" s="32">
        <f t="shared" si="11"/>
        <v>23080.869405</v>
      </c>
      <c r="X23" s="47">
        <f t="shared" si="12"/>
        <v>1325.7796864000002</v>
      </c>
      <c r="Y23" s="47">
        <v>995</v>
      </c>
      <c r="Z23" s="47"/>
      <c r="AA23" s="32">
        <f>$C23*AC$7</f>
        <v>144601.772</v>
      </c>
      <c r="AB23" s="47">
        <f t="shared" si="13"/>
        <v>11473.927285</v>
      </c>
      <c r="AC23" s="32">
        <f t="shared" si="14"/>
        <v>156075.699285</v>
      </c>
      <c r="AD23" s="47">
        <f t="shared" si="15"/>
        <v>8965.0865408</v>
      </c>
      <c r="AE23" s="47">
        <v>6734</v>
      </c>
      <c r="AF23" s="47"/>
      <c r="AG23" s="32">
        <f>$C23*AI$7</f>
        <v>145395.348</v>
      </c>
      <c r="AH23" s="47">
        <f t="shared" si="16"/>
        <v>11536.896315</v>
      </c>
      <c r="AI23" s="32">
        <f t="shared" si="17"/>
        <v>156932.244315</v>
      </c>
      <c r="AJ23" s="47">
        <f t="shared" si="18"/>
        <v>9014.2870272</v>
      </c>
      <c r="AK23" s="47">
        <v>6748</v>
      </c>
      <c r="AL23" s="47"/>
      <c r="AM23" s="32">
        <f>$C23*AO$7</f>
        <v>65977.142</v>
      </c>
      <c r="AN23" s="47">
        <f t="shared" si="19"/>
        <v>5235.1843225</v>
      </c>
      <c r="AO23" s="32">
        <f t="shared" si="20"/>
        <v>71212.32632250001</v>
      </c>
      <c r="AP23" s="47">
        <f t="shared" si="21"/>
        <v>4090.4809088</v>
      </c>
      <c r="AQ23" s="47">
        <v>3071</v>
      </c>
      <c r="AR23" s="47"/>
      <c r="AS23" s="32">
        <f>$C23*AU$7</f>
        <v>105.67200000000001</v>
      </c>
      <c r="AT23" s="47">
        <f t="shared" si="22"/>
        <v>8.38491</v>
      </c>
      <c r="AU23" s="32">
        <f t="shared" si="23"/>
        <v>114.05691000000002</v>
      </c>
      <c r="AV23" s="47">
        <f t="shared" si="24"/>
        <v>6.5515008</v>
      </c>
      <c r="AW23" s="47">
        <v>6</v>
      </c>
      <c r="AX23" s="47"/>
      <c r="AY23" s="32">
        <f>$C23*BA$7</f>
        <v>39931.066</v>
      </c>
      <c r="AZ23" s="47">
        <f t="shared" si="25"/>
        <v>3168.4684174999998</v>
      </c>
      <c r="BA23" s="32">
        <f t="shared" si="26"/>
        <v>43099.5344175</v>
      </c>
      <c r="BB23" s="47">
        <f t="shared" si="27"/>
        <v>2475.6644223999997</v>
      </c>
      <c r="BC23" s="47">
        <v>1860</v>
      </c>
      <c r="BD23" s="47"/>
      <c r="BE23" s="32">
        <f>$C23*BG$7</f>
        <v>24465.658</v>
      </c>
      <c r="BF23" s="47">
        <f t="shared" si="28"/>
        <v>1941.3121775</v>
      </c>
      <c r="BG23" s="32">
        <f t="shared" si="29"/>
        <v>26406.9701775</v>
      </c>
      <c r="BH23" s="47">
        <f t="shared" si="30"/>
        <v>1516.8330112</v>
      </c>
      <c r="BI23" s="47">
        <v>1138</v>
      </c>
      <c r="BJ23" s="47"/>
      <c r="BK23" s="32">
        <f>$C23*BM$7</f>
        <v>13483.539999999999</v>
      </c>
      <c r="BL23" s="47">
        <f t="shared" si="31"/>
        <v>1069.8980749999998</v>
      </c>
      <c r="BM23" s="32">
        <f t="shared" si="32"/>
        <v>14553.438074999998</v>
      </c>
      <c r="BN23" s="47">
        <f t="shared" si="33"/>
        <v>835.9586559999999</v>
      </c>
      <c r="BO23" s="47">
        <v>627</v>
      </c>
      <c r="BP23" s="32"/>
      <c r="BQ23" s="32">
        <f>$C23*BS$7</f>
        <v>10659.922</v>
      </c>
      <c r="BR23" s="47">
        <f t="shared" si="34"/>
        <v>845.8483475</v>
      </c>
      <c r="BS23" s="32">
        <f t="shared" si="35"/>
        <v>11505.7703475</v>
      </c>
      <c r="BT23" s="47">
        <f t="shared" si="36"/>
        <v>660.8987008</v>
      </c>
      <c r="BU23" s="47">
        <v>498</v>
      </c>
      <c r="BV23" s="47"/>
      <c r="BW23" s="32">
        <f>$C23*BY$7</f>
        <v>55893.75399999999</v>
      </c>
      <c r="BX23" s="47">
        <f t="shared" si="37"/>
        <v>4435.0830575</v>
      </c>
      <c r="BY23" s="32">
        <f t="shared" si="38"/>
        <v>60328.83705749999</v>
      </c>
      <c r="BZ23" s="47">
        <f t="shared" si="39"/>
        <v>3465.3264255999998</v>
      </c>
      <c r="CA23" s="47">
        <v>2610</v>
      </c>
      <c r="CB23" s="47"/>
      <c r="CC23" s="32">
        <f>$C23*CE$7</f>
        <v>3779.328</v>
      </c>
      <c r="CD23" s="47">
        <f t="shared" si="40"/>
        <v>299.88383999999996</v>
      </c>
      <c r="CE23" s="32">
        <f t="shared" si="41"/>
        <v>4079.21184</v>
      </c>
      <c r="CF23" s="47">
        <f t="shared" si="42"/>
        <v>234.3124992</v>
      </c>
      <c r="CG23" s="47">
        <v>176</v>
      </c>
      <c r="CH23" s="47"/>
      <c r="CI23" s="32">
        <f>$C23*CK$7</f>
        <v>22448.048</v>
      </c>
      <c r="CJ23" s="47">
        <f t="shared" si="43"/>
        <v>1781.21794</v>
      </c>
      <c r="CK23" s="32">
        <f t="shared" si="44"/>
        <v>24229.265939999997</v>
      </c>
      <c r="CL23" s="47">
        <f t="shared" si="45"/>
        <v>1391.7443072</v>
      </c>
      <c r="CM23" s="47">
        <v>1046</v>
      </c>
      <c r="CN23" s="47"/>
      <c r="CO23" s="32">
        <f>$C23*CQ$7</f>
        <v>19328.652000000002</v>
      </c>
      <c r="CP23" s="47">
        <f t="shared" si="46"/>
        <v>1533.698685</v>
      </c>
      <c r="CQ23" s="32">
        <f t="shared" si="47"/>
        <v>20862.350685</v>
      </c>
      <c r="CR23" s="47">
        <f t="shared" si="48"/>
        <v>1198.3465728</v>
      </c>
      <c r="CS23" s="47">
        <v>902</v>
      </c>
      <c r="CT23" s="47"/>
      <c r="CU23" s="32">
        <f>$C23*CW$7</f>
        <v>20046.082</v>
      </c>
      <c r="CV23" s="47">
        <f t="shared" si="49"/>
        <v>1590.6256475</v>
      </c>
      <c r="CW23" s="32">
        <f t="shared" si="50"/>
        <v>21636.7076475</v>
      </c>
      <c r="CX23" s="47">
        <f t="shared" si="51"/>
        <v>1242.8261248</v>
      </c>
      <c r="CY23" s="47">
        <v>934</v>
      </c>
      <c r="CZ23" s="47"/>
      <c r="DA23" s="32">
        <f>$C23*DC$7</f>
        <v>9618.224</v>
      </c>
      <c r="DB23" s="47">
        <f t="shared" si="52"/>
        <v>763.19122</v>
      </c>
      <c r="DC23" s="32">
        <f t="shared" si="53"/>
        <v>10381.41522</v>
      </c>
      <c r="DD23" s="47">
        <f t="shared" si="54"/>
        <v>596.3150336</v>
      </c>
      <c r="DE23" s="47">
        <v>452</v>
      </c>
      <c r="DF23" s="47"/>
      <c r="DG23" s="32">
        <f>$C23*DI$7</f>
        <v>65456.034</v>
      </c>
      <c r="DH23" s="47">
        <f t="shared" si="55"/>
        <v>5193.8352075</v>
      </c>
      <c r="DI23" s="32">
        <f t="shared" si="56"/>
        <v>70649.8692075</v>
      </c>
      <c r="DJ23" s="47">
        <f t="shared" si="57"/>
        <v>4058.1730176</v>
      </c>
      <c r="DK23" s="47">
        <v>3053</v>
      </c>
      <c r="DL23" s="47"/>
      <c r="DM23" s="32">
        <f>$C23*DO$7</f>
        <v>39673.62</v>
      </c>
      <c r="DN23" s="47">
        <f t="shared" si="58"/>
        <v>3148.040475</v>
      </c>
      <c r="DO23" s="32">
        <f t="shared" si="59"/>
        <v>42821.660475000004</v>
      </c>
      <c r="DP23" s="47">
        <f t="shared" si="60"/>
        <v>2459.703168</v>
      </c>
      <c r="DQ23" s="47">
        <v>1860</v>
      </c>
      <c r="DR23" s="47"/>
      <c r="DS23" s="32">
        <f>$C23*DU$7</f>
        <v>518.5179999999999</v>
      </c>
      <c r="DT23" s="47">
        <f t="shared" si="61"/>
        <v>41.1436025</v>
      </c>
      <c r="DU23" s="32">
        <f t="shared" si="62"/>
        <v>559.6616025</v>
      </c>
      <c r="DV23" s="47">
        <f t="shared" si="63"/>
        <v>32.1473152</v>
      </c>
      <c r="DW23" s="47">
        <v>24</v>
      </c>
      <c r="DX23" s="47"/>
      <c r="DY23" s="32">
        <f>$C23*EA$7</f>
        <v>94889.31199999999</v>
      </c>
      <c r="DZ23" s="47">
        <f t="shared" si="64"/>
        <v>7529.32036</v>
      </c>
      <c r="EA23" s="32">
        <f t="shared" si="65"/>
        <v>102418.63235999999</v>
      </c>
      <c r="EB23" s="47">
        <f t="shared" si="66"/>
        <v>5882.9907968</v>
      </c>
      <c r="EC23" s="47">
        <v>4416</v>
      </c>
      <c r="ED23" s="47"/>
      <c r="EE23" s="32">
        <f>$C23*EG$7</f>
        <v>311.836</v>
      </c>
      <c r="EF23" s="47">
        <f t="shared" si="67"/>
        <v>24.743705</v>
      </c>
      <c r="EG23" s="32">
        <f t="shared" si="68"/>
        <v>336.579705</v>
      </c>
      <c r="EH23" s="47">
        <f t="shared" si="69"/>
        <v>19.3333504</v>
      </c>
      <c r="EI23" s="47">
        <v>14</v>
      </c>
      <c r="EJ23" s="47"/>
      <c r="EK23" s="32">
        <f>$C23*EM$7</f>
        <v>7244.7480000000005</v>
      </c>
      <c r="EL23" s="47">
        <f t="shared" si="70"/>
        <v>574.859565</v>
      </c>
      <c r="EM23" s="32">
        <f t="shared" si="71"/>
        <v>7819.607565</v>
      </c>
      <c r="EN23" s="47">
        <f t="shared" si="72"/>
        <v>449.16318720000004</v>
      </c>
      <c r="EO23" s="47">
        <v>337</v>
      </c>
    </row>
    <row r="24" spans="1:145" s="49" customFormat="1" ht="12.75">
      <c r="A24" s="48">
        <v>45383</v>
      </c>
      <c r="C24" s="34">
        <f>'2012D'!C24</f>
        <v>0</v>
      </c>
      <c r="D24" s="34">
        <f>'2012D'!D24</f>
        <v>307425</v>
      </c>
      <c r="E24" s="34">
        <f t="shared" si="0"/>
        <v>307425</v>
      </c>
      <c r="F24" s="34">
        <f>'2012D'!F24</f>
        <v>321152</v>
      </c>
      <c r="G24" s="34">
        <f>'2012D'!G24</f>
        <v>241163</v>
      </c>
      <c r="H24" s="47"/>
      <c r="I24" s="67"/>
      <c r="J24" s="47">
        <f t="shared" si="2"/>
        <v>51780.17685749999</v>
      </c>
      <c r="K24" s="47">
        <f t="shared" si="3"/>
        <v>51780.17685749999</v>
      </c>
      <c r="L24" s="47">
        <f t="shared" si="4"/>
        <v>54092.2415488</v>
      </c>
      <c r="M24" s="47">
        <f t="shared" si="5"/>
        <v>40629</v>
      </c>
      <c r="N24" s="47"/>
      <c r="O24" s="32"/>
      <c r="P24" s="47">
        <f t="shared" si="7"/>
        <v>3992.0673375</v>
      </c>
      <c r="Q24" s="47">
        <f t="shared" si="8"/>
        <v>3992.0673375</v>
      </c>
      <c r="R24" s="47">
        <f t="shared" si="9"/>
        <v>4170.319296000001</v>
      </c>
      <c r="S24" s="47">
        <v>3128</v>
      </c>
      <c r="T24" s="47"/>
      <c r="U24" s="32"/>
      <c r="V24" s="47">
        <f t="shared" si="10"/>
        <v>1269.111885</v>
      </c>
      <c r="W24" s="32">
        <f t="shared" si="11"/>
        <v>1269.111885</v>
      </c>
      <c r="X24" s="47">
        <f t="shared" si="12"/>
        <v>1325.7796864000002</v>
      </c>
      <c r="Y24" s="47">
        <v>995</v>
      </c>
      <c r="Z24" s="47"/>
      <c r="AA24" s="32"/>
      <c r="AB24" s="47">
        <f t="shared" si="13"/>
        <v>8581.891845</v>
      </c>
      <c r="AC24" s="32">
        <f t="shared" si="14"/>
        <v>8581.891845</v>
      </c>
      <c r="AD24" s="47">
        <f t="shared" si="15"/>
        <v>8965.0865408</v>
      </c>
      <c r="AE24" s="47">
        <v>6734</v>
      </c>
      <c r="AF24" s="47"/>
      <c r="AG24" s="32"/>
      <c r="AH24" s="47">
        <f t="shared" si="16"/>
        <v>8628.989355</v>
      </c>
      <c r="AI24" s="32">
        <f t="shared" si="17"/>
        <v>8628.989355</v>
      </c>
      <c r="AJ24" s="47">
        <f t="shared" si="18"/>
        <v>9014.2870272</v>
      </c>
      <c r="AK24" s="47">
        <v>6748</v>
      </c>
      <c r="AL24" s="47"/>
      <c r="AM24" s="32"/>
      <c r="AN24" s="47">
        <f t="shared" si="19"/>
        <v>3915.6414825</v>
      </c>
      <c r="AO24" s="32">
        <f t="shared" si="20"/>
        <v>3915.6414825</v>
      </c>
      <c r="AP24" s="47">
        <f t="shared" si="21"/>
        <v>4090.4809088</v>
      </c>
      <c r="AQ24" s="47">
        <v>3071</v>
      </c>
      <c r="AR24" s="47"/>
      <c r="AS24" s="32"/>
      <c r="AT24" s="47">
        <f t="shared" si="22"/>
        <v>6.271470000000001</v>
      </c>
      <c r="AU24" s="32">
        <f t="shared" si="23"/>
        <v>6.271470000000001</v>
      </c>
      <c r="AV24" s="47">
        <f t="shared" si="24"/>
        <v>6.5515008</v>
      </c>
      <c r="AW24" s="47">
        <v>6</v>
      </c>
      <c r="AX24" s="47"/>
      <c r="AY24" s="32"/>
      <c r="AZ24" s="47">
        <f t="shared" si="25"/>
        <v>2369.8470975</v>
      </c>
      <c r="BA24" s="32">
        <f t="shared" si="26"/>
        <v>2369.8470975</v>
      </c>
      <c r="BB24" s="47">
        <f t="shared" si="27"/>
        <v>2475.6644223999997</v>
      </c>
      <c r="BC24" s="47">
        <v>1860</v>
      </c>
      <c r="BD24" s="47"/>
      <c r="BE24" s="32"/>
      <c r="BF24" s="47">
        <f t="shared" si="28"/>
        <v>1451.9990175</v>
      </c>
      <c r="BG24" s="32">
        <f t="shared" si="29"/>
        <v>1451.9990175</v>
      </c>
      <c r="BH24" s="47">
        <f t="shared" si="30"/>
        <v>1516.8330112</v>
      </c>
      <c r="BI24" s="47">
        <v>1138</v>
      </c>
      <c r="BJ24" s="47"/>
      <c r="BK24" s="32"/>
      <c r="BL24" s="47">
        <f t="shared" si="31"/>
        <v>800.227275</v>
      </c>
      <c r="BM24" s="32">
        <f t="shared" si="32"/>
        <v>800.227275</v>
      </c>
      <c r="BN24" s="47">
        <f t="shared" si="33"/>
        <v>835.9586559999999</v>
      </c>
      <c r="BO24" s="47">
        <v>627</v>
      </c>
      <c r="BP24" s="32"/>
      <c r="BQ24" s="32"/>
      <c r="BR24" s="47">
        <f t="shared" si="34"/>
        <v>632.6499075</v>
      </c>
      <c r="BS24" s="32">
        <f t="shared" si="35"/>
        <v>632.6499075</v>
      </c>
      <c r="BT24" s="47">
        <f t="shared" si="36"/>
        <v>660.8987008</v>
      </c>
      <c r="BU24" s="47">
        <v>498</v>
      </c>
      <c r="BV24" s="47"/>
      <c r="BW24" s="32"/>
      <c r="BX24" s="47">
        <f t="shared" si="37"/>
        <v>3317.2079774999997</v>
      </c>
      <c r="BY24" s="32">
        <f t="shared" si="38"/>
        <v>3317.2079774999997</v>
      </c>
      <c r="BZ24" s="47">
        <f t="shared" si="39"/>
        <v>3465.3264255999998</v>
      </c>
      <c r="CA24" s="47">
        <v>2610</v>
      </c>
      <c r="CB24" s="47"/>
      <c r="CC24" s="32"/>
      <c r="CD24" s="47">
        <f t="shared" si="40"/>
        <v>224.29727999999997</v>
      </c>
      <c r="CE24" s="32">
        <f t="shared" si="41"/>
        <v>224.29727999999997</v>
      </c>
      <c r="CF24" s="47">
        <f t="shared" si="42"/>
        <v>234.3124992</v>
      </c>
      <c r="CG24" s="47">
        <v>176</v>
      </c>
      <c r="CH24" s="47"/>
      <c r="CI24" s="32"/>
      <c r="CJ24" s="47">
        <f t="shared" si="43"/>
        <v>1332.2569799999999</v>
      </c>
      <c r="CK24" s="32">
        <f t="shared" si="44"/>
        <v>1332.2569799999999</v>
      </c>
      <c r="CL24" s="47">
        <f t="shared" si="45"/>
        <v>1391.7443072</v>
      </c>
      <c r="CM24" s="47">
        <v>1046</v>
      </c>
      <c r="CN24" s="47"/>
      <c r="CO24" s="32"/>
      <c r="CP24" s="47">
        <f t="shared" si="46"/>
        <v>1147.125645</v>
      </c>
      <c r="CQ24" s="32">
        <f t="shared" si="47"/>
        <v>1147.125645</v>
      </c>
      <c r="CR24" s="47">
        <f t="shared" si="48"/>
        <v>1198.3465728</v>
      </c>
      <c r="CS24" s="47">
        <v>902</v>
      </c>
      <c r="CT24" s="47"/>
      <c r="CU24" s="32"/>
      <c r="CV24" s="47">
        <f t="shared" si="49"/>
        <v>1189.7040075</v>
      </c>
      <c r="CW24" s="32">
        <f t="shared" si="50"/>
        <v>1189.7040075</v>
      </c>
      <c r="CX24" s="47">
        <f t="shared" si="51"/>
        <v>1242.8261248</v>
      </c>
      <c r="CY24" s="47">
        <v>934</v>
      </c>
      <c r="CZ24" s="47"/>
      <c r="DA24" s="32"/>
      <c r="DB24" s="47">
        <f t="shared" si="52"/>
        <v>570.82674</v>
      </c>
      <c r="DC24" s="32">
        <f t="shared" si="53"/>
        <v>570.82674</v>
      </c>
      <c r="DD24" s="47">
        <f t="shared" si="54"/>
        <v>596.3150336</v>
      </c>
      <c r="DE24" s="47">
        <v>452</v>
      </c>
      <c r="DF24" s="47"/>
      <c r="DG24" s="32"/>
      <c r="DH24" s="47">
        <f t="shared" si="55"/>
        <v>3884.7145275</v>
      </c>
      <c r="DI24" s="32">
        <f t="shared" si="56"/>
        <v>3884.7145275</v>
      </c>
      <c r="DJ24" s="47">
        <f t="shared" si="57"/>
        <v>4058.1730176</v>
      </c>
      <c r="DK24" s="47">
        <v>3053</v>
      </c>
      <c r="DL24" s="47"/>
      <c r="DM24" s="32"/>
      <c r="DN24" s="47">
        <f t="shared" si="58"/>
        <v>2354.568075</v>
      </c>
      <c r="DO24" s="32">
        <f t="shared" si="59"/>
        <v>2354.568075</v>
      </c>
      <c r="DP24" s="47">
        <f t="shared" si="60"/>
        <v>2459.703168</v>
      </c>
      <c r="DQ24" s="47">
        <v>1860</v>
      </c>
      <c r="DR24" s="47"/>
      <c r="DS24" s="32"/>
      <c r="DT24" s="47">
        <f t="shared" si="61"/>
        <v>30.7732425</v>
      </c>
      <c r="DU24" s="32">
        <f t="shared" si="62"/>
        <v>30.7732425</v>
      </c>
      <c r="DV24" s="47">
        <f t="shared" si="63"/>
        <v>32.1473152</v>
      </c>
      <c r="DW24" s="47">
        <v>24</v>
      </c>
      <c r="DX24" s="47"/>
      <c r="DY24" s="32"/>
      <c r="DZ24" s="47">
        <f t="shared" si="64"/>
        <v>5631.534119999999</v>
      </c>
      <c r="EA24" s="32">
        <f t="shared" si="65"/>
        <v>5631.534119999999</v>
      </c>
      <c r="EB24" s="47">
        <f t="shared" si="66"/>
        <v>5882.9907968</v>
      </c>
      <c r="EC24" s="47">
        <v>4416</v>
      </c>
      <c r="ED24" s="47"/>
      <c r="EE24" s="32"/>
      <c r="EF24" s="47">
        <f t="shared" si="67"/>
        <v>18.506985</v>
      </c>
      <c r="EG24" s="32">
        <f t="shared" si="68"/>
        <v>18.506985</v>
      </c>
      <c r="EH24" s="47">
        <f t="shared" si="69"/>
        <v>19.3333504</v>
      </c>
      <c r="EI24" s="47">
        <v>14</v>
      </c>
      <c r="EJ24" s="47"/>
      <c r="EK24" s="32"/>
      <c r="EL24" s="47">
        <f t="shared" si="70"/>
        <v>429.964605</v>
      </c>
      <c r="EM24" s="32">
        <f t="shared" si="71"/>
        <v>429.964605</v>
      </c>
      <c r="EN24" s="47">
        <f t="shared" si="72"/>
        <v>449.16318720000004</v>
      </c>
      <c r="EO24" s="47">
        <v>337</v>
      </c>
    </row>
    <row r="25" spans="1:145" s="49" customFormat="1" ht="12.75">
      <c r="A25" s="19">
        <v>45566</v>
      </c>
      <c r="C25" s="34">
        <f>'2012D'!C25</f>
        <v>5395000</v>
      </c>
      <c r="D25" s="34">
        <f>'2012D'!D25</f>
        <v>307425</v>
      </c>
      <c r="E25" s="34">
        <f t="shared" si="0"/>
        <v>5702425</v>
      </c>
      <c r="F25" s="34">
        <f>'2012D'!F25</f>
        <v>321152</v>
      </c>
      <c r="G25" s="34">
        <f>'2012D'!G25</f>
        <v>241163</v>
      </c>
      <c r="H25" s="47"/>
      <c r="I25" s="67">
        <f t="shared" si="1"/>
        <v>908690.1005000002</v>
      </c>
      <c r="J25" s="47">
        <f t="shared" si="2"/>
        <v>51780.17685749999</v>
      </c>
      <c r="K25" s="47">
        <f t="shared" si="3"/>
        <v>960470.2773575002</v>
      </c>
      <c r="L25" s="47">
        <f t="shared" si="4"/>
        <v>54092.2415488</v>
      </c>
      <c r="M25" s="47">
        <f t="shared" si="5"/>
        <v>40629</v>
      </c>
      <c r="N25" s="47"/>
      <c r="O25" s="32">
        <f t="shared" si="6"/>
        <v>70056.7725</v>
      </c>
      <c r="P25" s="47">
        <f t="shared" si="7"/>
        <v>3992.0673375</v>
      </c>
      <c r="Q25" s="47">
        <f t="shared" si="8"/>
        <v>74048.83983750001</v>
      </c>
      <c r="R25" s="47">
        <f t="shared" si="9"/>
        <v>4170.319296000001</v>
      </c>
      <c r="S25" s="47">
        <v>3128</v>
      </c>
      <c r="T25" s="47"/>
      <c r="U25" s="32">
        <f>$C25*W$7</f>
        <v>22271.639000000003</v>
      </c>
      <c r="V25" s="47">
        <f t="shared" si="10"/>
        <v>1269.111885</v>
      </c>
      <c r="W25" s="32">
        <f t="shared" si="11"/>
        <v>23540.750885</v>
      </c>
      <c r="X25" s="47">
        <f t="shared" si="12"/>
        <v>1325.7796864000002</v>
      </c>
      <c r="Y25" s="47">
        <v>995</v>
      </c>
      <c r="Z25" s="47"/>
      <c r="AA25" s="32">
        <f>$C25*AC$7</f>
        <v>150603.583</v>
      </c>
      <c r="AB25" s="47">
        <f t="shared" si="13"/>
        <v>8581.891845</v>
      </c>
      <c r="AC25" s="32">
        <f t="shared" si="14"/>
        <v>159185.47484500002</v>
      </c>
      <c r="AD25" s="47">
        <f t="shared" si="15"/>
        <v>8965.0865408</v>
      </c>
      <c r="AE25" s="47">
        <v>6734</v>
      </c>
      <c r="AF25" s="47"/>
      <c r="AG25" s="32">
        <f>$C25*AI$7</f>
        <v>151430.097</v>
      </c>
      <c r="AH25" s="47">
        <f t="shared" si="16"/>
        <v>8628.989355</v>
      </c>
      <c r="AI25" s="32">
        <f t="shared" si="17"/>
        <v>160059.086355</v>
      </c>
      <c r="AJ25" s="47">
        <f t="shared" si="18"/>
        <v>9014.2870272</v>
      </c>
      <c r="AK25" s="47">
        <v>6748</v>
      </c>
      <c r="AL25" s="47"/>
      <c r="AM25" s="32">
        <f>$C25*AO$7</f>
        <v>68715.5755</v>
      </c>
      <c r="AN25" s="47">
        <f t="shared" si="19"/>
        <v>3915.6414825</v>
      </c>
      <c r="AO25" s="32">
        <f t="shared" si="20"/>
        <v>72631.2169825</v>
      </c>
      <c r="AP25" s="47">
        <f t="shared" si="21"/>
        <v>4090.4809088</v>
      </c>
      <c r="AQ25" s="47">
        <v>3071</v>
      </c>
      <c r="AR25" s="47"/>
      <c r="AS25" s="32">
        <f>$C25*AU$7</f>
        <v>110.058</v>
      </c>
      <c r="AT25" s="47">
        <f t="shared" si="22"/>
        <v>6.271470000000001</v>
      </c>
      <c r="AU25" s="32">
        <f t="shared" si="23"/>
        <v>116.32947000000001</v>
      </c>
      <c r="AV25" s="47">
        <f t="shared" si="24"/>
        <v>6.5515008</v>
      </c>
      <c r="AW25" s="47">
        <v>6</v>
      </c>
      <c r="AX25" s="47"/>
      <c r="AY25" s="32">
        <f>$C25*BA$7</f>
        <v>41588.436499999996</v>
      </c>
      <c r="AZ25" s="47">
        <f t="shared" si="25"/>
        <v>2369.8470975</v>
      </c>
      <c r="BA25" s="32">
        <f t="shared" si="26"/>
        <v>43958.2835975</v>
      </c>
      <c r="BB25" s="47">
        <f t="shared" si="27"/>
        <v>2475.6644223999997</v>
      </c>
      <c r="BC25" s="47">
        <v>1860</v>
      </c>
      <c r="BD25" s="47"/>
      <c r="BE25" s="32">
        <f>$C25*BG$7</f>
        <v>25481.1245</v>
      </c>
      <c r="BF25" s="47">
        <f t="shared" si="28"/>
        <v>1451.9990175</v>
      </c>
      <c r="BG25" s="32">
        <f t="shared" si="29"/>
        <v>26933.1235175</v>
      </c>
      <c r="BH25" s="47">
        <f t="shared" si="30"/>
        <v>1516.8330112</v>
      </c>
      <c r="BI25" s="47">
        <v>1138</v>
      </c>
      <c r="BJ25" s="47"/>
      <c r="BK25" s="32">
        <f>$C25*BM$7</f>
        <v>14043.185</v>
      </c>
      <c r="BL25" s="47">
        <f t="shared" si="31"/>
        <v>800.227275</v>
      </c>
      <c r="BM25" s="32">
        <f t="shared" si="32"/>
        <v>14843.412274999999</v>
      </c>
      <c r="BN25" s="47">
        <f t="shared" si="33"/>
        <v>835.9586559999999</v>
      </c>
      <c r="BO25" s="47">
        <v>627</v>
      </c>
      <c r="BP25" s="32"/>
      <c r="BQ25" s="32">
        <f>$C25*BS$7</f>
        <v>11102.3705</v>
      </c>
      <c r="BR25" s="47">
        <f t="shared" si="34"/>
        <v>632.6499075</v>
      </c>
      <c r="BS25" s="32">
        <f t="shared" si="35"/>
        <v>11735.0204075</v>
      </c>
      <c r="BT25" s="47">
        <f t="shared" si="36"/>
        <v>660.8987008</v>
      </c>
      <c r="BU25" s="47">
        <v>498</v>
      </c>
      <c r="BV25" s="47"/>
      <c r="BW25" s="32">
        <f>$C25*BY$7</f>
        <v>58213.66849999999</v>
      </c>
      <c r="BX25" s="47">
        <f t="shared" si="37"/>
        <v>3317.2079774999997</v>
      </c>
      <c r="BY25" s="32">
        <f t="shared" si="38"/>
        <v>61530.876477499995</v>
      </c>
      <c r="BZ25" s="47">
        <f t="shared" si="39"/>
        <v>3465.3264255999998</v>
      </c>
      <c r="CA25" s="47">
        <v>2610</v>
      </c>
      <c r="CB25" s="47"/>
      <c r="CC25" s="32">
        <f>$C25*CE$7</f>
        <v>3936.1919999999996</v>
      </c>
      <c r="CD25" s="47">
        <f t="shared" si="40"/>
        <v>224.29727999999997</v>
      </c>
      <c r="CE25" s="32">
        <f t="shared" si="41"/>
        <v>4160.48928</v>
      </c>
      <c r="CF25" s="47">
        <f t="shared" si="42"/>
        <v>234.3124992</v>
      </c>
      <c r="CG25" s="47">
        <v>176</v>
      </c>
      <c r="CH25" s="47"/>
      <c r="CI25" s="32">
        <f>$C25*CK$7</f>
        <v>23379.772</v>
      </c>
      <c r="CJ25" s="47">
        <f t="shared" si="43"/>
        <v>1332.2569799999999</v>
      </c>
      <c r="CK25" s="32">
        <f t="shared" si="44"/>
        <v>24712.02898</v>
      </c>
      <c r="CL25" s="47">
        <f t="shared" si="45"/>
        <v>1391.7443072</v>
      </c>
      <c r="CM25" s="47">
        <v>1046</v>
      </c>
      <c r="CN25" s="47"/>
      <c r="CO25" s="32">
        <f>$C25*CQ$7</f>
        <v>20130.903000000002</v>
      </c>
      <c r="CP25" s="47">
        <f t="shared" si="46"/>
        <v>1147.125645</v>
      </c>
      <c r="CQ25" s="32">
        <f t="shared" si="47"/>
        <v>21278.028645000002</v>
      </c>
      <c r="CR25" s="47">
        <f t="shared" si="48"/>
        <v>1198.3465728</v>
      </c>
      <c r="CS25" s="47">
        <v>902</v>
      </c>
      <c r="CT25" s="47"/>
      <c r="CU25" s="32">
        <f>$C25*CW$7</f>
        <v>20878.1105</v>
      </c>
      <c r="CV25" s="47">
        <f t="shared" si="49"/>
        <v>1189.7040075</v>
      </c>
      <c r="CW25" s="32">
        <f t="shared" si="50"/>
        <v>22067.8145075</v>
      </c>
      <c r="CX25" s="47">
        <f t="shared" si="51"/>
        <v>1242.8261248</v>
      </c>
      <c r="CY25" s="47">
        <v>934</v>
      </c>
      <c r="CZ25" s="47"/>
      <c r="DA25" s="32">
        <f>$C25*DC$7</f>
        <v>10017.436</v>
      </c>
      <c r="DB25" s="47">
        <f t="shared" si="52"/>
        <v>570.82674</v>
      </c>
      <c r="DC25" s="32">
        <f t="shared" si="53"/>
        <v>10588.26274</v>
      </c>
      <c r="DD25" s="47">
        <f t="shared" si="54"/>
        <v>596.3150336</v>
      </c>
      <c r="DE25" s="47">
        <v>452</v>
      </c>
      <c r="DF25" s="47"/>
      <c r="DG25" s="32">
        <f>$C25*DI$7</f>
        <v>68172.8385</v>
      </c>
      <c r="DH25" s="47">
        <f t="shared" si="55"/>
        <v>3884.7145275</v>
      </c>
      <c r="DI25" s="32">
        <f t="shared" si="56"/>
        <v>72057.55302749999</v>
      </c>
      <c r="DJ25" s="47">
        <f t="shared" si="57"/>
        <v>4058.1730176</v>
      </c>
      <c r="DK25" s="47">
        <v>3053</v>
      </c>
      <c r="DL25" s="47"/>
      <c r="DM25" s="32">
        <f>$C25*DO$7</f>
        <v>41320.305</v>
      </c>
      <c r="DN25" s="47">
        <f t="shared" si="58"/>
        <v>2354.568075</v>
      </c>
      <c r="DO25" s="32">
        <f t="shared" si="59"/>
        <v>43674.873075</v>
      </c>
      <c r="DP25" s="47">
        <f t="shared" si="60"/>
        <v>2459.703168</v>
      </c>
      <c r="DQ25" s="47">
        <v>1860</v>
      </c>
      <c r="DR25" s="47"/>
      <c r="DS25" s="32">
        <f>$C25*DU$7</f>
        <v>540.0395</v>
      </c>
      <c r="DT25" s="47">
        <f t="shared" si="61"/>
        <v>30.7732425</v>
      </c>
      <c r="DU25" s="32">
        <f t="shared" si="62"/>
        <v>570.8127425</v>
      </c>
      <c r="DV25" s="47">
        <f t="shared" si="63"/>
        <v>32.1473152</v>
      </c>
      <c r="DW25" s="47">
        <v>24</v>
      </c>
      <c r="DX25" s="47"/>
      <c r="DY25" s="32">
        <f>$C25*EA$7</f>
        <v>98827.768</v>
      </c>
      <c r="DZ25" s="47">
        <f t="shared" si="64"/>
        <v>5631.534119999999</v>
      </c>
      <c r="EA25" s="32">
        <f t="shared" si="65"/>
        <v>104459.30212</v>
      </c>
      <c r="EB25" s="47">
        <f t="shared" si="66"/>
        <v>5882.9907968</v>
      </c>
      <c r="EC25" s="47">
        <v>4416</v>
      </c>
      <c r="ED25" s="47"/>
      <c r="EE25" s="32">
        <f>$C25*EG$7</f>
        <v>324.779</v>
      </c>
      <c r="EF25" s="47">
        <f t="shared" si="67"/>
        <v>18.506985</v>
      </c>
      <c r="EG25" s="32">
        <f t="shared" si="68"/>
        <v>343.285985</v>
      </c>
      <c r="EH25" s="47">
        <f t="shared" si="69"/>
        <v>19.3333504</v>
      </c>
      <c r="EI25" s="47">
        <v>14</v>
      </c>
      <c r="EJ25" s="47"/>
      <c r="EK25" s="32">
        <f>$C25*EM$7</f>
        <v>7545.447</v>
      </c>
      <c r="EL25" s="47">
        <f t="shared" si="70"/>
        <v>429.964605</v>
      </c>
      <c r="EM25" s="32">
        <f t="shared" si="71"/>
        <v>7975.411605</v>
      </c>
      <c r="EN25" s="47">
        <f t="shared" si="72"/>
        <v>449.16318720000004</v>
      </c>
      <c r="EO25" s="47">
        <v>337</v>
      </c>
    </row>
    <row r="26" spans="1:145" s="49" customFormat="1" ht="12.75">
      <c r="A26" s="19">
        <v>45748</v>
      </c>
      <c r="C26" s="34">
        <f>'2012D'!C26</f>
        <v>0</v>
      </c>
      <c r="D26" s="34">
        <f>'2012D'!D26</f>
        <v>199525</v>
      </c>
      <c r="E26" s="34">
        <f t="shared" si="0"/>
        <v>199525</v>
      </c>
      <c r="F26" s="34">
        <f>'2012D'!F26</f>
        <v>321152</v>
      </c>
      <c r="G26" s="34">
        <f>'2012D'!G26</f>
        <v>241163</v>
      </c>
      <c r="H26" s="47"/>
      <c r="I26" s="67"/>
      <c r="J26" s="47">
        <f t="shared" si="2"/>
        <v>33606.37484749999</v>
      </c>
      <c r="K26" s="47">
        <f t="shared" si="3"/>
        <v>33606.37484749999</v>
      </c>
      <c r="L26" s="47">
        <f t="shared" si="4"/>
        <v>54092.2415488</v>
      </c>
      <c r="M26" s="47">
        <f t="shared" si="5"/>
        <v>40629</v>
      </c>
      <c r="N26" s="47"/>
      <c r="O26" s="32"/>
      <c r="P26" s="47">
        <f t="shared" si="7"/>
        <v>2590.9318875</v>
      </c>
      <c r="Q26" s="47">
        <f t="shared" si="8"/>
        <v>2590.9318875</v>
      </c>
      <c r="R26" s="47">
        <f t="shared" si="9"/>
        <v>4170.319296000001</v>
      </c>
      <c r="S26" s="47">
        <v>3128</v>
      </c>
      <c r="T26" s="47"/>
      <c r="U26" s="32"/>
      <c r="V26" s="47">
        <f t="shared" si="10"/>
        <v>823.679105</v>
      </c>
      <c r="W26" s="32">
        <f t="shared" si="11"/>
        <v>823.679105</v>
      </c>
      <c r="X26" s="47">
        <f t="shared" si="12"/>
        <v>1325.7796864000002</v>
      </c>
      <c r="Y26" s="47">
        <v>995</v>
      </c>
      <c r="Z26" s="47"/>
      <c r="AA26" s="32"/>
      <c r="AB26" s="47">
        <f t="shared" si="13"/>
        <v>5569.820185</v>
      </c>
      <c r="AC26" s="32">
        <f t="shared" si="14"/>
        <v>5569.820185</v>
      </c>
      <c r="AD26" s="47">
        <f t="shared" si="15"/>
        <v>8965.0865408</v>
      </c>
      <c r="AE26" s="47">
        <v>6734</v>
      </c>
      <c r="AF26" s="47"/>
      <c r="AG26" s="32"/>
      <c r="AH26" s="47">
        <f t="shared" si="16"/>
        <v>5600.387415</v>
      </c>
      <c r="AI26" s="32">
        <f t="shared" si="17"/>
        <v>5600.387415</v>
      </c>
      <c r="AJ26" s="47">
        <f t="shared" si="18"/>
        <v>9014.2870272</v>
      </c>
      <c r="AK26" s="47">
        <v>6748</v>
      </c>
      <c r="AL26" s="47"/>
      <c r="AM26" s="32"/>
      <c r="AN26" s="47">
        <f t="shared" si="19"/>
        <v>2541.3299725</v>
      </c>
      <c r="AO26" s="32">
        <f t="shared" si="20"/>
        <v>2541.3299725</v>
      </c>
      <c r="AP26" s="47">
        <f t="shared" si="21"/>
        <v>4090.4809088</v>
      </c>
      <c r="AQ26" s="47">
        <v>3071</v>
      </c>
      <c r="AR26" s="47"/>
      <c r="AS26" s="32"/>
      <c r="AT26" s="47">
        <f t="shared" si="22"/>
        <v>4.07031</v>
      </c>
      <c r="AU26" s="32">
        <f t="shared" si="23"/>
        <v>4.07031</v>
      </c>
      <c r="AV26" s="47">
        <f t="shared" si="24"/>
        <v>6.5515008</v>
      </c>
      <c r="AW26" s="47">
        <v>6</v>
      </c>
      <c r="AX26" s="47"/>
      <c r="AY26" s="32"/>
      <c r="AZ26" s="47">
        <f t="shared" si="25"/>
        <v>1538.0783675</v>
      </c>
      <c r="BA26" s="32">
        <f t="shared" si="26"/>
        <v>1538.0783675</v>
      </c>
      <c r="BB26" s="47">
        <f t="shared" si="27"/>
        <v>2475.6644223999997</v>
      </c>
      <c r="BC26" s="47">
        <v>1860</v>
      </c>
      <c r="BD26" s="47"/>
      <c r="BE26" s="32"/>
      <c r="BF26" s="47">
        <f t="shared" si="28"/>
        <v>942.3765275</v>
      </c>
      <c r="BG26" s="32">
        <f t="shared" si="29"/>
        <v>942.3765275</v>
      </c>
      <c r="BH26" s="47">
        <f t="shared" si="30"/>
        <v>1516.8330112</v>
      </c>
      <c r="BI26" s="47">
        <v>1138</v>
      </c>
      <c r="BJ26" s="47"/>
      <c r="BK26" s="32"/>
      <c r="BL26" s="47">
        <f t="shared" si="31"/>
        <v>519.363575</v>
      </c>
      <c r="BM26" s="32">
        <f t="shared" si="32"/>
        <v>519.363575</v>
      </c>
      <c r="BN26" s="47">
        <f t="shared" si="33"/>
        <v>835.9586559999999</v>
      </c>
      <c r="BO26" s="47">
        <v>627</v>
      </c>
      <c r="BP26" s="32"/>
      <c r="BQ26" s="32"/>
      <c r="BR26" s="47">
        <f t="shared" si="34"/>
        <v>410.6024975</v>
      </c>
      <c r="BS26" s="32">
        <f t="shared" si="35"/>
        <v>410.6024975</v>
      </c>
      <c r="BT26" s="47">
        <f t="shared" si="36"/>
        <v>660.8987008</v>
      </c>
      <c r="BU26" s="47">
        <v>498</v>
      </c>
      <c r="BV26" s="47"/>
      <c r="BW26" s="32"/>
      <c r="BX26" s="47">
        <f t="shared" si="37"/>
        <v>2152.9346075</v>
      </c>
      <c r="BY26" s="32">
        <f t="shared" si="38"/>
        <v>2152.9346075</v>
      </c>
      <c r="BZ26" s="47">
        <f t="shared" si="39"/>
        <v>3465.3264255999998</v>
      </c>
      <c r="CA26" s="47">
        <v>2610</v>
      </c>
      <c r="CB26" s="47"/>
      <c r="CC26" s="32"/>
      <c r="CD26" s="47">
        <f t="shared" si="40"/>
        <v>145.57343999999998</v>
      </c>
      <c r="CE26" s="32">
        <f t="shared" si="41"/>
        <v>145.57343999999998</v>
      </c>
      <c r="CF26" s="47">
        <f t="shared" si="42"/>
        <v>234.3124992</v>
      </c>
      <c r="CG26" s="47">
        <v>176</v>
      </c>
      <c r="CH26" s="47"/>
      <c r="CI26" s="32"/>
      <c r="CJ26" s="47">
        <f t="shared" si="43"/>
        <v>864.66154</v>
      </c>
      <c r="CK26" s="32">
        <f t="shared" si="44"/>
        <v>864.66154</v>
      </c>
      <c r="CL26" s="47">
        <f t="shared" si="45"/>
        <v>1391.7443072</v>
      </c>
      <c r="CM26" s="47">
        <v>1046</v>
      </c>
      <c r="CN26" s="47"/>
      <c r="CO26" s="32"/>
      <c r="CP26" s="47">
        <f t="shared" si="46"/>
        <v>744.5075850000001</v>
      </c>
      <c r="CQ26" s="32">
        <f t="shared" si="47"/>
        <v>744.5075850000001</v>
      </c>
      <c r="CR26" s="47">
        <f t="shared" si="48"/>
        <v>1198.3465728</v>
      </c>
      <c r="CS26" s="47">
        <v>902</v>
      </c>
      <c r="CT26" s="47"/>
      <c r="CU26" s="32"/>
      <c r="CV26" s="47">
        <f t="shared" si="49"/>
        <v>772.1417974999999</v>
      </c>
      <c r="CW26" s="32">
        <f t="shared" si="50"/>
        <v>772.1417974999999</v>
      </c>
      <c r="CX26" s="47">
        <f t="shared" si="51"/>
        <v>1242.8261248</v>
      </c>
      <c r="CY26" s="47">
        <v>934</v>
      </c>
      <c r="CZ26" s="47"/>
      <c r="DA26" s="32"/>
      <c r="DB26" s="47">
        <f t="shared" si="52"/>
        <v>370.47802</v>
      </c>
      <c r="DC26" s="32">
        <f t="shared" si="53"/>
        <v>370.47802</v>
      </c>
      <c r="DD26" s="47">
        <f t="shared" si="54"/>
        <v>596.3150336</v>
      </c>
      <c r="DE26" s="47">
        <v>452</v>
      </c>
      <c r="DF26" s="47"/>
      <c r="DG26" s="32"/>
      <c r="DH26" s="47">
        <f t="shared" si="55"/>
        <v>2521.2577575</v>
      </c>
      <c r="DI26" s="32">
        <f t="shared" si="56"/>
        <v>2521.2577575</v>
      </c>
      <c r="DJ26" s="47">
        <f t="shared" si="57"/>
        <v>4058.1730176</v>
      </c>
      <c r="DK26" s="47">
        <v>3053</v>
      </c>
      <c r="DL26" s="47"/>
      <c r="DM26" s="32"/>
      <c r="DN26" s="47">
        <f t="shared" si="58"/>
        <v>1528.161975</v>
      </c>
      <c r="DO26" s="32">
        <f t="shared" si="59"/>
        <v>1528.161975</v>
      </c>
      <c r="DP26" s="47">
        <f t="shared" si="60"/>
        <v>2459.703168</v>
      </c>
      <c r="DQ26" s="47">
        <v>1860</v>
      </c>
      <c r="DR26" s="47"/>
      <c r="DS26" s="32"/>
      <c r="DT26" s="47">
        <f t="shared" si="61"/>
        <v>19.9724525</v>
      </c>
      <c r="DU26" s="32">
        <f t="shared" si="62"/>
        <v>19.9724525</v>
      </c>
      <c r="DV26" s="47">
        <f t="shared" si="63"/>
        <v>32.1473152</v>
      </c>
      <c r="DW26" s="47">
        <v>24</v>
      </c>
      <c r="DX26" s="47"/>
      <c r="DY26" s="32"/>
      <c r="DZ26" s="47">
        <f t="shared" si="64"/>
        <v>3654.9787599999995</v>
      </c>
      <c r="EA26" s="32">
        <f t="shared" si="65"/>
        <v>3654.9787599999995</v>
      </c>
      <c r="EB26" s="47">
        <f t="shared" si="66"/>
        <v>5882.9907968</v>
      </c>
      <c r="EC26" s="47">
        <v>4416</v>
      </c>
      <c r="ED26" s="47"/>
      <c r="EE26" s="32"/>
      <c r="EF26" s="47">
        <f t="shared" si="67"/>
        <v>12.011405</v>
      </c>
      <c r="EG26" s="32">
        <f t="shared" si="68"/>
        <v>12.011405</v>
      </c>
      <c r="EH26" s="47">
        <f t="shared" si="69"/>
        <v>19.3333504</v>
      </c>
      <c r="EI26" s="47">
        <v>14</v>
      </c>
      <c r="EJ26" s="47"/>
      <c r="EK26" s="32"/>
      <c r="EL26" s="47">
        <f t="shared" si="70"/>
        <v>279.05566500000003</v>
      </c>
      <c r="EM26" s="32">
        <f t="shared" si="71"/>
        <v>279.05566500000003</v>
      </c>
      <c r="EN26" s="47">
        <f t="shared" si="72"/>
        <v>449.16318720000004</v>
      </c>
      <c r="EO26" s="47">
        <v>337</v>
      </c>
    </row>
    <row r="27" spans="1:145" s="49" customFormat="1" ht="12.75">
      <c r="A27" s="19">
        <v>45931</v>
      </c>
      <c r="B27"/>
      <c r="C27" s="34">
        <f>'2012D'!C27</f>
        <v>5615000</v>
      </c>
      <c r="D27" s="34">
        <f>'2012D'!D27</f>
        <v>199525</v>
      </c>
      <c r="E27" s="34">
        <f t="shared" si="0"/>
        <v>5814525</v>
      </c>
      <c r="F27" s="34">
        <f>'2012D'!F27</f>
        <v>321152</v>
      </c>
      <c r="G27" s="34">
        <f>'2012D'!G27</f>
        <v>241163</v>
      </c>
      <c r="H27" s="47"/>
      <c r="I27" s="67">
        <f t="shared" si="1"/>
        <v>945745.1184999997</v>
      </c>
      <c r="J27" s="47">
        <f t="shared" si="2"/>
        <v>33606.37484749999</v>
      </c>
      <c r="K27" s="47">
        <f t="shared" si="3"/>
        <v>979351.4933474998</v>
      </c>
      <c r="L27" s="47">
        <f t="shared" si="4"/>
        <v>54092.2415488</v>
      </c>
      <c r="M27" s="47">
        <f t="shared" si="5"/>
        <v>40629</v>
      </c>
      <c r="N27" s="47"/>
      <c r="O27" s="32">
        <f t="shared" si="6"/>
        <v>72913.5825</v>
      </c>
      <c r="P27" s="47">
        <f t="shared" si="7"/>
        <v>2590.9318875</v>
      </c>
      <c r="Q27" s="47">
        <f t="shared" si="8"/>
        <v>75504.5143875</v>
      </c>
      <c r="R27" s="47">
        <f t="shared" si="9"/>
        <v>4170.319296000001</v>
      </c>
      <c r="S27" s="47">
        <v>3128</v>
      </c>
      <c r="T27" s="47"/>
      <c r="U27" s="32">
        <f>$C27*W$7</f>
        <v>23179.843</v>
      </c>
      <c r="V27" s="47">
        <f t="shared" si="10"/>
        <v>823.679105</v>
      </c>
      <c r="W27" s="32">
        <f t="shared" si="11"/>
        <v>24003.522105</v>
      </c>
      <c r="X27" s="47">
        <f t="shared" si="12"/>
        <v>1325.7796864000002</v>
      </c>
      <c r="Y27" s="47">
        <v>995</v>
      </c>
      <c r="Z27" s="47"/>
      <c r="AA27" s="32">
        <f>$C27*AC$7</f>
        <v>156744.971</v>
      </c>
      <c r="AB27" s="47">
        <f t="shared" si="13"/>
        <v>5569.820185</v>
      </c>
      <c r="AC27" s="32">
        <f t="shared" si="14"/>
        <v>162314.79118499998</v>
      </c>
      <c r="AD27" s="47">
        <f t="shared" si="15"/>
        <v>8965.0865408</v>
      </c>
      <c r="AE27" s="47">
        <v>6734</v>
      </c>
      <c r="AF27" s="47"/>
      <c r="AG27" s="32">
        <f>$C27*AI$7</f>
        <v>157605.18899999998</v>
      </c>
      <c r="AH27" s="47">
        <f t="shared" si="16"/>
        <v>5600.387415</v>
      </c>
      <c r="AI27" s="32">
        <f t="shared" si="17"/>
        <v>163205.576415</v>
      </c>
      <c r="AJ27" s="47">
        <f t="shared" si="18"/>
        <v>9014.2870272</v>
      </c>
      <c r="AK27" s="47">
        <v>6748</v>
      </c>
      <c r="AL27" s="47"/>
      <c r="AM27" s="32">
        <f>$C27*AO$7</f>
        <v>71517.69350000001</v>
      </c>
      <c r="AN27" s="47">
        <f t="shared" si="19"/>
        <v>2541.3299725</v>
      </c>
      <c r="AO27" s="32">
        <f t="shared" si="20"/>
        <v>74059.0234725</v>
      </c>
      <c r="AP27" s="47">
        <f t="shared" si="21"/>
        <v>4090.4809088</v>
      </c>
      <c r="AQ27" s="47">
        <v>3071</v>
      </c>
      <c r="AR27" s="47"/>
      <c r="AS27" s="32">
        <f>$C27*AU$7</f>
        <v>114.546</v>
      </c>
      <c r="AT27" s="47">
        <f t="shared" si="22"/>
        <v>4.07031</v>
      </c>
      <c r="AU27" s="32">
        <f t="shared" si="23"/>
        <v>118.61631000000001</v>
      </c>
      <c r="AV27" s="47">
        <f t="shared" si="24"/>
        <v>6.5515008</v>
      </c>
      <c r="AW27" s="47">
        <v>6</v>
      </c>
      <c r="AX27" s="47"/>
      <c r="AY27" s="32">
        <f>$C27*BA$7</f>
        <v>43284.3505</v>
      </c>
      <c r="AZ27" s="47">
        <f t="shared" si="25"/>
        <v>1538.0783675</v>
      </c>
      <c r="BA27" s="32">
        <f t="shared" si="26"/>
        <v>44822.4288675</v>
      </c>
      <c r="BB27" s="47">
        <f t="shared" si="27"/>
        <v>2475.6644223999997</v>
      </c>
      <c r="BC27" s="47">
        <v>1860</v>
      </c>
      <c r="BD27" s="47"/>
      <c r="BE27" s="32">
        <f>$C27*BG$7</f>
        <v>26520.2065</v>
      </c>
      <c r="BF27" s="47">
        <f t="shared" si="28"/>
        <v>942.3765275</v>
      </c>
      <c r="BG27" s="32">
        <f t="shared" si="29"/>
        <v>27462.5830275</v>
      </c>
      <c r="BH27" s="47">
        <f t="shared" si="30"/>
        <v>1516.8330112</v>
      </c>
      <c r="BI27" s="47">
        <v>1138</v>
      </c>
      <c r="BJ27" s="47"/>
      <c r="BK27" s="32">
        <f>$C27*BM$7</f>
        <v>14615.845</v>
      </c>
      <c r="BL27" s="47">
        <f t="shared" si="31"/>
        <v>519.363575</v>
      </c>
      <c r="BM27" s="32">
        <f t="shared" si="32"/>
        <v>15135.208574999999</v>
      </c>
      <c r="BN27" s="47">
        <f t="shared" si="33"/>
        <v>835.9586559999999</v>
      </c>
      <c r="BO27" s="47">
        <v>627</v>
      </c>
      <c r="BP27" s="32"/>
      <c r="BQ27" s="32">
        <f>$C27*BS$7</f>
        <v>11555.1085</v>
      </c>
      <c r="BR27" s="47">
        <f t="shared" si="34"/>
        <v>410.6024975</v>
      </c>
      <c r="BS27" s="32">
        <f t="shared" si="35"/>
        <v>11965.7109975</v>
      </c>
      <c r="BT27" s="47">
        <f t="shared" si="36"/>
        <v>660.8987008</v>
      </c>
      <c r="BU27" s="47">
        <v>498</v>
      </c>
      <c r="BV27" s="47"/>
      <c r="BW27" s="32">
        <f>$C27*BY$7</f>
        <v>60587.534499999994</v>
      </c>
      <c r="BX27" s="47">
        <f t="shared" si="37"/>
        <v>2152.9346075</v>
      </c>
      <c r="BY27" s="32">
        <f t="shared" si="38"/>
        <v>62740.469107499994</v>
      </c>
      <c r="BZ27" s="47">
        <f t="shared" si="39"/>
        <v>3465.3264255999998</v>
      </c>
      <c r="CA27" s="47">
        <v>2610</v>
      </c>
      <c r="CB27" s="47"/>
      <c r="CC27" s="32">
        <f>$C27*CE$7</f>
        <v>4096.704</v>
      </c>
      <c r="CD27" s="47">
        <f t="shared" si="40"/>
        <v>145.57343999999998</v>
      </c>
      <c r="CE27" s="32">
        <f t="shared" si="41"/>
        <v>4242.27744</v>
      </c>
      <c r="CF27" s="47">
        <f t="shared" si="42"/>
        <v>234.3124992</v>
      </c>
      <c r="CG27" s="47">
        <v>176</v>
      </c>
      <c r="CH27" s="47"/>
      <c r="CI27" s="32">
        <f>$C27*CK$7</f>
        <v>24333.164</v>
      </c>
      <c r="CJ27" s="47">
        <f t="shared" si="43"/>
        <v>864.66154</v>
      </c>
      <c r="CK27" s="32">
        <f t="shared" si="44"/>
        <v>25197.82554</v>
      </c>
      <c r="CL27" s="47">
        <f t="shared" si="45"/>
        <v>1391.7443072</v>
      </c>
      <c r="CM27" s="47">
        <v>1046</v>
      </c>
      <c r="CN27" s="47"/>
      <c r="CO27" s="32">
        <f>$C27*CQ$7</f>
        <v>20951.811</v>
      </c>
      <c r="CP27" s="47">
        <f t="shared" si="46"/>
        <v>744.5075850000001</v>
      </c>
      <c r="CQ27" s="32">
        <f t="shared" si="47"/>
        <v>21696.318585</v>
      </c>
      <c r="CR27" s="47">
        <f t="shared" si="48"/>
        <v>1198.3465728</v>
      </c>
      <c r="CS27" s="47">
        <v>902</v>
      </c>
      <c r="CT27" s="47"/>
      <c r="CU27" s="32">
        <f>$C27*CW$7</f>
        <v>21729.4885</v>
      </c>
      <c r="CV27" s="47">
        <f t="shared" si="49"/>
        <v>772.1417974999999</v>
      </c>
      <c r="CW27" s="32">
        <f t="shared" si="50"/>
        <v>22501.6302975</v>
      </c>
      <c r="CX27" s="47">
        <f t="shared" si="51"/>
        <v>1242.8261248</v>
      </c>
      <c r="CY27" s="47">
        <v>934</v>
      </c>
      <c r="CZ27" s="47"/>
      <c r="DA27" s="32">
        <f>$C27*DC$7</f>
        <v>10425.932</v>
      </c>
      <c r="DB27" s="47">
        <f t="shared" si="52"/>
        <v>370.47802</v>
      </c>
      <c r="DC27" s="32">
        <f t="shared" si="53"/>
        <v>10796.410020000001</v>
      </c>
      <c r="DD27" s="47">
        <f t="shared" si="54"/>
        <v>596.3150336</v>
      </c>
      <c r="DE27" s="47">
        <v>452</v>
      </c>
      <c r="DF27" s="47"/>
      <c r="DG27" s="32">
        <f>$C27*DI$7</f>
        <v>70952.8245</v>
      </c>
      <c r="DH27" s="47">
        <f t="shared" si="55"/>
        <v>2521.2577575</v>
      </c>
      <c r="DI27" s="32">
        <f t="shared" si="56"/>
        <v>73474.0822575</v>
      </c>
      <c r="DJ27" s="47">
        <f t="shared" si="57"/>
        <v>4058.1730176</v>
      </c>
      <c r="DK27" s="47">
        <v>3053</v>
      </c>
      <c r="DL27" s="47"/>
      <c r="DM27" s="32">
        <f>$C27*DO$7</f>
        <v>43005.285</v>
      </c>
      <c r="DN27" s="47">
        <f t="shared" si="58"/>
        <v>1528.161975</v>
      </c>
      <c r="DO27" s="32">
        <f t="shared" si="59"/>
        <v>44533.446975000006</v>
      </c>
      <c r="DP27" s="47">
        <f t="shared" si="60"/>
        <v>2459.703168</v>
      </c>
      <c r="DQ27" s="47">
        <v>1860</v>
      </c>
      <c r="DR27" s="47"/>
      <c r="DS27" s="32">
        <f>$C27*DU$7</f>
        <v>562.0614999999999</v>
      </c>
      <c r="DT27" s="47">
        <f t="shared" si="61"/>
        <v>19.9724525</v>
      </c>
      <c r="DU27" s="32">
        <f t="shared" si="62"/>
        <v>582.0339524999999</v>
      </c>
      <c r="DV27" s="47">
        <f t="shared" si="63"/>
        <v>32.1473152</v>
      </c>
      <c r="DW27" s="47">
        <v>24</v>
      </c>
      <c r="DX27" s="47"/>
      <c r="DY27" s="32">
        <f>$C27*EA$7</f>
        <v>102857.81599999999</v>
      </c>
      <c r="DZ27" s="47">
        <f t="shared" si="64"/>
        <v>3654.9787599999995</v>
      </c>
      <c r="EA27" s="32">
        <f t="shared" si="65"/>
        <v>106512.79475999999</v>
      </c>
      <c r="EB27" s="47">
        <f t="shared" si="66"/>
        <v>5882.9907968</v>
      </c>
      <c r="EC27" s="47">
        <v>4416</v>
      </c>
      <c r="ED27" s="47"/>
      <c r="EE27" s="32">
        <f>$C27*EG$7</f>
        <v>338.023</v>
      </c>
      <c r="EF27" s="47">
        <f t="shared" si="67"/>
        <v>12.011405</v>
      </c>
      <c r="EG27" s="32">
        <f t="shared" si="68"/>
        <v>350.03440500000005</v>
      </c>
      <c r="EH27" s="47">
        <f t="shared" si="69"/>
        <v>19.3333504</v>
      </c>
      <c r="EI27" s="47">
        <v>14</v>
      </c>
      <c r="EJ27" s="47"/>
      <c r="EK27" s="32">
        <f>$C27*EM$7</f>
        <v>7853.139</v>
      </c>
      <c r="EL27" s="47">
        <f t="shared" si="70"/>
        <v>279.05566500000003</v>
      </c>
      <c r="EM27" s="32">
        <f t="shared" si="71"/>
        <v>8132.194665</v>
      </c>
      <c r="EN27" s="47">
        <f t="shared" si="72"/>
        <v>449.16318720000004</v>
      </c>
      <c r="EO27" s="47">
        <v>337</v>
      </c>
    </row>
    <row r="28" spans="1:145" s="49" customFormat="1" ht="12.75">
      <c r="A28" s="19">
        <v>46113</v>
      </c>
      <c r="B28"/>
      <c r="C28" s="34">
        <f>'2012D'!C28</f>
        <v>0</v>
      </c>
      <c r="D28" s="34">
        <f>'2012D'!D28</f>
        <v>87225</v>
      </c>
      <c r="E28" s="34">
        <f t="shared" si="0"/>
        <v>87225</v>
      </c>
      <c r="F28" s="34">
        <f>'2012D'!F28</f>
        <v>321152</v>
      </c>
      <c r="G28" s="34">
        <f>'2012D'!G28</f>
        <v>241163</v>
      </c>
      <c r="H28" s="47"/>
      <c r="I28" s="67"/>
      <c r="J28" s="47">
        <f t="shared" si="2"/>
        <v>14691.4724775</v>
      </c>
      <c r="K28" s="47">
        <f t="shared" si="3"/>
        <v>14691.4724775</v>
      </c>
      <c r="L28" s="47">
        <f t="shared" si="4"/>
        <v>54092.2415488</v>
      </c>
      <c r="M28" s="47">
        <f t="shared" si="5"/>
        <v>40629</v>
      </c>
      <c r="N28" s="47"/>
      <c r="O28" s="32"/>
      <c r="P28" s="47">
        <f t="shared" si="7"/>
        <v>1132.6602375</v>
      </c>
      <c r="Q28" s="47">
        <f t="shared" si="8"/>
        <v>1132.6602375</v>
      </c>
      <c r="R28" s="47">
        <f t="shared" si="9"/>
        <v>4170.319296000001</v>
      </c>
      <c r="S28" s="47">
        <v>3128</v>
      </c>
      <c r="T28" s="47"/>
      <c r="U28" s="32"/>
      <c r="V28" s="47">
        <f t="shared" si="10"/>
        <v>360.082245</v>
      </c>
      <c r="W28" s="32">
        <f t="shared" si="11"/>
        <v>360.082245</v>
      </c>
      <c r="X28" s="47">
        <f t="shared" si="12"/>
        <v>1325.7796864000002</v>
      </c>
      <c r="Y28" s="47">
        <v>995</v>
      </c>
      <c r="Z28" s="47"/>
      <c r="AA28" s="32"/>
      <c r="AB28" s="47">
        <f t="shared" si="13"/>
        <v>2434.920765</v>
      </c>
      <c r="AC28" s="32">
        <f t="shared" si="14"/>
        <v>2434.920765</v>
      </c>
      <c r="AD28" s="47">
        <f t="shared" si="15"/>
        <v>8965.0865408</v>
      </c>
      <c r="AE28" s="47">
        <v>6734</v>
      </c>
      <c r="AF28" s="47"/>
      <c r="AG28" s="32"/>
      <c r="AH28" s="47">
        <f t="shared" si="16"/>
        <v>2448.283635</v>
      </c>
      <c r="AI28" s="32">
        <f t="shared" si="17"/>
        <v>2448.283635</v>
      </c>
      <c r="AJ28" s="47">
        <f t="shared" si="18"/>
        <v>9014.2870272</v>
      </c>
      <c r="AK28" s="47">
        <v>6748</v>
      </c>
      <c r="AL28" s="47"/>
      <c r="AM28" s="32"/>
      <c r="AN28" s="47">
        <f t="shared" si="19"/>
        <v>1110.9761025</v>
      </c>
      <c r="AO28" s="32">
        <f t="shared" si="20"/>
        <v>1110.9761025</v>
      </c>
      <c r="AP28" s="47">
        <f t="shared" si="21"/>
        <v>4090.4809088</v>
      </c>
      <c r="AQ28" s="47">
        <v>3071</v>
      </c>
      <c r="AR28" s="47"/>
      <c r="AS28" s="32"/>
      <c r="AT28" s="47">
        <f t="shared" si="22"/>
        <v>1.77939</v>
      </c>
      <c r="AU28" s="32">
        <f t="shared" si="23"/>
        <v>1.77939</v>
      </c>
      <c r="AV28" s="47">
        <f t="shared" si="24"/>
        <v>6.5515008</v>
      </c>
      <c r="AW28" s="47">
        <v>6</v>
      </c>
      <c r="AX28" s="47"/>
      <c r="AY28" s="32"/>
      <c r="AZ28" s="47">
        <f t="shared" si="25"/>
        <v>672.3913575</v>
      </c>
      <c r="BA28" s="32">
        <f t="shared" si="26"/>
        <v>672.3913575</v>
      </c>
      <c r="BB28" s="47">
        <f t="shared" si="27"/>
        <v>2475.6644223999997</v>
      </c>
      <c r="BC28" s="47">
        <v>1860</v>
      </c>
      <c r="BD28" s="47"/>
      <c r="BE28" s="32"/>
      <c r="BF28" s="47">
        <f t="shared" si="28"/>
        <v>411.9723975</v>
      </c>
      <c r="BG28" s="32">
        <f t="shared" si="29"/>
        <v>411.9723975</v>
      </c>
      <c r="BH28" s="47">
        <f t="shared" si="30"/>
        <v>1516.8330112</v>
      </c>
      <c r="BI28" s="47">
        <v>1138</v>
      </c>
      <c r="BJ28" s="47"/>
      <c r="BK28" s="32"/>
      <c r="BL28" s="47">
        <f t="shared" si="31"/>
        <v>227.046675</v>
      </c>
      <c r="BM28" s="32">
        <f t="shared" si="32"/>
        <v>227.046675</v>
      </c>
      <c r="BN28" s="47">
        <f t="shared" si="33"/>
        <v>835.9586559999999</v>
      </c>
      <c r="BO28" s="47">
        <v>627</v>
      </c>
      <c r="BP28" s="32"/>
      <c r="BQ28" s="32"/>
      <c r="BR28" s="47">
        <f t="shared" si="34"/>
        <v>179.5003275</v>
      </c>
      <c r="BS28" s="32">
        <f t="shared" si="35"/>
        <v>179.5003275</v>
      </c>
      <c r="BT28" s="47">
        <f t="shared" si="36"/>
        <v>660.8987008</v>
      </c>
      <c r="BU28" s="47">
        <v>498</v>
      </c>
      <c r="BV28" s="47"/>
      <c r="BW28" s="32"/>
      <c r="BX28" s="47">
        <f t="shared" si="37"/>
        <v>941.1839174999999</v>
      </c>
      <c r="BY28" s="32">
        <f t="shared" si="38"/>
        <v>941.1839174999999</v>
      </c>
      <c r="BZ28" s="47">
        <f t="shared" si="39"/>
        <v>3465.3264255999998</v>
      </c>
      <c r="CA28" s="47">
        <v>2610</v>
      </c>
      <c r="CB28" s="47"/>
      <c r="CC28" s="32"/>
      <c r="CD28" s="47">
        <f t="shared" si="40"/>
        <v>63.639359999999996</v>
      </c>
      <c r="CE28" s="32">
        <f t="shared" si="41"/>
        <v>63.639359999999996</v>
      </c>
      <c r="CF28" s="47">
        <f t="shared" si="42"/>
        <v>234.3124992</v>
      </c>
      <c r="CG28" s="47">
        <v>176</v>
      </c>
      <c r="CH28" s="47"/>
      <c r="CI28" s="32"/>
      <c r="CJ28" s="47">
        <f t="shared" si="43"/>
        <v>377.99826</v>
      </c>
      <c r="CK28" s="32">
        <f t="shared" si="44"/>
        <v>377.99826</v>
      </c>
      <c r="CL28" s="47">
        <f t="shared" si="45"/>
        <v>1391.7443072</v>
      </c>
      <c r="CM28" s="47">
        <v>1046</v>
      </c>
      <c r="CN28" s="47"/>
      <c r="CO28" s="32"/>
      <c r="CP28" s="47">
        <f t="shared" si="46"/>
        <v>325.471365</v>
      </c>
      <c r="CQ28" s="32">
        <f t="shared" si="47"/>
        <v>325.471365</v>
      </c>
      <c r="CR28" s="47">
        <f t="shared" si="48"/>
        <v>1198.3465728</v>
      </c>
      <c r="CS28" s="47">
        <v>902</v>
      </c>
      <c r="CT28" s="47"/>
      <c r="CU28" s="32"/>
      <c r="CV28" s="47">
        <f t="shared" si="49"/>
        <v>337.5520275</v>
      </c>
      <c r="CW28" s="32">
        <f t="shared" si="50"/>
        <v>337.5520275</v>
      </c>
      <c r="CX28" s="47">
        <f t="shared" si="51"/>
        <v>1242.8261248</v>
      </c>
      <c r="CY28" s="47">
        <v>934</v>
      </c>
      <c r="CZ28" s="47"/>
      <c r="DA28" s="32"/>
      <c r="DB28" s="47">
        <f t="shared" si="52"/>
        <v>161.95938</v>
      </c>
      <c r="DC28" s="32">
        <f t="shared" si="53"/>
        <v>161.95938</v>
      </c>
      <c r="DD28" s="47">
        <f t="shared" si="54"/>
        <v>596.3150336</v>
      </c>
      <c r="DE28" s="47">
        <v>452</v>
      </c>
      <c r="DF28" s="47"/>
      <c r="DG28" s="32"/>
      <c r="DH28" s="47">
        <f t="shared" si="55"/>
        <v>1102.2012674999999</v>
      </c>
      <c r="DI28" s="32">
        <f t="shared" si="56"/>
        <v>1102.2012674999999</v>
      </c>
      <c r="DJ28" s="47">
        <f t="shared" si="57"/>
        <v>4058.1730176</v>
      </c>
      <c r="DK28" s="47">
        <v>3053</v>
      </c>
      <c r="DL28" s="47"/>
      <c r="DM28" s="32"/>
      <c r="DN28" s="47">
        <f t="shared" si="58"/>
        <v>668.056275</v>
      </c>
      <c r="DO28" s="32">
        <f t="shared" si="59"/>
        <v>668.056275</v>
      </c>
      <c r="DP28" s="47">
        <f t="shared" si="60"/>
        <v>2459.703168</v>
      </c>
      <c r="DQ28" s="47">
        <v>1860</v>
      </c>
      <c r="DR28" s="47"/>
      <c r="DS28" s="32"/>
      <c r="DT28" s="47">
        <f t="shared" si="61"/>
        <v>8.7312225</v>
      </c>
      <c r="DU28" s="32">
        <f t="shared" si="62"/>
        <v>8.7312225</v>
      </c>
      <c r="DV28" s="47">
        <f t="shared" si="63"/>
        <v>32.1473152</v>
      </c>
      <c r="DW28" s="47">
        <v>24</v>
      </c>
      <c r="DX28" s="47"/>
      <c r="DY28" s="32"/>
      <c r="DZ28" s="47">
        <f t="shared" si="64"/>
        <v>1597.82244</v>
      </c>
      <c r="EA28" s="32">
        <f t="shared" si="65"/>
        <v>1597.82244</v>
      </c>
      <c r="EB28" s="47">
        <f t="shared" si="66"/>
        <v>5882.9907968</v>
      </c>
      <c r="EC28" s="47">
        <v>4416</v>
      </c>
      <c r="ED28" s="47"/>
      <c r="EE28" s="32"/>
      <c r="EF28" s="47">
        <f t="shared" si="67"/>
        <v>5.250945</v>
      </c>
      <c r="EG28" s="32">
        <f t="shared" si="68"/>
        <v>5.250945</v>
      </c>
      <c r="EH28" s="47">
        <f t="shared" si="69"/>
        <v>19.3333504</v>
      </c>
      <c r="EI28" s="47">
        <v>14</v>
      </c>
      <c r="EJ28" s="47"/>
      <c r="EK28" s="32"/>
      <c r="EL28" s="47">
        <f t="shared" si="70"/>
        <v>121.992885</v>
      </c>
      <c r="EM28" s="32">
        <f t="shared" si="71"/>
        <v>121.992885</v>
      </c>
      <c r="EN28" s="47">
        <f t="shared" si="72"/>
        <v>449.16318720000004</v>
      </c>
      <c r="EO28" s="47">
        <v>337</v>
      </c>
    </row>
    <row r="29" spans="1:145" ht="12.75">
      <c r="A29" s="19">
        <v>46296</v>
      </c>
      <c r="C29" s="34">
        <f>'2012D'!C29</f>
        <v>5815000</v>
      </c>
      <c r="D29" s="34">
        <f>'2012D'!D29</f>
        <v>87225</v>
      </c>
      <c r="E29" s="34">
        <f t="shared" si="0"/>
        <v>5902225</v>
      </c>
      <c r="F29" s="34">
        <f>'2012D'!F29</f>
        <v>321152</v>
      </c>
      <c r="G29" s="34">
        <f>'2012D'!G29</f>
        <v>241163</v>
      </c>
      <c r="I29" s="67">
        <f t="shared" si="1"/>
        <v>979431.4984999998</v>
      </c>
      <c r="J29" s="47">
        <f t="shared" si="2"/>
        <v>14691.4724775</v>
      </c>
      <c r="K29" s="47">
        <f>I29+J29</f>
        <v>994122.9709774997</v>
      </c>
      <c r="L29" s="47">
        <f t="shared" si="4"/>
        <v>54092.2415488</v>
      </c>
      <c r="M29" s="47">
        <f t="shared" si="5"/>
        <v>40629</v>
      </c>
      <c r="O29" s="32">
        <f t="shared" si="6"/>
        <v>75510.68250000001</v>
      </c>
      <c r="P29" s="47">
        <f t="shared" si="7"/>
        <v>1132.6602375</v>
      </c>
      <c r="Q29" s="47">
        <f t="shared" si="8"/>
        <v>76643.3427375</v>
      </c>
      <c r="R29" s="47">
        <f t="shared" si="9"/>
        <v>4170.319296000001</v>
      </c>
      <c r="S29" s="47">
        <v>3128</v>
      </c>
      <c r="U29" s="32">
        <f>$C29*W$7</f>
        <v>24005.483</v>
      </c>
      <c r="V29" s="47">
        <f t="shared" si="10"/>
        <v>360.082245</v>
      </c>
      <c r="W29" s="32">
        <f t="shared" si="11"/>
        <v>24365.565245</v>
      </c>
      <c r="X29" s="47">
        <f t="shared" si="12"/>
        <v>1325.7796864000002</v>
      </c>
      <c r="Y29" s="47">
        <v>995</v>
      </c>
      <c r="AA29" s="32">
        <f>$C29*AC$7</f>
        <v>162328.051</v>
      </c>
      <c r="AB29" s="47">
        <f t="shared" si="13"/>
        <v>2434.920765</v>
      </c>
      <c r="AC29" s="32">
        <f t="shared" si="14"/>
        <v>164762.971765</v>
      </c>
      <c r="AD29" s="47">
        <f t="shared" si="15"/>
        <v>8965.0865408</v>
      </c>
      <c r="AE29" s="47">
        <v>6734</v>
      </c>
      <c r="AG29" s="32">
        <f>$C29*AI$7</f>
        <v>163218.90899999999</v>
      </c>
      <c r="AH29" s="47">
        <f t="shared" si="16"/>
        <v>2448.283635</v>
      </c>
      <c r="AI29" s="32">
        <f t="shared" si="17"/>
        <v>165667.19263499998</v>
      </c>
      <c r="AJ29" s="47">
        <f t="shared" si="18"/>
        <v>9014.2870272</v>
      </c>
      <c r="AK29" s="47">
        <v>6748</v>
      </c>
      <c r="AM29" s="32">
        <f>$C29*AO$7</f>
        <v>74065.0735</v>
      </c>
      <c r="AN29" s="47">
        <f t="shared" si="19"/>
        <v>1110.9761025</v>
      </c>
      <c r="AO29" s="32">
        <f t="shared" si="20"/>
        <v>75176.0496025</v>
      </c>
      <c r="AP29" s="47">
        <f t="shared" si="21"/>
        <v>4090.4809088</v>
      </c>
      <c r="AQ29" s="47">
        <v>3071</v>
      </c>
      <c r="AS29" s="32">
        <f>$C29*AU$7</f>
        <v>118.626</v>
      </c>
      <c r="AT29" s="47">
        <f t="shared" si="22"/>
        <v>1.77939</v>
      </c>
      <c r="AU29" s="32">
        <f t="shared" si="23"/>
        <v>120.40539000000001</v>
      </c>
      <c r="AV29" s="47">
        <f t="shared" si="24"/>
        <v>6.5515008</v>
      </c>
      <c r="AW29" s="47">
        <v>6</v>
      </c>
      <c r="AY29" s="32">
        <f>$C29*BA$7</f>
        <v>44826.0905</v>
      </c>
      <c r="AZ29" s="47">
        <f t="shared" si="25"/>
        <v>672.3913575</v>
      </c>
      <c r="BA29" s="32">
        <f t="shared" si="26"/>
        <v>45498.481857499995</v>
      </c>
      <c r="BB29" s="47">
        <f t="shared" si="27"/>
        <v>2475.6644223999997</v>
      </c>
      <c r="BC29" s="47">
        <v>1860</v>
      </c>
      <c r="BE29" s="32">
        <f>$C29*BG$7</f>
        <v>27464.8265</v>
      </c>
      <c r="BF29" s="47">
        <f t="shared" si="28"/>
        <v>411.9723975</v>
      </c>
      <c r="BG29" s="32">
        <f t="shared" si="29"/>
        <v>27876.7988975</v>
      </c>
      <c r="BH29" s="47">
        <f t="shared" si="30"/>
        <v>1516.8330112</v>
      </c>
      <c r="BI29" s="47">
        <v>1138</v>
      </c>
      <c r="BK29" s="32">
        <f>$C29*BM$7</f>
        <v>15136.445</v>
      </c>
      <c r="BL29" s="47">
        <f t="shared" si="31"/>
        <v>227.046675</v>
      </c>
      <c r="BM29" s="32">
        <f t="shared" si="32"/>
        <v>15363.491675</v>
      </c>
      <c r="BN29" s="47">
        <f t="shared" si="33"/>
        <v>835.9586559999999</v>
      </c>
      <c r="BO29" s="47">
        <v>627</v>
      </c>
      <c r="BQ29" s="32">
        <f>$C29*BS$7</f>
        <v>11966.6885</v>
      </c>
      <c r="BR29" s="47">
        <f t="shared" si="34"/>
        <v>179.5003275</v>
      </c>
      <c r="BS29" s="32">
        <f t="shared" si="35"/>
        <v>12146.1888275</v>
      </c>
      <c r="BT29" s="47">
        <f t="shared" si="36"/>
        <v>660.8987008</v>
      </c>
      <c r="BU29" s="47">
        <v>498</v>
      </c>
      <c r="BW29" s="32">
        <f>$C29*BY$7</f>
        <v>62745.59449999999</v>
      </c>
      <c r="BX29" s="47">
        <f t="shared" si="37"/>
        <v>941.1839174999999</v>
      </c>
      <c r="BY29" s="32">
        <f t="shared" si="38"/>
        <v>63686.77841749999</v>
      </c>
      <c r="BZ29" s="47">
        <f t="shared" si="39"/>
        <v>3465.3264255999998</v>
      </c>
      <c r="CA29" s="47">
        <v>2610</v>
      </c>
      <c r="CC29" s="32">
        <f>$C29*CE$7</f>
        <v>4242.624</v>
      </c>
      <c r="CD29" s="47">
        <f t="shared" si="40"/>
        <v>63.639359999999996</v>
      </c>
      <c r="CE29" s="32">
        <f t="shared" si="41"/>
        <v>4306.26336</v>
      </c>
      <c r="CF29" s="47">
        <f t="shared" si="42"/>
        <v>234.3124992</v>
      </c>
      <c r="CG29" s="47">
        <v>176</v>
      </c>
      <c r="CI29" s="32">
        <f>$C29*CK$7</f>
        <v>25199.884</v>
      </c>
      <c r="CJ29" s="47">
        <f t="shared" si="43"/>
        <v>377.99826</v>
      </c>
      <c r="CK29" s="32">
        <f t="shared" si="44"/>
        <v>25577.88226</v>
      </c>
      <c r="CL29" s="47">
        <f t="shared" si="45"/>
        <v>1391.7443072</v>
      </c>
      <c r="CM29" s="47">
        <v>1046</v>
      </c>
      <c r="CO29" s="32">
        <f>$C29*CQ$7</f>
        <v>21698.091</v>
      </c>
      <c r="CP29" s="47">
        <f t="shared" si="46"/>
        <v>325.471365</v>
      </c>
      <c r="CQ29" s="32">
        <f t="shared" si="47"/>
        <v>22023.562365</v>
      </c>
      <c r="CR29" s="47">
        <f t="shared" si="48"/>
        <v>1198.3465728</v>
      </c>
      <c r="CS29" s="47">
        <v>902</v>
      </c>
      <c r="CU29" s="32">
        <f>$C29*CW$7</f>
        <v>22503.4685</v>
      </c>
      <c r="CV29" s="47">
        <f t="shared" si="49"/>
        <v>337.5520275</v>
      </c>
      <c r="CW29" s="32">
        <f t="shared" si="50"/>
        <v>22841.0205275</v>
      </c>
      <c r="CX29" s="47">
        <f t="shared" si="51"/>
        <v>1242.8261248</v>
      </c>
      <c r="CY29" s="47">
        <v>934</v>
      </c>
      <c r="DA29" s="32">
        <f>$C29*DC$7</f>
        <v>10797.292</v>
      </c>
      <c r="DB29" s="47">
        <f t="shared" si="52"/>
        <v>161.95938</v>
      </c>
      <c r="DC29" s="32">
        <f t="shared" si="53"/>
        <v>10959.25138</v>
      </c>
      <c r="DD29" s="47">
        <f t="shared" si="54"/>
        <v>596.3150336</v>
      </c>
      <c r="DE29" s="47">
        <v>452</v>
      </c>
      <c r="DG29" s="32">
        <f>$C29*DI$7</f>
        <v>73480.0845</v>
      </c>
      <c r="DH29" s="47">
        <f t="shared" si="55"/>
        <v>1102.2012674999999</v>
      </c>
      <c r="DI29" s="32">
        <f t="shared" si="56"/>
        <v>74582.2857675</v>
      </c>
      <c r="DJ29" s="47">
        <f t="shared" si="57"/>
        <v>4058.1730176</v>
      </c>
      <c r="DK29" s="47">
        <v>3053</v>
      </c>
      <c r="DM29" s="32">
        <f>$C29*DO$7</f>
        <v>44537.085</v>
      </c>
      <c r="DN29" s="47">
        <f t="shared" si="58"/>
        <v>668.056275</v>
      </c>
      <c r="DO29" s="32">
        <f t="shared" si="59"/>
        <v>45205.141275</v>
      </c>
      <c r="DP29" s="47">
        <f t="shared" si="60"/>
        <v>2459.703168</v>
      </c>
      <c r="DQ29" s="47">
        <v>1860</v>
      </c>
      <c r="DS29" s="32">
        <f>$C29*DU$7</f>
        <v>582.0815</v>
      </c>
      <c r="DT29" s="47">
        <f t="shared" si="61"/>
        <v>8.7312225</v>
      </c>
      <c r="DU29" s="32">
        <f t="shared" si="62"/>
        <v>590.8127225</v>
      </c>
      <c r="DV29" s="47">
        <f t="shared" si="63"/>
        <v>32.1473152</v>
      </c>
      <c r="DW29" s="47">
        <v>24</v>
      </c>
      <c r="DY29" s="32">
        <f>$C29*EA$7</f>
        <v>106521.49599999998</v>
      </c>
      <c r="DZ29" s="47">
        <f t="shared" si="64"/>
        <v>1597.82244</v>
      </c>
      <c r="EA29" s="32">
        <f t="shared" si="65"/>
        <v>108119.31843999999</v>
      </c>
      <c r="EB29" s="47">
        <f t="shared" si="66"/>
        <v>5882.9907968</v>
      </c>
      <c r="EC29" s="47">
        <v>4416</v>
      </c>
      <c r="EE29" s="32">
        <f>$C29*EG$7</f>
        <v>350.063</v>
      </c>
      <c r="EF29" s="47">
        <f t="shared" si="67"/>
        <v>5.250945</v>
      </c>
      <c r="EG29" s="32">
        <f t="shared" si="68"/>
        <v>355.313945</v>
      </c>
      <c r="EH29" s="47">
        <f t="shared" si="69"/>
        <v>19.3333504</v>
      </c>
      <c r="EI29" s="47">
        <v>14</v>
      </c>
      <c r="EK29" s="32">
        <f>$C29*EM$7</f>
        <v>8132.859</v>
      </c>
      <c r="EL29" s="47">
        <f t="shared" si="70"/>
        <v>121.992885</v>
      </c>
      <c r="EM29" s="32">
        <f t="shared" si="71"/>
        <v>8254.851885</v>
      </c>
      <c r="EN29" s="47">
        <f t="shared" si="72"/>
        <v>449.16318720000004</v>
      </c>
      <c r="EO29" s="47">
        <v>337</v>
      </c>
    </row>
    <row r="30" spans="3:7" ht="12.75">
      <c r="C30" s="39"/>
      <c r="D30" s="39"/>
      <c r="E30" s="39"/>
      <c r="F30" s="39"/>
      <c r="G30" s="39"/>
    </row>
    <row r="31" spans="1:145" ht="13.5" thickBot="1">
      <c r="A31" s="30" t="s">
        <v>4</v>
      </c>
      <c r="C31" s="46">
        <f>SUM(C9:C30)</f>
        <v>44580000</v>
      </c>
      <c r="D31" s="46">
        <f>SUM(D9:D30)</f>
        <v>12529350</v>
      </c>
      <c r="E31" s="46">
        <f>SUM(E9:E30)</f>
        <v>57109350</v>
      </c>
      <c r="F31" s="46">
        <f>SUM(F9:F30)</f>
        <v>6744192</v>
      </c>
      <c r="G31" s="46">
        <f>SUM(G9:G30)</f>
        <v>5064423</v>
      </c>
      <c r="I31" s="46">
        <f>SUM(I9:I29)</f>
        <v>7508694.101999999</v>
      </c>
      <c r="J31" s="46">
        <f>SUM(J9:J29)</f>
        <v>2110342.226265</v>
      </c>
      <c r="K31" s="46">
        <f>SUM(K9:K29)</f>
        <v>9619036.328265</v>
      </c>
      <c r="L31" s="46">
        <f>SUM(L9:L29)</f>
        <v>1135937.0725248002</v>
      </c>
      <c r="M31" s="46">
        <f>SUM(M9:M29)</f>
        <v>853209</v>
      </c>
      <c r="O31" s="46">
        <f>SUM(O9:O29)</f>
        <v>578893.5900000001</v>
      </c>
      <c r="P31" s="46">
        <f>SUM(P9:P29)</f>
        <v>162699.87442499993</v>
      </c>
      <c r="Q31" s="46">
        <f>SUM(Q9:Q29)</f>
        <v>741593.4644249998</v>
      </c>
      <c r="R31" s="46">
        <f>SUM(R9:R29)</f>
        <v>87576.70521600002</v>
      </c>
      <c r="S31" s="46">
        <f>SUM(S9:S29)</f>
        <v>65688</v>
      </c>
      <c r="U31" s="46">
        <f>SUM(U9:U29)</f>
        <v>184035.15600000002</v>
      </c>
      <c r="V31" s="46">
        <f>SUM(V9:V29)</f>
        <v>51723.66266999998</v>
      </c>
      <c r="W31" s="46">
        <f>SUM(W9:W29)</f>
        <v>235758.81867000004</v>
      </c>
      <c r="X31" s="46">
        <f>SUM(X9:X29)</f>
        <v>27841.373414400015</v>
      </c>
      <c r="Y31" s="46">
        <f>SUM(Y9:Y29)</f>
        <v>20895</v>
      </c>
      <c r="AA31" s="46">
        <f>SUM(AA9:AA29)</f>
        <v>1244468.532</v>
      </c>
      <c r="AB31" s="46">
        <f>SUM(AB9:AB29)</f>
        <v>349761.81698999985</v>
      </c>
      <c r="AC31" s="46">
        <f>SUM(AC9:AC29)</f>
        <v>1594230.34899</v>
      </c>
      <c r="AD31" s="46">
        <f>SUM(AD9:AD29)</f>
        <v>188266.81735679996</v>
      </c>
      <c r="AE31" s="46">
        <f>SUM(AE9:AE29)</f>
        <v>141414</v>
      </c>
      <c r="AG31" s="46">
        <f>SUM(AG9:AG29)</f>
        <v>1251298.188</v>
      </c>
      <c r="AH31" s="46">
        <f>SUM(AH9:AH29)</f>
        <v>351681.31341000006</v>
      </c>
      <c r="AI31" s="46">
        <f>SUM(AI9:AI29)</f>
        <v>1602979.5014099998</v>
      </c>
      <c r="AJ31" s="46">
        <f>SUM(AJ9:AJ29)</f>
        <v>189300.02757119993</v>
      </c>
      <c r="AK31" s="46">
        <f>SUM(AK9:AK29)</f>
        <v>141708</v>
      </c>
      <c r="AM31" s="46">
        <f>SUM(AM9:AM29)</f>
        <v>567811.002</v>
      </c>
      <c r="AN31" s="46">
        <f>SUM(AN9:AN29)</f>
        <v>159585.078015</v>
      </c>
      <c r="AO31" s="46">
        <f>SUM(AO9:AO29)</f>
        <v>727396.0800150001</v>
      </c>
      <c r="AP31" s="46">
        <f>SUM(AP9:AP29)</f>
        <v>85900.09908480005</v>
      </c>
      <c r="AQ31" s="46">
        <f>SUM(AQ9:AQ29)</f>
        <v>64491</v>
      </c>
      <c r="AS31" s="46">
        <f>SUM(AS9:AS29)</f>
        <v>909.4320000000001</v>
      </c>
      <c r="AT31" s="46">
        <f>SUM(AT9:AT29)</f>
        <v>255.59874000000002</v>
      </c>
      <c r="AU31" s="46">
        <f>SUM(AU9:AU29)</f>
        <v>1165.0307400000002</v>
      </c>
      <c r="AV31" s="46">
        <f>SUM(AV9:AV29)</f>
        <v>137.58151680000003</v>
      </c>
      <c r="AW31" s="46">
        <f>SUM(AW9:AW29)</f>
        <v>126</v>
      </c>
      <c r="AY31" s="46">
        <f>SUM(AY9:AY29)</f>
        <v>343653.846</v>
      </c>
      <c r="AZ31" s="46">
        <f>SUM(AZ9:AZ29)</f>
        <v>96585.00034500002</v>
      </c>
      <c r="BA31" s="46">
        <f>SUM(BA9:BA29)</f>
        <v>440238.84634499997</v>
      </c>
      <c r="BB31" s="46">
        <f>SUM(BB9:BB29)</f>
        <v>51988.95287039998</v>
      </c>
      <c r="BC31" s="46">
        <f>SUM(BC9:BC29)</f>
        <v>39060</v>
      </c>
      <c r="BE31" s="46">
        <f>SUM(BE9:BE29)</f>
        <v>210555.798</v>
      </c>
      <c r="BF31" s="46">
        <f>SUM(BF9:BF29)</f>
        <v>59177.372984999995</v>
      </c>
      <c r="BG31" s="46">
        <f>SUM(BG9:BG29)</f>
        <v>269733.170985</v>
      </c>
      <c r="BH31" s="46">
        <f>SUM(BH9:BH29)</f>
        <v>31853.493235200003</v>
      </c>
      <c r="BI31" s="46">
        <f>SUM(BI9:BI29)</f>
        <v>23898</v>
      </c>
      <c r="BK31" s="46">
        <f>SUM(BK9:BK29)</f>
        <v>116041.73999999999</v>
      </c>
      <c r="BL31" s="46">
        <f>SUM(BL9:BL29)</f>
        <v>32613.898050000003</v>
      </c>
      <c r="BM31" s="46">
        <f>SUM(BM9:BM29)</f>
        <v>148655.63804999998</v>
      </c>
      <c r="BN31" s="46">
        <f>SUM(BN9:BN29)</f>
        <v>17555.131776000006</v>
      </c>
      <c r="BO31" s="46">
        <f>SUM(BO9:BO29)</f>
        <v>13167</v>
      </c>
      <c r="BP31" s="39"/>
      <c r="BQ31" s="46">
        <f>SUM(BQ9:BQ29)</f>
        <v>91741.18200000002</v>
      </c>
      <c r="BR31" s="46">
        <f>SUM(BR9:BR29)</f>
        <v>25784.149364999997</v>
      </c>
      <c r="BS31" s="46">
        <f>SUM(BS9:BS29)</f>
        <v>117525.33136500002</v>
      </c>
      <c r="BT31" s="46">
        <f>SUM(BT9:BT29)</f>
        <v>13878.872716800004</v>
      </c>
      <c r="BU31" s="46">
        <f>SUM(BU9:BU29)</f>
        <v>10458</v>
      </c>
      <c r="BW31" s="46">
        <f>SUM(BW9:BW29)</f>
        <v>481031.57399999996</v>
      </c>
      <c r="BX31" s="46">
        <f>SUM(BX9:BX29)</f>
        <v>135195.44530499997</v>
      </c>
      <c r="BY31" s="46">
        <f>SUM(BY9:BY29)</f>
        <v>616227.0193049998</v>
      </c>
      <c r="BZ31" s="46">
        <f>SUM(BZ9:BZ29)</f>
        <v>72771.85493759996</v>
      </c>
      <c r="CA31" s="46">
        <f>SUM(CA9:CA29)</f>
        <v>54810</v>
      </c>
      <c r="CC31" s="46">
        <f>SUM(CC9:CC29)</f>
        <v>32525.567999999996</v>
      </c>
      <c r="CD31" s="46">
        <f>SUM(CD9:CD29)</f>
        <v>9141.41376</v>
      </c>
      <c r="CE31" s="46">
        <f>SUM(CE9:CE29)</f>
        <v>41666.98175999999</v>
      </c>
      <c r="CF31" s="46">
        <f>SUM(CF9:CF29)</f>
        <v>4920.562483199999</v>
      </c>
      <c r="CG31" s="46">
        <f>SUM(CG9:CG29)</f>
        <v>3696</v>
      </c>
      <c r="CI31" s="46">
        <f>SUM(CI9:CI29)</f>
        <v>193191.88799999998</v>
      </c>
      <c r="CJ31" s="46">
        <f>SUM(CJ9:CJ29)</f>
        <v>54297.19116000001</v>
      </c>
      <c r="CK31" s="46">
        <f>SUM(CK9:CK29)</f>
        <v>247489.07916000002</v>
      </c>
      <c r="CL31" s="46">
        <f>SUM(CL9:CL29)</f>
        <v>29226.63045119999</v>
      </c>
      <c r="CM31" s="46">
        <f>SUM(CM9:CM29)</f>
        <v>21966</v>
      </c>
      <c r="CO31" s="46">
        <f>SUM(CO9:CO29)</f>
        <v>166345.81200000003</v>
      </c>
      <c r="CP31" s="46">
        <f>SUM(CP9:CP29)</f>
        <v>46752.01659000001</v>
      </c>
      <c r="CQ31" s="46">
        <f>SUM(CQ9:CQ29)</f>
        <v>213097.82859000002</v>
      </c>
      <c r="CR31" s="46">
        <f>SUM(CR9:CR29)</f>
        <v>25165.278028800014</v>
      </c>
      <c r="CS31" s="46">
        <f>SUM(CS9:CS29)</f>
        <v>18942</v>
      </c>
      <c r="CU31" s="46">
        <f>SUM(CU9:CU29)</f>
        <v>172520.14199999996</v>
      </c>
      <c r="CV31" s="46">
        <f>SUM(CV9:CV29)</f>
        <v>48487.33156499999</v>
      </c>
      <c r="CW31" s="46">
        <f>SUM(CW9:CW29)</f>
        <v>221007.47356499996</v>
      </c>
      <c r="CX31" s="46">
        <f>SUM(CX9:CX29)</f>
        <v>26099.34862079999</v>
      </c>
      <c r="CY31" s="46">
        <f>SUM(CY9:CY29)</f>
        <v>19614</v>
      </c>
      <c r="DA31" s="46">
        <f>SUM(DA9:DA29)</f>
        <v>82776.14400000001</v>
      </c>
      <c r="DB31" s="46">
        <f>SUM(DB9:DB29)</f>
        <v>23264.49708</v>
      </c>
      <c r="DC31" s="46">
        <f>SUM(DC9:DC29)</f>
        <v>106040.64108</v>
      </c>
      <c r="DD31" s="46">
        <f>SUM(DD9:DD29)</f>
        <v>12522.6157056</v>
      </c>
      <c r="DE31" s="46">
        <f>SUM(DE9:DE29)</f>
        <v>9492</v>
      </c>
      <c r="DG31" s="46">
        <f>SUM(DG9:DG29)</f>
        <v>563326.254</v>
      </c>
      <c r="DH31" s="46">
        <f>SUM(DH9:DH29)</f>
        <v>158324.62540499997</v>
      </c>
      <c r="DI31" s="46">
        <f>SUM(DI9:DI29)</f>
        <v>721650.879405</v>
      </c>
      <c r="DJ31" s="46">
        <f>SUM(DJ9:DJ29)</f>
        <v>85221.63336959998</v>
      </c>
      <c r="DK31" s="46">
        <f>SUM(DK9:DK29)</f>
        <v>64113</v>
      </c>
      <c r="DM31" s="46">
        <f>SUM(DM9:DM29)</f>
        <v>341438.22000000003</v>
      </c>
      <c r="DN31" s="46">
        <f>SUM(DN9:DN29)</f>
        <v>95962.29164999998</v>
      </c>
      <c r="DO31" s="46">
        <f>SUM(DO9:DO29)</f>
        <v>437400.51165</v>
      </c>
      <c r="DP31" s="46">
        <f>SUM(DP9:DP29)</f>
        <v>51653.766528</v>
      </c>
      <c r="DQ31" s="46">
        <f>SUM(DQ9:DQ29)</f>
        <v>39060</v>
      </c>
      <c r="DS31" s="46">
        <f>SUM(DS9:DS29)</f>
        <v>4462.458</v>
      </c>
      <c r="DT31" s="46">
        <f>SUM(DT9:DT29)</f>
        <v>1254.187935</v>
      </c>
      <c r="DU31" s="46">
        <f>SUM(DU9:DU29)</f>
        <v>5716.645934999999</v>
      </c>
      <c r="DV31" s="46">
        <f>SUM(DV9:DV29)</f>
        <v>675.0936191999998</v>
      </c>
      <c r="DW31" s="46">
        <f>SUM(DW9:DW29)</f>
        <v>504</v>
      </c>
      <c r="DY31" s="46">
        <f>SUM(DY9:DY29)</f>
        <v>816634.2719999999</v>
      </c>
      <c r="DZ31" s="46">
        <f>SUM(DZ9:DZ29)</f>
        <v>229517.64503999997</v>
      </c>
      <c r="EA31" s="46">
        <f>SUM(EA9:EA29)</f>
        <v>1046151.9170399999</v>
      </c>
      <c r="EB31" s="46">
        <f>SUM(EB9:EB29)</f>
        <v>123542.80673280002</v>
      </c>
      <c r="EC31" s="46">
        <f>SUM(EC9:EC29)</f>
        <v>92736</v>
      </c>
      <c r="EE31" s="46">
        <f>SUM(EE9:EE29)</f>
        <v>2683.716</v>
      </c>
      <c r="EF31" s="46">
        <f>SUM(EF9:EF29)</f>
        <v>754.2668699999999</v>
      </c>
      <c r="EG31" s="46">
        <f>SUM(EG9:EG29)</f>
        <v>3437.98287</v>
      </c>
      <c r="EH31" s="46">
        <f>SUM(EH9:EH29)</f>
        <v>406.00035839999987</v>
      </c>
      <c r="EI31" s="46">
        <f>SUM(EI9:EI29)</f>
        <v>294</v>
      </c>
      <c r="EK31" s="46">
        <f>SUM(EK9:EK29)</f>
        <v>62349.588</v>
      </c>
      <c r="EL31" s="46">
        <f>SUM(EL9:EL29)</f>
        <v>17523.54891</v>
      </c>
      <c r="EM31" s="46">
        <f>SUM(EM9:EM29)</f>
        <v>79873.13691</v>
      </c>
      <c r="EN31" s="46">
        <f>SUM(EN9:EN29)</f>
        <v>9432.426931199998</v>
      </c>
      <c r="EO31" s="46">
        <f>SUM(EO9:EO29)</f>
        <v>7077</v>
      </c>
    </row>
    <row r="32" ht="13.5" thickTop="1"/>
    <row r="34" ht="12.75">
      <c r="G34" s="34">
        <v>6762287</v>
      </c>
    </row>
    <row r="41" ht="12.75">
      <c r="H41"/>
    </row>
    <row r="42" ht="12.75">
      <c r="H42"/>
    </row>
    <row r="43" spans="8:34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14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</row>
    <row r="46" spans="1:14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</row>
    <row r="47" spans="1:14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</row>
    <row r="48" spans="1:14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</row>
    <row r="49" spans="1:14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</row>
    <row r="50" spans="1:14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</row>
    <row r="51" spans="1:14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</row>
    <row r="52" spans="1:14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</row>
    <row r="53" spans="1:14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</row>
    <row r="54" spans="1:14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</row>
    <row r="55" spans="1:14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</row>
    <row r="56" spans="1:14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</row>
    <row r="57" spans="1:14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</row>
    <row r="58" spans="1:14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</row>
    <row r="59" spans="1:14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</row>
    <row r="60" spans="1:14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</row>
    <row r="61" spans="1:14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</row>
    <row r="62" spans="1:14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</row>
    <row r="63" spans="1:14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</row>
    <row r="64" spans="1:145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</row>
    <row r="65" spans="1:145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</row>
    <row r="66" spans="1:145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</row>
    <row r="67" spans="1:145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</row>
    <row r="68" spans="1:145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</row>
    <row r="69" spans="1:145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</row>
    <row r="70" spans="1:145" ht="12.75">
      <c r="A70"/>
      <c r="C70"/>
      <c r="D70"/>
      <c r="E70"/>
      <c r="F70"/>
      <c r="G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</row>
  </sheetData>
  <sheetProtection/>
  <printOptions/>
  <pageMargins left="0.75" right="0.75" top="1" bottom="1" header="0.5" footer="0.5"/>
  <pageSetup orientation="landscape" scale="73"/>
  <rowBreaks count="1" manualBreakCount="1">
    <brk id="31" max="255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150" zoomScaleNormal="15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6" sqref="E56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0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4748818.9399999995</v>
      </c>
      <c r="F5" s="9">
        <f t="shared" si="0"/>
        <v>28267130.96</v>
      </c>
      <c r="G5" s="9">
        <f t="shared" si="0"/>
        <v>708203.77</v>
      </c>
      <c r="H5" s="9">
        <f t="shared" si="0"/>
        <v>1152847.73</v>
      </c>
      <c r="I5" s="9">
        <f t="shared" si="0"/>
        <v>10721346.23</v>
      </c>
      <c r="J5" s="9">
        <f t="shared" si="0"/>
        <v>372927.27</v>
      </c>
      <c r="K5" s="9">
        <f t="shared" si="0"/>
        <v>1510074.33</v>
      </c>
      <c r="L5" s="9">
        <f t="shared" si="0"/>
        <v>765522.85</v>
      </c>
      <c r="M5" s="9">
        <f t="shared" si="0"/>
        <v>849242.62</v>
      </c>
      <c r="N5" s="9">
        <f t="shared" si="0"/>
        <v>1425889.35</v>
      </c>
      <c r="O5" s="9">
        <f t="shared" si="0"/>
        <v>3857882.13</v>
      </c>
      <c r="P5" s="9">
        <f t="shared" si="0"/>
        <v>25515279.79</v>
      </c>
      <c r="Q5" s="9">
        <f t="shared" si="0"/>
        <v>104834.03</v>
      </c>
      <c r="R5" s="15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1038997.14</v>
      </c>
      <c r="E7" s="5">
        <f>194604.38+844392.76</f>
        <v>1038997.14</v>
      </c>
      <c r="R7" s="12">
        <f>D7/D5</f>
        <v>0.01298746425</v>
      </c>
      <c r="S7" s="12"/>
    </row>
    <row r="8" spans="1:18" ht="12.75">
      <c r="A8" s="29" t="s">
        <v>15</v>
      </c>
      <c r="B8" s="29" t="s">
        <v>79</v>
      </c>
      <c r="C8" t="s">
        <v>20</v>
      </c>
      <c r="D8" s="5">
        <f t="shared" si="1"/>
        <v>2233561.7699999996</v>
      </c>
      <c r="F8" s="5">
        <f>1523280+659365.09+7236.07+43680.61</f>
        <v>2233561.7699999996</v>
      </c>
      <c r="R8" s="12">
        <f>D8/D5</f>
        <v>0.027919522124999995</v>
      </c>
    </row>
    <row r="9" spans="1:18" ht="12.75">
      <c r="A9" s="29" t="s">
        <v>15</v>
      </c>
      <c r="B9" s="29" t="s">
        <v>63</v>
      </c>
      <c r="C9" t="s">
        <v>131</v>
      </c>
      <c r="D9" s="5">
        <f t="shared" si="1"/>
        <v>2245818.5</v>
      </c>
      <c r="F9" s="5">
        <f>2734670.62-488852.12</f>
        <v>2245818.5</v>
      </c>
      <c r="R9" s="12">
        <f>D9/D5</f>
        <v>0.02807273125</v>
      </c>
    </row>
    <row r="10" spans="1:18" ht="12.75">
      <c r="A10" s="29" t="s">
        <v>69</v>
      </c>
      <c r="B10" s="29" t="s">
        <v>83</v>
      </c>
      <c r="C10" t="s">
        <v>28</v>
      </c>
      <c r="D10" s="5">
        <f t="shared" si="1"/>
        <v>455703.77</v>
      </c>
      <c r="G10" s="5">
        <f>224320.91+231382.86</f>
        <v>455703.77</v>
      </c>
      <c r="R10" s="12">
        <f>D10/D5</f>
        <v>0.005696297125</v>
      </c>
    </row>
    <row r="11" spans="1:18" ht="12.75">
      <c r="A11" s="29" t="s">
        <v>69</v>
      </c>
      <c r="B11" s="29" t="s">
        <v>108</v>
      </c>
      <c r="C11" t="s">
        <v>20</v>
      </c>
      <c r="D11" s="5">
        <f t="shared" si="1"/>
        <v>252500</v>
      </c>
      <c r="G11" s="5">
        <f>252500</f>
        <v>252500</v>
      </c>
      <c r="R11" s="12">
        <f>D11/D5</f>
        <v>0.00315625</v>
      </c>
    </row>
    <row r="12" spans="1:18" ht="12.75">
      <c r="A12" s="29" t="s">
        <v>17</v>
      </c>
      <c r="B12" s="29" t="s">
        <v>16</v>
      </c>
      <c r="C12" t="s">
        <v>18</v>
      </c>
      <c r="D12" s="5">
        <f t="shared" si="1"/>
        <v>1019102.73</v>
      </c>
      <c r="H12" s="5">
        <f>1019102.73</f>
        <v>1019102.73</v>
      </c>
      <c r="R12" s="12">
        <f>D12/D5</f>
        <v>0.012738784125</v>
      </c>
    </row>
    <row r="13" spans="1:18" ht="12.75">
      <c r="A13" s="29" t="s">
        <v>17</v>
      </c>
      <c r="B13" s="29" t="s">
        <v>84</v>
      </c>
      <c r="C13" t="s">
        <v>114</v>
      </c>
      <c r="D13" s="5">
        <f t="shared" si="1"/>
        <v>1635</v>
      </c>
      <c r="H13" s="5">
        <f>1635</f>
        <v>1635</v>
      </c>
      <c r="R13" s="12">
        <f>D13/D5</f>
        <v>2.04375E-05</v>
      </c>
    </row>
    <row r="14" spans="1:18" ht="12.75">
      <c r="A14" s="29" t="s">
        <v>21</v>
      </c>
      <c r="B14" s="29" t="s">
        <v>80</v>
      </c>
      <c r="C14" t="s">
        <v>20</v>
      </c>
      <c r="D14" s="5">
        <f t="shared" si="1"/>
        <v>616789.9299999999</v>
      </c>
      <c r="I14" s="5">
        <f>138730.24+478059.69</f>
        <v>616789.9299999999</v>
      </c>
      <c r="R14" s="12">
        <f>D14/D5</f>
        <v>0.007709874124999999</v>
      </c>
    </row>
    <row r="15" spans="1:18" ht="12.75">
      <c r="A15" s="29" t="s">
        <v>22</v>
      </c>
      <c r="B15" s="29" t="s">
        <v>82</v>
      </c>
      <c r="C15" t="s">
        <v>20</v>
      </c>
      <c r="D15" s="5">
        <f t="shared" si="1"/>
        <v>208271.56</v>
      </c>
      <c r="J15" s="5">
        <f>109756.61+95317.5+3197.45</f>
        <v>208271.56</v>
      </c>
      <c r="R15" s="12">
        <f>D15/D5</f>
        <v>0.0026033945</v>
      </c>
    </row>
    <row r="16" spans="1:18" ht="12.75">
      <c r="A16" s="29" t="s">
        <v>22</v>
      </c>
      <c r="B16" s="29" t="s">
        <v>67</v>
      </c>
      <c r="C16" t="s">
        <v>68</v>
      </c>
      <c r="D16" s="5">
        <f t="shared" si="1"/>
        <v>164655.71</v>
      </c>
      <c r="J16" s="5">
        <f>164655.71</f>
        <v>164655.71</v>
      </c>
      <c r="R16" s="12">
        <f>D16/D5</f>
        <v>0.002058196375</v>
      </c>
    </row>
    <row r="17" spans="1:18" ht="12.75">
      <c r="A17" s="29" t="s">
        <v>30</v>
      </c>
      <c r="B17" s="29" t="s">
        <v>109</v>
      </c>
      <c r="C17" t="s">
        <v>110</v>
      </c>
      <c r="D17" s="5">
        <f t="shared" si="1"/>
        <v>863352.35</v>
      </c>
      <c r="K17" s="5">
        <f>863352.35</f>
        <v>863352.35</v>
      </c>
      <c r="R17" s="12">
        <f>D17/D5</f>
        <v>0.010791904375</v>
      </c>
    </row>
    <row r="18" spans="1:18" ht="12.75">
      <c r="A18" s="29" t="s">
        <v>23</v>
      </c>
      <c r="B18" s="29" t="s">
        <v>113</v>
      </c>
      <c r="C18" t="s">
        <v>28</v>
      </c>
      <c r="D18" s="5">
        <f t="shared" si="1"/>
        <v>58378.020000000004</v>
      </c>
      <c r="L18" s="5">
        <f>15698.02+42680</f>
        <v>58378.020000000004</v>
      </c>
      <c r="R18" s="12">
        <f>D18/D5</f>
        <v>0.0007297252500000001</v>
      </c>
    </row>
    <row r="19" spans="1:18" ht="12.75">
      <c r="A19" s="29" t="s">
        <v>23</v>
      </c>
      <c r="B19" s="29" t="s">
        <v>106</v>
      </c>
      <c r="C19" t="s">
        <v>20</v>
      </c>
      <c r="D19" s="5">
        <f t="shared" si="1"/>
        <v>346736.82999999996</v>
      </c>
      <c r="L19" s="5">
        <f>51806+269132.79+24243.04+1555</f>
        <v>346736.82999999996</v>
      </c>
      <c r="R19" s="12">
        <f>D19/D5</f>
        <v>0.004334210375</v>
      </c>
    </row>
    <row r="20" spans="1:18" ht="12.75">
      <c r="A20" s="29" t="s">
        <v>19</v>
      </c>
      <c r="B20" s="29" t="s">
        <v>80</v>
      </c>
      <c r="C20" t="s">
        <v>20</v>
      </c>
      <c r="D20" s="5">
        <f t="shared" si="1"/>
        <v>298555.14</v>
      </c>
      <c r="M20" s="5">
        <f>71143+227412.14</f>
        <v>298555.14</v>
      </c>
      <c r="R20" s="12">
        <f>D20/D5</f>
        <v>0.00373193925</v>
      </c>
    </row>
    <row r="21" spans="1:18" ht="12.75">
      <c r="A21" s="29" t="s">
        <v>19</v>
      </c>
      <c r="B21" s="29" t="s">
        <v>66</v>
      </c>
      <c r="C21" t="s">
        <v>27</v>
      </c>
      <c r="D21" s="5">
        <f t="shared" si="1"/>
        <v>309639.06</v>
      </c>
      <c r="M21" s="5">
        <f>309639.06</f>
        <v>309639.06</v>
      </c>
      <c r="R21" s="12">
        <f>D21/D5</f>
        <v>0.00387048825</v>
      </c>
    </row>
    <row r="22" spans="1:18" ht="12.75">
      <c r="A22" s="29" t="s">
        <v>24</v>
      </c>
      <c r="B22" s="29" t="s">
        <v>126</v>
      </c>
      <c r="C22" t="s">
        <v>28</v>
      </c>
      <c r="D22" s="5">
        <f t="shared" si="1"/>
        <v>148569.06999999998</v>
      </c>
      <c r="N22" s="5">
        <f>133279.52+15289.55</f>
        <v>148569.06999999998</v>
      </c>
      <c r="R22" s="12">
        <f>D22/D5</f>
        <v>0.0018571133749999997</v>
      </c>
    </row>
    <row r="23" spans="1:18" ht="12.75">
      <c r="A23" s="29" t="s">
        <v>24</v>
      </c>
      <c r="B23" s="29" t="s">
        <v>111</v>
      </c>
      <c r="C23" t="s">
        <v>20</v>
      </c>
      <c r="D23" s="5">
        <f t="shared" si="1"/>
        <v>1011052.64</v>
      </c>
      <c r="N23" s="5">
        <f>319257+567000+57226+18616.27+48953.37</f>
        <v>1011052.64</v>
      </c>
      <c r="R23" s="12">
        <f>D23/D5</f>
        <v>0.012638158</v>
      </c>
    </row>
    <row r="24" spans="1:18" ht="12.75">
      <c r="A24" s="29" t="s">
        <v>93</v>
      </c>
      <c r="B24" s="29" t="s">
        <v>65</v>
      </c>
      <c r="C24" t="s">
        <v>20</v>
      </c>
      <c r="D24" s="5">
        <f t="shared" si="1"/>
        <v>612814.22</v>
      </c>
      <c r="O24" s="5">
        <f>407782.37+205031.85</f>
        <v>612814.22</v>
      </c>
      <c r="R24" s="12">
        <f>D24/D5</f>
        <v>0.007660177749999999</v>
      </c>
    </row>
    <row r="25" spans="1:18" ht="12.75">
      <c r="A25" s="29" t="s">
        <v>25</v>
      </c>
      <c r="B25" s="29" t="s">
        <v>84</v>
      </c>
      <c r="C25" t="s">
        <v>28</v>
      </c>
      <c r="D25" s="5">
        <f t="shared" si="1"/>
        <v>8012.48</v>
      </c>
      <c r="P25" s="5">
        <f>8012.48</f>
        <v>8012.48</v>
      </c>
      <c r="R25" s="12">
        <f>D25/D5</f>
        <v>0.000100156</v>
      </c>
    </row>
    <row r="26" spans="1:18" ht="12.75">
      <c r="A26" s="29" t="s">
        <v>25</v>
      </c>
      <c r="B26" s="29" t="s">
        <v>81</v>
      </c>
      <c r="C26" t="s">
        <v>20</v>
      </c>
      <c r="D26" s="5">
        <f t="shared" si="1"/>
        <v>1465690.41</v>
      </c>
      <c r="P26" s="5">
        <f>389048.31+796773.59+126592.65+147758.09+1283.8+4233.97</f>
        <v>1465690.41</v>
      </c>
      <c r="R26" s="12">
        <f>D26/D5</f>
        <v>0.018321130124999998</v>
      </c>
    </row>
    <row r="27" spans="1:18" ht="12.75">
      <c r="A27" s="29" t="s">
        <v>26</v>
      </c>
      <c r="B27" s="29" t="s">
        <v>112</v>
      </c>
      <c r="C27" t="s">
        <v>28</v>
      </c>
      <c r="D27" s="5">
        <f t="shared" si="1"/>
        <v>4818.45</v>
      </c>
      <c r="Q27" s="5">
        <f>4818.45</f>
        <v>4818.45</v>
      </c>
      <c r="R27" s="12">
        <f>D27/D5</f>
        <v>6.0230625E-05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111908.53</v>
      </c>
      <c r="Q28" s="5">
        <f>32804.19+114066.84-39270+4307.5</f>
        <v>111908.53</v>
      </c>
      <c r="R28" s="12">
        <f>D28/D5</f>
        <v>0.001398856625</v>
      </c>
      <c r="S28" s="12">
        <f>SUM(R7:R28)</f>
        <v>0.16845704137499995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223877.32</v>
      </c>
      <c r="E29" s="5">
        <f>223877.32</f>
        <v>223877.32</v>
      </c>
      <c r="R29" s="12">
        <f>D29/D5</f>
        <v>0.0027984665</v>
      </c>
      <c r="S29" s="12"/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1204969.83</v>
      </c>
      <c r="E30" s="5">
        <f>1204969.83</f>
        <v>1204969.83</v>
      </c>
      <c r="R30" s="12">
        <f>D30/D5</f>
        <v>0.015062122875</v>
      </c>
      <c r="S30" s="12"/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1888831.55</v>
      </c>
      <c r="E31" s="5">
        <f>1888831.55</f>
        <v>1888831.55</v>
      </c>
      <c r="R31" s="12">
        <f>D31/D5</f>
        <v>0.023610394375</v>
      </c>
      <c r="S31" s="12"/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392143.1</v>
      </c>
      <c r="E32" s="5">
        <f>392143.1</f>
        <v>392143.1</v>
      </c>
      <c r="R32" s="12">
        <f>D32/D5</f>
        <v>0.004901788749999999</v>
      </c>
      <c r="S32" s="12"/>
    </row>
    <row r="33" spans="1:18" ht="12.75">
      <c r="A33" s="29" t="s">
        <v>15</v>
      </c>
      <c r="B33" s="29" t="s">
        <v>89</v>
      </c>
      <c r="C33" t="s">
        <v>43</v>
      </c>
      <c r="D33" s="5">
        <f t="shared" si="1"/>
        <v>23787750.69</v>
      </c>
      <c r="F33" s="5">
        <f>5732440+17728595.78+326714.91</f>
        <v>23787750.69</v>
      </c>
      <c r="R33" s="12">
        <f>D33/D5</f>
        <v>0.297346883625</v>
      </c>
    </row>
    <row r="34" spans="1:18" ht="12.75">
      <c r="A34" s="29" t="s">
        <v>17</v>
      </c>
      <c r="B34" s="29" t="s">
        <v>70</v>
      </c>
      <c r="C34" t="s">
        <v>117</v>
      </c>
      <c r="D34" s="5">
        <f t="shared" si="1"/>
        <v>132110</v>
      </c>
      <c r="H34" s="5">
        <f>132110</f>
        <v>132110</v>
      </c>
      <c r="R34" s="12">
        <f>D34/D5</f>
        <v>0.001651375</v>
      </c>
    </row>
    <row r="35" spans="1:18" ht="12.75">
      <c r="A35" s="29" t="s">
        <v>21</v>
      </c>
      <c r="B35" s="29" t="s">
        <v>70</v>
      </c>
      <c r="C35" t="s">
        <v>90</v>
      </c>
      <c r="D35" s="5">
        <f>SUM(E35:Q35)</f>
        <v>460041.12</v>
      </c>
      <c r="I35" s="5">
        <f>460041.12</f>
        <v>460041.12</v>
      </c>
      <c r="R35" s="12">
        <f>D35/D5</f>
        <v>0.005750514</v>
      </c>
    </row>
    <row r="36" spans="1:18" ht="12.75">
      <c r="A36" s="29" t="s">
        <v>21</v>
      </c>
      <c r="B36" s="29" t="s">
        <v>116</v>
      </c>
      <c r="C36" t="s">
        <v>29</v>
      </c>
      <c r="D36" s="5">
        <f t="shared" si="1"/>
        <v>3519276.7</v>
      </c>
      <c r="I36" s="5">
        <f>2019276.7+1500000</f>
        <v>3519276.7</v>
      </c>
      <c r="R36" s="12">
        <f>D36/D5</f>
        <v>0.04399095875</v>
      </c>
    </row>
    <row r="37" spans="1:18" ht="12.75">
      <c r="A37" s="29" t="s">
        <v>21</v>
      </c>
      <c r="B37" s="29" t="s">
        <v>73</v>
      </c>
      <c r="C37" t="s">
        <v>71</v>
      </c>
      <c r="D37" s="5">
        <f t="shared" si="1"/>
        <v>1108701.57</v>
      </c>
      <c r="I37" s="5">
        <f>957911.09+150790.48</f>
        <v>1108701.57</v>
      </c>
      <c r="R37" s="12">
        <f>D37/D5</f>
        <v>0.013858769625000001</v>
      </c>
    </row>
    <row r="38" spans="1:18" ht="12.75">
      <c r="A38" s="29" t="s">
        <v>21</v>
      </c>
      <c r="B38" s="29" t="s">
        <v>73</v>
      </c>
      <c r="C38" t="s">
        <v>31</v>
      </c>
      <c r="D38" s="5">
        <f t="shared" si="1"/>
        <v>5016536.91</v>
      </c>
      <c r="I38" s="5">
        <f>9389.17+4999763.62+7384.12</f>
        <v>5016536.91</v>
      </c>
      <c r="R38" s="12">
        <f>D38/D5</f>
        <v>0.062706711375</v>
      </c>
    </row>
    <row r="39" spans="1:18" ht="12.75">
      <c r="A39" s="29" t="s">
        <v>30</v>
      </c>
      <c r="B39" s="29" t="s">
        <v>133</v>
      </c>
      <c r="C39" t="s">
        <v>34</v>
      </c>
      <c r="D39" s="5">
        <f t="shared" si="1"/>
        <v>1425</v>
      </c>
      <c r="K39" s="5">
        <f>1425</f>
        <v>1425</v>
      </c>
      <c r="R39" s="12">
        <f>D39/D5</f>
        <v>1.78125E-05</v>
      </c>
    </row>
    <row r="40" spans="1:18" ht="12.75">
      <c r="A40" s="29" t="s">
        <v>30</v>
      </c>
      <c r="B40" s="29" t="s">
        <v>85</v>
      </c>
      <c r="C40" t="s">
        <v>134</v>
      </c>
      <c r="D40" s="5">
        <f t="shared" si="1"/>
        <v>645296.98</v>
      </c>
      <c r="K40" s="5">
        <f>645296.98</f>
        <v>645296.98</v>
      </c>
      <c r="R40" s="12">
        <f>D40/D5</f>
        <v>0.00806621225</v>
      </c>
    </row>
    <row r="41" spans="1:18" ht="12.75">
      <c r="A41" s="29" t="s">
        <v>23</v>
      </c>
      <c r="B41" s="29" t="s">
        <v>35</v>
      </c>
      <c r="C41" t="s">
        <v>96</v>
      </c>
      <c r="D41" s="5">
        <f t="shared" si="1"/>
        <v>360408</v>
      </c>
      <c r="L41" s="5">
        <f>360408</f>
        <v>360408</v>
      </c>
      <c r="R41" s="12">
        <f>D41/D5</f>
        <v>0.0045051</v>
      </c>
    </row>
    <row r="42" spans="1:18" ht="12.75">
      <c r="A42" s="29" t="s">
        <v>91</v>
      </c>
      <c r="B42" s="29" t="s">
        <v>70</v>
      </c>
      <c r="C42" t="s">
        <v>92</v>
      </c>
      <c r="D42" s="5">
        <f t="shared" si="1"/>
        <v>241048.42</v>
      </c>
      <c r="M42" s="5">
        <f>241048.42</f>
        <v>241048.42</v>
      </c>
      <c r="R42" s="12">
        <f>D42/D5</f>
        <v>0.00301310525</v>
      </c>
    </row>
    <row r="43" spans="1:18" ht="12.75">
      <c r="A43" s="29" t="s">
        <v>24</v>
      </c>
      <c r="B43" s="29" t="s">
        <v>70</v>
      </c>
      <c r="C43" t="s">
        <v>94</v>
      </c>
      <c r="D43" s="5">
        <f t="shared" si="1"/>
        <v>266267.64</v>
      </c>
      <c r="N43" s="5">
        <f>266267.64</f>
        <v>266267.64</v>
      </c>
      <c r="R43" s="12">
        <f>D43/D5</f>
        <v>0.0033283455</v>
      </c>
    </row>
    <row r="44" spans="1:18" ht="12.75">
      <c r="A44" s="29" t="s">
        <v>93</v>
      </c>
      <c r="B44" s="29" t="s">
        <v>116</v>
      </c>
      <c r="C44" t="s">
        <v>95</v>
      </c>
      <c r="D44" s="5">
        <f t="shared" si="1"/>
        <v>3245067.91</v>
      </c>
      <c r="O44" s="5">
        <f>2800000+445067.91</f>
        <v>3245067.91</v>
      </c>
      <c r="R44" s="12">
        <f>D44/D5</f>
        <v>0.040563348875</v>
      </c>
    </row>
    <row r="45" spans="1:18" ht="12.75">
      <c r="A45" s="29" t="s">
        <v>25</v>
      </c>
      <c r="B45" s="29" t="s">
        <v>42</v>
      </c>
      <c r="C45" t="s">
        <v>36</v>
      </c>
      <c r="D45" s="5">
        <f t="shared" si="1"/>
        <v>484348.6</v>
      </c>
      <c r="P45" s="5">
        <f>484348.6</f>
        <v>484348.6</v>
      </c>
      <c r="R45" s="12">
        <f>D45/D5</f>
        <v>0.0060543574999999995</v>
      </c>
    </row>
    <row r="46" spans="1:18" ht="12.75">
      <c r="A46" s="29" t="s">
        <v>25</v>
      </c>
      <c r="B46" s="29" t="s">
        <v>73</v>
      </c>
      <c r="C46" t="s">
        <v>56</v>
      </c>
      <c r="D46" s="5">
        <f t="shared" si="1"/>
        <v>9498544.92</v>
      </c>
      <c r="P46" s="5">
        <f>2220073.1+7278471.82</f>
        <v>9498544.92</v>
      </c>
      <c r="R46" s="12">
        <f>D46/D5</f>
        <v>0.11873181149999999</v>
      </c>
    </row>
    <row r="47" spans="1:18" ht="12.75">
      <c r="A47" s="29" t="s">
        <v>25</v>
      </c>
      <c r="B47" s="29" t="s">
        <v>118</v>
      </c>
      <c r="C47" t="s">
        <v>57</v>
      </c>
      <c r="D47" s="5">
        <f t="shared" si="1"/>
        <v>487108.18</v>
      </c>
      <c r="P47" s="5">
        <f>207245.24+279862.94</f>
        <v>487108.18</v>
      </c>
      <c r="R47" s="12">
        <f>D47/D5</f>
        <v>0.0060888522499999995</v>
      </c>
    </row>
    <row r="48" spans="1:18" ht="12.75">
      <c r="A48" s="29" t="s">
        <v>25</v>
      </c>
      <c r="B48" s="29" t="s">
        <v>85</v>
      </c>
      <c r="C48" t="s">
        <v>115</v>
      </c>
      <c r="D48" s="5">
        <f t="shared" si="1"/>
        <v>1221318.47</v>
      </c>
      <c r="P48" s="5">
        <f>1221318.47</f>
        <v>1221318.47</v>
      </c>
      <c r="R48" s="12">
        <f>D48/D5</f>
        <v>0.015266480875</v>
      </c>
    </row>
    <row r="49" spans="1:18" ht="12.75">
      <c r="A49" s="29" t="s">
        <v>25</v>
      </c>
      <c r="B49" s="29" t="s">
        <v>116</v>
      </c>
      <c r="C49" t="s">
        <v>72</v>
      </c>
      <c r="D49" s="5">
        <f t="shared" si="1"/>
        <v>12350256.73</v>
      </c>
      <c r="P49" s="5">
        <f>10650256.73+1700000</f>
        <v>12350256.73</v>
      </c>
      <c r="R49" s="12">
        <f>D49/D5</f>
        <v>0.154378209125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-11892.95</v>
      </c>
      <c r="Q50" s="5">
        <f>-11892.95</f>
        <v>-11892.95</v>
      </c>
      <c r="R50" s="12">
        <f>D50/D5</f>
        <v>-0.00014866187500000002</v>
      </c>
      <c r="S50" s="12">
        <f>SUM(R29:R50)</f>
        <v>0.831542958625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8" s="12" customFormat="1" ht="13.5" thickBot="1">
      <c r="B52" s="52"/>
      <c r="C52" s="13" t="s">
        <v>8</v>
      </c>
      <c r="D52" s="56">
        <f>SUM(E52:Q52)</f>
        <v>1</v>
      </c>
      <c r="E52" s="14">
        <f>E5/D5</f>
        <v>0.059360236749999996</v>
      </c>
      <c r="F52" s="14">
        <f>F5/D5</f>
        <v>0.353339137</v>
      </c>
      <c r="G52" s="14">
        <f>G5/D5</f>
        <v>0.008852547125</v>
      </c>
      <c r="H52" s="14">
        <f>H5/D5</f>
        <v>0.014410596625</v>
      </c>
      <c r="I52" s="14">
        <f>I5/D5</f>
        <v>0.134016827875</v>
      </c>
      <c r="J52" s="14">
        <f>J5/D5</f>
        <v>0.004661590875000001</v>
      </c>
      <c r="K52" s="14">
        <f>K5/D5</f>
        <v>0.018875929125</v>
      </c>
      <c r="L52" s="14">
        <f>L5/D5</f>
        <v>0.009569035625</v>
      </c>
      <c r="M52" s="14">
        <f>M5/D5</f>
        <v>0.01061553275</v>
      </c>
      <c r="N52" s="14">
        <f>N5/D5</f>
        <v>0.017823616875</v>
      </c>
      <c r="O52" s="14">
        <f>O5/D5</f>
        <v>0.048223526625</v>
      </c>
      <c r="P52" s="14">
        <f>P5/D5</f>
        <v>0.318940997375</v>
      </c>
      <c r="Q52" s="14">
        <f>Q5/D5</f>
        <v>0.001310425375</v>
      </c>
      <c r="R52" s="14">
        <f>SUM(R7:R51)</f>
        <v>1.0000000000000004</v>
      </c>
    </row>
    <row r="53" spans="1:18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</row>
  </sheetData>
  <sheetProtection/>
  <printOptions/>
  <pageMargins left="0.25" right="0" top="1" bottom="0.5" header="0.5" footer="0.25"/>
  <pageSetup horizontalDpi="600" verticalDpi="600" orientation="landscape" paperSize="5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1">
      <selection activeCell="R11" sqref="R11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5" width="12.7109375" style="5" customWidth="1"/>
    <col min="6" max="6" width="13.7109375" style="5" customWidth="1"/>
    <col min="7" max="8" width="12.7109375" style="5" customWidth="1"/>
    <col min="9" max="9" width="13.7109375" style="5" customWidth="1"/>
    <col min="10" max="12" width="12.7109375" style="5" customWidth="1"/>
    <col min="13" max="13" width="11.7109375" style="5" customWidth="1"/>
    <col min="14" max="15" width="12.7109375" style="5" customWidth="1"/>
    <col min="16" max="16" width="13.7109375" style="5" customWidth="1"/>
    <col min="17" max="17" width="11.7109375" style="5" customWidth="1"/>
    <col min="18" max="18" width="13.7109375" style="12" customWidth="1"/>
    <col min="19" max="19" width="13.7109375" style="5" customWidth="1"/>
  </cols>
  <sheetData>
    <row r="1" ht="12.75">
      <c r="A1" s="18" t="s">
        <v>78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4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15</v>
      </c>
      <c r="G4" s="4" t="s">
        <v>69</v>
      </c>
      <c r="H4" s="4" t="s">
        <v>17</v>
      </c>
      <c r="I4" s="4" t="s">
        <v>21</v>
      </c>
      <c r="J4" s="4" t="s">
        <v>22</v>
      </c>
      <c r="K4" s="4" t="s">
        <v>30</v>
      </c>
      <c r="L4" s="4" t="s">
        <v>23</v>
      </c>
      <c r="M4" s="4" t="s">
        <v>19</v>
      </c>
      <c r="N4" s="4" t="s">
        <v>24</v>
      </c>
      <c r="O4" s="4" t="s">
        <v>93</v>
      </c>
      <c r="P4" s="4" t="s">
        <v>25</v>
      </c>
      <c r="Q4" s="4" t="s">
        <v>26</v>
      </c>
      <c r="R4" s="55" t="s">
        <v>6</v>
      </c>
    </row>
    <row r="5" spans="1:19" s="11" customFormat="1" ht="13.5" thickBot="1">
      <c r="A5" s="8"/>
      <c r="B5" s="8"/>
      <c r="C5" s="8" t="s">
        <v>7</v>
      </c>
      <c r="D5" s="9">
        <f>SUM(E5:Q5)</f>
        <v>80000000</v>
      </c>
      <c r="E5" s="9">
        <f aca="true" t="shared" si="0" ref="E5:Q5">SUM(E6:E51)</f>
        <v>4748113.06</v>
      </c>
      <c r="F5" s="9">
        <f t="shared" si="0"/>
        <v>28262929.34</v>
      </c>
      <c r="G5" s="9">
        <f t="shared" si="0"/>
        <v>708098.5</v>
      </c>
      <c r="H5" s="9">
        <f t="shared" si="0"/>
        <v>1152676.37</v>
      </c>
      <c r="I5" s="9">
        <f t="shared" si="0"/>
        <v>10719752.61</v>
      </c>
      <c r="J5" s="9">
        <f t="shared" si="0"/>
        <v>372871.83999999997</v>
      </c>
      <c r="K5" s="9">
        <f t="shared" si="0"/>
        <v>1509849.87</v>
      </c>
      <c r="L5" s="9">
        <f t="shared" si="0"/>
        <v>765409.06</v>
      </c>
      <c r="M5" s="9">
        <f t="shared" si="0"/>
        <v>849116.3900000001</v>
      </c>
      <c r="N5" s="9">
        <f t="shared" si="0"/>
        <v>1425677.4100000001</v>
      </c>
      <c r="O5" s="9">
        <f t="shared" si="0"/>
        <v>3857308.69</v>
      </c>
      <c r="P5" s="9">
        <f t="shared" si="0"/>
        <v>25511487.229999997</v>
      </c>
      <c r="Q5" s="9">
        <f t="shared" si="0"/>
        <v>116709.62999999999</v>
      </c>
      <c r="R5" s="15"/>
      <c r="S5" s="73"/>
    </row>
    <row r="6" spans="1:18" ht="13.5" thickTop="1">
      <c r="A6" s="6"/>
      <c r="B6" s="51"/>
      <c r="C6" s="5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9" ht="12.75">
      <c r="A7" s="29" t="s">
        <v>5</v>
      </c>
      <c r="B7" s="29" t="s">
        <v>80</v>
      </c>
      <c r="C7" t="s">
        <v>64</v>
      </c>
      <c r="D7" s="5">
        <f aca="true" t="shared" si="1" ref="D7:D50">SUM(E7:Q7)</f>
        <v>1038842.7000000001</v>
      </c>
      <c r="E7" s="5">
        <f>194604.38+844392.76+S7</f>
        <v>1038842.7000000001</v>
      </c>
      <c r="R7" s="12">
        <f>D7/D5</f>
        <v>0.01298553375</v>
      </c>
      <c r="S7" s="5">
        <v>-154.44</v>
      </c>
    </row>
    <row r="8" spans="1:19" ht="12.75">
      <c r="A8" s="29" t="s">
        <v>15</v>
      </c>
      <c r="B8" s="29" t="s">
        <v>79</v>
      </c>
      <c r="C8" t="s">
        <v>20</v>
      </c>
      <c r="D8" s="5">
        <f t="shared" si="1"/>
        <v>2233229.7699999996</v>
      </c>
      <c r="F8" s="5">
        <f>1523280+659365.09+7236.07+43680.61+S8</f>
        <v>2233229.7699999996</v>
      </c>
      <c r="R8" s="12">
        <f>D8/D5</f>
        <v>0.027915372124999994</v>
      </c>
      <c r="S8" s="5">
        <v>-332</v>
      </c>
    </row>
    <row r="9" spans="1:19" ht="12.75">
      <c r="A9" s="29" t="s">
        <v>15</v>
      </c>
      <c r="B9" s="29" t="s">
        <v>63</v>
      </c>
      <c r="C9" t="s">
        <v>131</v>
      </c>
      <c r="D9" s="5">
        <f t="shared" si="1"/>
        <v>2245484.68</v>
      </c>
      <c r="F9" s="5">
        <f>2734670.62-488852.12+S9</f>
        <v>2245484.68</v>
      </c>
      <c r="R9" s="12">
        <f>D9/D5</f>
        <v>0.028068558500000004</v>
      </c>
      <c r="S9" s="5">
        <v>-333.82</v>
      </c>
    </row>
    <row r="10" spans="1:19" ht="12.75">
      <c r="A10" s="29" t="s">
        <v>69</v>
      </c>
      <c r="B10" s="29" t="s">
        <v>83</v>
      </c>
      <c r="C10" t="s">
        <v>28</v>
      </c>
      <c r="D10" s="5">
        <f t="shared" si="1"/>
        <v>455636.03</v>
      </c>
      <c r="G10" s="5">
        <f>224320.91+231382.86+S10</f>
        <v>455636.03</v>
      </c>
      <c r="R10" s="12">
        <f>D10/D5</f>
        <v>0.005695450375</v>
      </c>
      <c r="S10" s="5">
        <v>-67.74</v>
      </c>
    </row>
    <row r="11" spans="1:19" ht="12.75">
      <c r="A11" s="29" t="s">
        <v>69</v>
      </c>
      <c r="B11" s="29" t="s">
        <v>108</v>
      </c>
      <c r="C11" t="s">
        <v>20</v>
      </c>
      <c r="D11" s="5">
        <f t="shared" si="1"/>
        <v>252462.47</v>
      </c>
      <c r="G11" s="5">
        <f>252500+S11</f>
        <v>252462.47</v>
      </c>
      <c r="R11" s="12">
        <f>D11/D5</f>
        <v>0.003155780875</v>
      </c>
      <c r="S11" s="5">
        <v>-37.53</v>
      </c>
    </row>
    <row r="12" spans="1:19" ht="12.75">
      <c r="A12" s="29" t="s">
        <v>17</v>
      </c>
      <c r="B12" s="29" t="s">
        <v>16</v>
      </c>
      <c r="C12" t="s">
        <v>18</v>
      </c>
      <c r="D12" s="5">
        <f t="shared" si="1"/>
        <v>1018951.25</v>
      </c>
      <c r="H12" s="5">
        <f>1019102.73+S12</f>
        <v>1018951.25</v>
      </c>
      <c r="R12" s="12">
        <f>D12/D5</f>
        <v>0.012736890625</v>
      </c>
      <c r="S12" s="5">
        <v>-151.48</v>
      </c>
    </row>
    <row r="13" spans="1:19" ht="12.75">
      <c r="A13" s="29" t="s">
        <v>17</v>
      </c>
      <c r="B13" s="29" t="s">
        <v>84</v>
      </c>
      <c r="C13" t="s">
        <v>114</v>
      </c>
      <c r="D13" s="5">
        <f t="shared" si="1"/>
        <v>1634.76</v>
      </c>
      <c r="H13" s="5">
        <f>1635+S13</f>
        <v>1634.76</v>
      </c>
      <c r="R13" s="12">
        <f>D13/D5</f>
        <v>2.04345E-05</v>
      </c>
      <c r="S13" s="5">
        <v>-0.24</v>
      </c>
    </row>
    <row r="14" spans="1:19" ht="12.75">
      <c r="A14" s="29" t="s">
        <v>21</v>
      </c>
      <c r="B14" s="29" t="s">
        <v>80</v>
      </c>
      <c r="C14" t="s">
        <v>20</v>
      </c>
      <c r="D14" s="5">
        <f t="shared" si="1"/>
        <v>616698.2499999999</v>
      </c>
      <c r="I14" s="5">
        <f>138730.24+478059.69+S14</f>
        <v>616698.2499999999</v>
      </c>
      <c r="R14" s="12">
        <f>D14/D5</f>
        <v>0.007708728124999999</v>
      </c>
      <c r="S14" s="5">
        <v>-91.68</v>
      </c>
    </row>
    <row r="15" spans="1:19" ht="12.75">
      <c r="A15" s="29" t="s">
        <v>22</v>
      </c>
      <c r="B15" s="29" t="s">
        <v>82</v>
      </c>
      <c r="C15" t="s">
        <v>20</v>
      </c>
      <c r="D15" s="5">
        <f t="shared" si="1"/>
        <v>208240.6</v>
      </c>
      <c r="J15" s="5">
        <f>109756.61+95317.5+3197.45+S15</f>
        <v>208240.6</v>
      </c>
      <c r="R15" s="12">
        <f>D15/D5</f>
        <v>0.0026030075000000002</v>
      </c>
      <c r="S15" s="5">
        <v>-30.96</v>
      </c>
    </row>
    <row r="16" spans="1:19" ht="12.75">
      <c r="A16" s="29" t="s">
        <v>22</v>
      </c>
      <c r="B16" s="29" t="s">
        <v>67</v>
      </c>
      <c r="C16" t="s">
        <v>68</v>
      </c>
      <c r="D16" s="5">
        <f t="shared" si="1"/>
        <v>164631.24</v>
      </c>
      <c r="J16" s="5">
        <f>164655.71+S16</f>
        <v>164631.24</v>
      </c>
      <c r="R16" s="12">
        <f>D16/D5</f>
        <v>0.0020578905</v>
      </c>
      <c r="S16" s="5">
        <v>-24.47</v>
      </c>
    </row>
    <row r="17" spans="1:19" ht="12.75">
      <c r="A17" s="29" t="s">
        <v>30</v>
      </c>
      <c r="B17" s="29" t="s">
        <v>109</v>
      </c>
      <c r="C17" t="s">
        <v>110</v>
      </c>
      <c r="D17" s="5">
        <f t="shared" si="1"/>
        <v>863224.02</v>
      </c>
      <c r="K17" s="5">
        <f>863352.35+S17</f>
        <v>863224.02</v>
      </c>
      <c r="R17" s="12">
        <f>D17/D5</f>
        <v>0.01079030025</v>
      </c>
      <c r="S17" s="5">
        <v>-128.33</v>
      </c>
    </row>
    <row r="18" spans="1:19" ht="12.75">
      <c r="A18" s="29" t="s">
        <v>23</v>
      </c>
      <c r="B18" s="29" t="s">
        <v>113</v>
      </c>
      <c r="C18" t="s">
        <v>28</v>
      </c>
      <c r="D18" s="5">
        <f t="shared" si="1"/>
        <v>58369.340000000004</v>
      </c>
      <c r="L18" s="5">
        <f>15698.02+42680+S18</f>
        <v>58369.340000000004</v>
      </c>
      <c r="R18" s="12">
        <f>D18/D5</f>
        <v>0.00072961675</v>
      </c>
      <c r="S18" s="5">
        <v>-8.68</v>
      </c>
    </row>
    <row r="19" spans="1:19" ht="12.75">
      <c r="A19" s="29" t="s">
        <v>23</v>
      </c>
      <c r="B19" s="29" t="s">
        <v>106</v>
      </c>
      <c r="C19" t="s">
        <v>20</v>
      </c>
      <c r="D19" s="5">
        <f t="shared" si="1"/>
        <v>346685.29</v>
      </c>
      <c r="L19" s="5">
        <f>51806+269132.79+24243.04+1555+S19</f>
        <v>346685.29</v>
      </c>
      <c r="R19" s="12">
        <f>D19/D5</f>
        <v>0.004333566125</v>
      </c>
      <c r="S19" s="5">
        <v>-51.54</v>
      </c>
    </row>
    <row r="20" spans="1:19" ht="12.75">
      <c r="A20" s="29" t="s">
        <v>19</v>
      </c>
      <c r="B20" s="29" t="s">
        <v>80</v>
      </c>
      <c r="C20" t="s">
        <v>20</v>
      </c>
      <c r="D20" s="5">
        <f t="shared" si="1"/>
        <v>298510.76</v>
      </c>
      <c r="M20" s="5">
        <f>71143+227412.14+S20</f>
        <v>298510.76</v>
      </c>
      <c r="R20" s="12">
        <f>D20/D5</f>
        <v>0.0037313845</v>
      </c>
      <c r="S20" s="5">
        <v>-44.38</v>
      </c>
    </row>
    <row r="21" spans="1:19" ht="12.75">
      <c r="A21" s="29" t="s">
        <v>19</v>
      </c>
      <c r="B21" s="29" t="s">
        <v>66</v>
      </c>
      <c r="C21" t="s">
        <v>27</v>
      </c>
      <c r="D21" s="5">
        <f t="shared" si="1"/>
        <v>309593.04</v>
      </c>
      <c r="M21" s="5">
        <f>309639.06+S21</f>
        <v>309593.04</v>
      </c>
      <c r="R21" s="12">
        <f>D21/D5</f>
        <v>0.0038699129999999996</v>
      </c>
      <c r="S21" s="5">
        <v>-46.02</v>
      </c>
    </row>
    <row r="22" spans="1:19" ht="12.75">
      <c r="A22" s="29" t="s">
        <v>24</v>
      </c>
      <c r="B22" s="29" t="s">
        <v>126</v>
      </c>
      <c r="C22" t="s">
        <v>28</v>
      </c>
      <c r="D22" s="5">
        <f t="shared" si="1"/>
        <v>148546.99</v>
      </c>
      <c r="N22" s="5">
        <f>133279.52+15289.55+S22</f>
        <v>148546.99</v>
      </c>
      <c r="R22" s="12">
        <f>D22/D5</f>
        <v>0.0018568373749999999</v>
      </c>
      <c r="S22" s="5">
        <v>-22.08</v>
      </c>
    </row>
    <row r="23" spans="1:19" ht="12.75">
      <c r="A23" s="29" t="s">
        <v>24</v>
      </c>
      <c r="B23" s="29" t="s">
        <v>111</v>
      </c>
      <c r="C23" t="s">
        <v>20</v>
      </c>
      <c r="D23" s="5">
        <f t="shared" si="1"/>
        <v>1010902.36</v>
      </c>
      <c r="N23" s="5">
        <f>319257+567000+57226+18616.27+48953.37+S23</f>
        <v>1010902.36</v>
      </c>
      <c r="R23" s="12">
        <f>D23/D5</f>
        <v>0.0126362795</v>
      </c>
      <c r="S23" s="5">
        <v>-150.28</v>
      </c>
    </row>
    <row r="24" spans="1:19" ht="12.75">
      <c r="A24" s="29" t="s">
        <v>93</v>
      </c>
      <c r="B24" s="29" t="s">
        <v>65</v>
      </c>
      <c r="C24" t="s">
        <v>20</v>
      </c>
      <c r="D24" s="5">
        <f t="shared" si="1"/>
        <v>612723.13</v>
      </c>
      <c r="O24" s="5">
        <f>407782.37+205031.85+S24</f>
        <v>612723.13</v>
      </c>
      <c r="R24" s="12">
        <f>D24/D5</f>
        <v>0.007659039125</v>
      </c>
      <c r="S24" s="5">
        <v>-91.09</v>
      </c>
    </row>
    <row r="25" spans="1:19" ht="12.75">
      <c r="A25" s="29" t="s">
        <v>25</v>
      </c>
      <c r="B25" s="29" t="s">
        <v>84</v>
      </c>
      <c r="C25" t="s">
        <v>28</v>
      </c>
      <c r="D25" s="5">
        <f t="shared" si="1"/>
        <v>8011.29</v>
      </c>
      <c r="P25" s="5">
        <f>8012.48+S25</f>
        <v>8011.29</v>
      </c>
      <c r="R25" s="12">
        <f>D25/D5</f>
        <v>0.000100141125</v>
      </c>
      <c r="S25" s="5">
        <v>-1.19</v>
      </c>
    </row>
    <row r="26" spans="1:19" ht="12.75">
      <c r="A26" s="29" t="s">
        <v>25</v>
      </c>
      <c r="B26" s="29" t="s">
        <v>81</v>
      </c>
      <c r="C26" t="s">
        <v>20</v>
      </c>
      <c r="D26" s="5">
        <f t="shared" si="1"/>
        <v>1465472.5499999998</v>
      </c>
      <c r="P26" s="5">
        <f>389048.31+796773.59+126592.65+147758.09+1283.8+4233.97+S26</f>
        <v>1465472.5499999998</v>
      </c>
      <c r="R26" s="12">
        <f>D26/D5</f>
        <v>0.018318406875</v>
      </c>
      <c r="S26" s="5">
        <v>-217.86</v>
      </c>
    </row>
    <row r="27" spans="1:19" ht="12.75">
      <c r="A27" s="29" t="s">
        <v>26</v>
      </c>
      <c r="B27" s="29" t="s">
        <v>112</v>
      </c>
      <c r="C27" t="s">
        <v>28</v>
      </c>
      <c r="D27" s="5">
        <f t="shared" si="1"/>
        <v>4817.73</v>
      </c>
      <c r="Q27" s="5">
        <f>4818.45+S27</f>
        <v>4817.73</v>
      </c>
      <c r="R27" s="12">
        <f>D27/D5</f>
        <v>6.0221624999999995E-05</v>
      </c>
      <c r="S27" s="5">
        <v>-0.72</v>
      </c>
    </row>
    <row r="28" spans="1:19" ht="12.75">
      <c r="A28" s="29" t="s">
        <v>26</v>
      </c>
      <c r="B28" s="29" t="s">
        <v>107</v>
      </c>
      <c r="C28" t="s">
        <v>20</v>
      </c>
      <c r="D28" s="5">
        <f t="shared" si="1"/>
        <v>111891.9</v>
      </c>
      <c r="Q28" s="5">
        <f>32804.19+114066.84-39270+4307.5+S28</f>
        <v>111891.9</v>
      </c>
      <c r="R28" s="12">
        <f>D28/D5</f>
        <v>0.00139864875</v>
      </c>
      <c r="S28" s="5">
        <v>-16.63</v>
      </c>
    </row>
    <row r="29" spans="1:19" ht="12.75">
      <c r="A29" s="29" t="s">
        <v>5</v>
      </c>
      <c r="B29" s="29" t="s">
        <v>85</v>
      </c>
      <c r="C29" t="s">
        <v>86</v>
      </c>
      <c r="D29" s="5">
        <f t="shared" si="1"/>
        <v>223844.04</v>
      </c>
      <c r="E29" s="5">
        <f>223877.32+S29</f>
        <v>223844.04</v>
      </c>
      <c r="R29" s="12">
        <f>D29/D5</f>
        <v>0.0027980505</v>
      </c>
      <c r="S29" s="5">
        <v>-33.28</v>
      </c>
    </row>
    <row r="30" spans="1:19" ht="12.75">
      <c r="A30" s="29" t="s">
        <v>5</v>
      </c>
      <c r="B30" s="29" t="s">
        <v>85</v>
      </c>
      <c r="C30" t="s">
        <v>87</v>
      </c>
      <c r="D30" s="5">
        <f t="shared" si="1"/>
        <v>1204790.72</v>
      </c>
      <c r="E30" s="5">
        <f>1204969.83+S30</f>
        <v>1204790.72</v>
      </c>
      <c r="R30" s="12">
        <f>D30/D5</f>
        <v>0.015059883999999999</v>
      </c>
      <c r="S30" s="5">
        <v>-179.11</v>
      </c>
    </row>
    <row r="31" spans="1:19" ht="12.75">
      <c r="A31" s="29" t="s">
        <v>5</v>
      </c>
      <c r="B31" s="29" t="s">
        <v>70</v>
      </c>
      <c r="C31" t="s">
        <v>127</v>
      </c>
      <c r="D31" s="5">
        <f t="shared" si="1"/>
        <v>1888550.79</v>
      </c>
      <c r="E31" s="5">
        <f>1888831.55+S31</f>
        <v>1888550.79</v>
      </c>
      <c r="R31" s="12">
        <f>D31/D5</f>
        <v>0.023606884875</v>
      </c>
      <c r="S31" s="5">
        <v>-280.76</v>
      </c>
    </row>
    <row r="32" spans="1:19" ht="12.75">
      <c r="A32" s="29" t="s">
        <v>5</v>
      </c>
      <c r="B32" s="29" t="s">
        <v>70</v>
      </c>
      <c r="C32" t="s">
        <v>88</v>
      </c>
      <c r="D32" s="5">
        <f t="shared" si="1"/>
        <v>392084.81</v>
      </c>
      <c r="E32" s="5">
        <f>392143.1+S32</f>
        <v>392084.81</v>
      </c>
      <c r="R32" s="12">
        <f>D32/D5</f>
        <v>0.0049010601249999996</v>
      </c>
      <c r="S32" s="5">
        <v>-58.29</v>
      </c>
    </row>
    <row r="33" spans="1:19" ht="12.75">
      <c r="A33" s="29" t="s">
        <v>15</v>
      </c>
      <c r="B33" s="29" t="s">
        <v>89</v>
      </c>
      <c r="C33" t="s">
        <v>43</v>
      </c>
      <c r="D33" s="5">
        <f t="shared" si="1"/>
        <v>23784214.89</v>
      </c>
      <c r="F33" s="5">
        <f>5732440+17728595.78+326714.91+S33</f>
        <v>23784214.89</v>
      </c>
      <c r="R33" s="12">
        <f>D33/D5</f>
        <v>0.297302686125</v>
      </c>
      <c r="S33" s="5">
        <v>-3535.8</v>
      </c>
    </row>
    <row r="34" spans="1:19" ht="12.75">
      <c r="A34" s="29" t="s">
        <v>17</v>
      </c>
      <c r="B34" s="29" t="s">
        <v>70</v>
      </c>
      <c r="C34" t="s">
        <v>117</v>
      </c>
      <c r="D34" s="5">
        <f t="shared" si="1"/>
        <v>132090.36</v>
      </c>
      <c r="H34" s="5">
        <f>132110+S34</f>
        <v>132090.36</v>
      </c>
      <c r="R34" s="12">
        <f>D34/D5</f>
        <v>0.0016511294999999998</v>
      </c>
      <c r="S34" s="5">
        <v>-19.64</v>
      </c>
    </row>
    <row r="35" spans="1:19" ht="12.75">
      <c r="A35" s="29" t="s">
        <v>21</v>
      </c>
      <c r="B35" s="29" t="s">
        <v>70</v>
      </c>
      <c r="C35" t="s">
        <v>90</v>
      </c>
      <c r="D35" s="5">
        <f>SUM(E35:Q35)</f>
        <v>459972.74</v>
      </c>
      <c r="I35" s="5">
        <f>460041.12+S35</f>
        <v>459972.74</v>
      </c>
      <c r="R35" s="12">
        <f>D35/D5</f>
        <v>0.00574965925</v>
      </c>
      <c r="S35" s="5">
        <v>-68.38</v>
      </c>
    </row>
    <row r="36" spans="1:19" ht="12.75">
      <c r="A36" s="29" t="s">
        <v>21</v>
      </c>
      <c r="B36" s="29" t="s">
        <v>116</v>
      </c>
      <c r="C36" t="s">
        <v>29</v>
      </c>
      <c r="D36" s="5">
        <f t="shared" si="1"/>
        <v>3518753.6</v>
      </c>
      <c r="I36" s="5">
        <f>2019276.7+1500000+S36</f>
        <v>3518753.6</v>
      </c>
      <c r="R36" s="12">
        <f>D36/D5</f>
        <v>0.04398442</v>
      </c>
      <c r="S36" s="5">
        <v>-523.1</v>
      </c>
    </row>
    <row r="37" spans="1:19" ht="12.75">
      <c r="A37" s="29" t="s">
        <v>21</v>
      </c>
      <c r="B37" s="29" t="s">
        <v>73</v>
      </c>
      <c r="C37" t="s">
        <v>71</v>
      </c>
      <c r="D37" s="5">
        <f t="shared" si="1"/>
        <v>1108536.77</v>
      </c>
      <c r="I37" s="5">
        <f>957911.09+150790.48+S37</f>
        <v>1108536.77</v>
      </c>
      <c r="R37" s="12">
        <f>D37/D5</f>
        <v>0.013856709625</v>
      </c>
      <c r="S37" s="5">
        <v>-164.8</v>
      </c>
    </row>
    <row r="38" spans="1:19" ht="12.75">
      <c r="A38" s="29" t="s">
        <v>21</v>
      </c>
      <c r="B38" s="29" t="s">
        <v>73</v>
      </c>
      <c r="C38" t="s">
        <v>31</v>
      </c>
      <c r="D38" s="5">
        <f t="shared" si="1"/>
        <v>5015791.25</v>
      </c>
      <c r="I38" s="5">
        <f>9389.17+4999763.62+7384.12+S38</f>
        <v>5015791.25</v>
      </c>
      <c r="R38" s="12">
        <f>D38/D5</f>
        <v>0.062697390625</v>
      </c>
      <c r="S38" s="5">
        <v>-745.66</v>
      </c>
    </row>
    <row r="39" spans="1:19" ht="12.75">
      <c r="A39" s="29" t="s">
        <v>30</v>
      </c>
      <c r="B39" s="29" t="s">
        <v>133</v>
      </c>
      <c r="C39" t="s">
        <v>34</v>
      </c>
      <c r="D39" s="5">
        <f t="shared" si="1"/>
        <v>1424.79</v>
      </c>
      <c r="K39" s="5">
        <f>1425+S39</f>
        <v>1424.79</v>
      </c>
      <c r="R39" s="12">
        <f>D39/D5</f>
        <v>1.7809875E-05</v>
      </c>
      <c r="S39" s="5">
        <v>-0.21</v>
      </c>
    </row>
    <row r="40" spans="1:19" ht="12.75">
      <c r="A40" s="29" t="s">
        <v>30</v>
      </c>
      <c r="B40" s="29" t="s">
        <v>85</v>
      </c>
      <c r="C40" t="s">
        <v>134</v>
      </c>
      <c r="D40" s="5">
        <f t="shared" si="1"/>
        <v>645201.0599999999</v>
      </c>
      <c r="K40" s="5">
        <f>645296.98+S40</f>
        <v>645201.0599999999</v>
      </c>
      <c r="R40" s="12">
        <f>D40/D5</f>
        <v>0.00806501325</v>
      </c>
      <c r="S40" s="5">
        <v>-95.92</v>
      </c>
    </row>
    <row r="41" spans="1:19" ht="12.75">
      <c r="A41" s="29" t="s">
        <v>23</v>
      </c>
      <c r="B41" s="29" t="s">
        <v>35</v>
      </c>
      <c r="C41" t="s">
        <v>96</v>
      </c>
      <c r="D41" s="5">
        <f t="shared" si="1"/>
        <v>360354.43</v>
      </c>
      <c r="L41" s="5">
        <f>360408+S41</f>
        <v>360354.43</v>
      </c>
      <c r="R41" s="12">
        <f>D41/D5</f>
        <v>0.004504430375</v>
      </c>
      <c r="S41" s="5">
        <v>-53.57</v>
      </c>
    </row>
    <row r="42" spans="1:19" ht="12.75">
      <c r="A42" s="29" t="s">
        <v>91</v>
      </c>
      <c r="B42" s="29" t="s">
        <v>70</v>
      </c>
      <c r="C42" t="s">
        <v>92</v>
      </c>
      <c r="D42" s="5">
        <f t="shared" si="1"/>
        <v>241012.59000000003</v>
      </c>
      <c r="M42" s="5">
        <f>241048.42+S42</f>
        <v>241012.59000000003</v>
      </c>
      <c r="R42" s="12">
        <f>D42/D5</f>
        <v>0.0030126573750000004</v>
      </c>
      <c r="S42" s="5">
        <v>-35.83</v>
      </c>
    </row>
    <row r="43" spans="1:19" ht="12.75">
      <c r="A43" s="29" t="s">
        <v>24</v>
      </c>
      <c r="B43" s="29" t="s">
        <v>70</v>
      </c>
      <c r="C43" t="s">
        <v>94</v>
      </c>
      <c r="D43" s="5">
        <f t="shared" si="1"/>
        <v>266228.06</v>
      </c>
      <c r="N43" s="5">
        <f>266267.64+S43</f>
        <v>266228.06</v>
      </c>
      <c r="R43" s="12">
        <f>D43/D5</f>
        <v>0.00332785075</v>
      </c>
      <c r="S43" s="5">
        <v>-39.58</v>
      </c>
    </row>
    <row r="44" spans="1:19" ht="12.75">
      <c r="A44" s="29" t="s">
        <v>93</v>
      </c>
      <c r="B44" s="29" t="s">
        <v>116</v>
      </c>
      <c r="C44" t="s">
        <v>95</v>
      </c>
      <c r="D44" s="5">
        <f t="shared" si="1"/>
        <v>3244585.56</v>
      </c>
      <c r="O44" s="5">
        <f>2800000+445067.91+S44</f>
        <v>3244585.56</v>
      </c>
      <c r="R44" s="12">
        <f>D44/D5</f>
        <v>0.0405573195</v>
      </c>
      <c r="S44" s="5">
        <v>-482.35</v>
      </c>
    </row>
    <row r="45" spans="1:19" ht="12.75">
      <c r="A45" s="29" t="s">
        <v>25</v>
      </c>
      <c r="B45" s="29" t="s">
        <v>42</v>
      </c>
      <c r="C45" t="s">
        <v>36</v>
      </c>
      <c r="D45" s="5">
        <f t="shared" si="1"/>
        <v>484276.61</v>
      </c>
      <c r="P45" s="5">
        <f>484348.6+S45</f>
        <v>484276.61</v>
      </c>
      <c r="R45" s="12">
        <f>D45/D5</f>
        <v>0.006053457625</v>
      </c>
      <c r="S45" s="5">
        <v>-71.99</v>
      </c>
    </row>
    <row r="46" spans="1:19" ht="12.75">
      <c r="A46" s="29" t="s">
        <v>25</v>
      </c>
      <c r="B46" s="29" t="s">
        <v>73</v>
      </c>
      <c r="C46" t="s">
        <v>56</v>
      </c>
      <c r="D46" s="5">
        <f t="shared" si="1"/>
        <v>9497133.07</v>
      </c>
      <c r="P46" s="5">
        <f>2220073.1+7278471.82+S46</f>
        <v>9497133.07</v>
      </c>
      <c r="R46" s="12">
        <f>D46/D5</f>
        <v>0.118714163375</v>
      </c>
      <c r="S46" s="5">
        <v>-1411.85</v>
      </c>
    </row>
    <row r="47" spans="1:19" ht="12.75">
      <c r="A47" s="29" t="s">
        <v>25</v>
      </c>
      <c r="B47" s="29" t="s">
        <v>118</v>
      </c>
      <c r="C47" t="s">
        <v>57</v>
      </c>
      <c r="D47" s="5">
        <f t="shared" si="1"/>
        <v>487035.77999999997</v>
      </c>
      <c r="P47" s="5">
        <f>207245.24+279862.94+S47</f>
        <v>487035.77999999997</v>
      </c>
      <c r="R47" s="12">
        <f>D47/D5</f>
        <v>0.00608794725</v>
      </c>
      <c r="S47" s="5">
        <v>-72.4</v>
      </c>
    </row>
    <row r="48" spans="1:19" ht="12.75">
      <c r="A48" s="29" t="s">
        <v>25</v>
      </c>
      <c r="B48" s="29" t="s">
        <v>85</v>
      </c>
      <c r="C48" t="s">
        <v>115</v>
      </c>
      <c r="D48" s="5">
        <f t="shared" si="1"/>
        <v>1221136.93</v>
      </c>
      <c r="P48" s="5">
        <f>1221318.47+S48</f>
        <v>1221136.93</v>
      </c>
      <c r="R48" s="12">
        <f>D48/D5</f>
        <v>0.015264211625</v>
      </c>
      <c r="S48" s="5">
        <v>-181.54</v>
      </c>
    </row>
    <row r="49" spans="1:19" ht="12.75">
      <c r="A49" s="29" t="s">
        <v>25</v>
      </c>
      <c r="B49" s="29" t="s">
        <v>116</v>
      </c>
      <c r="C49" t="s">
        <v>72</v>
      </c>
      <c r="D49" s="5">
        <f t="shared" si="1"/>
        <v>12348421</v>
      </c>
      <c r="P49" s="5">
        <f>10650256.73+1700000+S49</f>
        <v>12348421</v>
      </c>
      <c r="R49" s="12">
        <f>D49/D5</f>
        <v>0.1543552625</v>
      </c>
      <c r="S49" s="5">
        <v>-1835.73</v>
      </c>
    </row>
    <row r="50" spans="1:19" ht="12.75">
      <c r="A50" s="29" t="s">
        <v>26</v>
      </c>
      <c r="B50" s="29" t="s">
        <v>42</v>
      </c>
      <c r="C50" t="s">
        <v>74</v>
      </c>
      <c r="D50" s="5">
        <f t="shared" si="1"/>
        <v>0</v>
      </c>
      <c r="Q50" s="5">
        <f>-11892.95+S50</f>
        <v>0</v>
      </c>
      <c r="R50" s="12">
        <f>D50/D5</f>
        <v>0</v>
      </c>
      <c r="S50" s="5">
        <v>11892.95</v>
      </c>
    </row>
    <row r="51" spans="5:18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7"/>
    </row>
    <row r="52" spans="2:19" s="12" customFormat="1" ht="13.5" thickBot="1">
      <c r="B52" s="52"/>
      <c r="C52" s="13" t="s">
        <v>8</v>
      </c>
      <c r="D52" s="56">
        <f>SUM(E52:Q52)</f>
        <v>1</v>
      </c>
      <c r="E52" s="14">
        <f>E5/D5</f>
        <v>0.05935141324999999</v>
      </c>
      <c r="F52" s="14">
        <f>F5/D5</f>
        <v>0.35328661675</v>
      </c>
      <c r="G52" s="14">
        <f>G5/D5</f>
        <v>0.00885123125</v>
      </c>
      <c r="H52" s="14">
        <f>H5/D5</f>
        <v>0.014408454625</v>
      </c>
      <c r="I52" s="14">
        <f>I5/D5</f>
        <v>0.133996907625</v>
      </c>
      <c r="J52" s="14">
        <f>J5/D5</f>
        <v>0.004660897999999999</v>
      </c>
      <c r="K52" s="14">
        <f>K5/D5</f>
        <v>0.018873123375000002</v>
      </c>
      <c r="L52" s="14">
        <f>L5/D5</f>
        <v>0.00956761325</v>
      </c>
      <c r="M52" s="14">
        <f>M5/D5</f>
        <v>0.010613954875000001</v>
      </c>
      <c r="N52" s="14">
        <f>N5/D5</f>
        <v>0.017820967625000003</v>
      </c>
      <c r="O52" s="14">
        <f>O5/D5</f>
        <v>0.048216358625</v>
      </c>
      <c r="P52" s="14">
        <f>P5/D5</f>
        <v>0.318893590375</v>
      </c>
      <c r="Q52" s="14">
        <f>Q5/D5</f>
        <v>0.001458870375</v>
      </c>
      <c r="R52" s="14">
        <f>SUM(R7:R51)</f>
        <v>0.9999999999999999</v>
      </c>
      <c r="S52" s="5">
        <f>SUM(S7:S51)</f>
        <v>0</v>
      </c>
    </row>
    <row r="53" spans="1:19" s="12" customFormat="1" ht="13.5" thickTop="1">
      <c r="A53" s="33"/>
      <c r="C53" s="13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5"/>
    </row>
    <row r="54" spans="1:19" s="49" customFormat="1" ht="12.75">
      <c r="A54" s="71" t="s">
        <v>128</v>
      </c>
      <c r="B54" s="63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7"/>
      <c r="S54" s="28"/>
    </row>
  </sheetData>
  <sheetProtection/>
  <printOptions/>
  <pageMargins left="0" right="0" top="1" bottom="1" header="0.5" footer="0.5"/>
  <pageSetup horizontalDpi="600" verticalDpi="600" orientation="landscape" paperSize="5" scale="6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8:E46"/>
  <sheetViews>
    <sheetView zoomScale="150" zoomScaleNormal="150" zoomScalePageLayoutView="0" workbookViewId="0" topLeftCell="A13">
      <selection activeCell="C25" sqref="C25"/>
    </sheetView>
  </sheetViews>
  <sheetFormatPr defaultColWidth="11.421875" defaultRowHeight="12.75"/>
  <sheetData>
    <row r="8" spans="1:5" ht="12.75">
      <c r="A8" s="21" t="s">
        <v>9</v>
      </c>
      <c r="B8" s="22" t="s">
        <v>41</v>
      </c>
      <c r="C8" s="23"/>
      <c r="D8" s="24"/>
      <c r="E8" s="38"/>
    </row>
    <row r="9" spans="1:5" ht="12.75">
      <c r="A9" s="42" t="s">
        <v>10</v>
      </c>
      <c r="B9" s="68">
        <v>-0.000172</v>
      </c>
      <c r="C9" s="31">
        <v>-0.0001487</v>
      </c>
      <c r="D9" s="70">
        <v>-0.0001487</v>
      </c>
      <c r="E9" s="38"/>
    </row>
    <row r="10" spans="1:5" ht="12.75">
      <c r="A10" s="42"/>
      <c r="B10" s="68"/>
      <c r="C10" s="31">
        <v>-0.0001487</v>
      </c>
      <c r="D10" s="70"/>
      <c r="E10" s="38" t="s">
        <v>138</v>
      </c>
    </row>
    <row r="11" spans="1:5" ht="12.75">
      <c r="A11" s="25"/>
      <c r="B11" s="26" t="s">
        <v>11</v>
      </c>
      <c r="C11" s="26" t="s">
        <v>12</v>
      </c>
      <c r="D11" s="26" t="s">
        <v>4</v>
      </c>
      <c r="E11" s="38" t="s">
        <v>139</v>
      </c>
    </row>
    <row r="12" spans="1:5" ht="12.75">
      <c r="A12" s="19">
        <v>41365</v>
      </c>
      <c r="B12" s="47"/>
      <c r="C12" s="47">
        <v>-235.8939625</v>
      </c>
      <c r="D12" s="32">
        <v>-235.8939625</v>
      </c>
      <c r="E12" s="47">
        <v>-11</v>
      </c>
    </row>
    <row r="13" spans="1:5" ht="12.75">
      <c r="A13" s="19">
        <v>41548</v>
      </c>
      <c r="B13" s="47">
        <v>-477.327</v>
      </c>
      <c r="C13" s="47">
        <v>-235.8939625</v>
      </c>
      <c r="D13" s="32">
        <v>-713.2209625</v>
      </c>
      <c r="E13" s="47">
        <v>-11</v>
      </c>
    </row>
    <row r="14" spans="1:5" ht="12.75">
      <c r="A14" s="19">
        <v>41730</v>
      </c>
      <c r="B14" s="47"/>
      <c r="C14" s="47">
        <v>-223.9607875</v>
      </c>
      <c r="D14" s="32">
        <v>-223.9607875</v>
      </c>
      <c r="E14" s="47">
        <v>-11</v>
      </c>
    </row>
    <row r="15" spans="1:5" ht="12.75">
      <c r="A15" s="19">
        <v>41913</v>
      </c>
      <c r="B15" s="47">
        <v>-501.8625</v>
      </c>
      <c r="C15" s="47">
        <v>-223.9607875</v>
      </c>
      <c r="D15" s="32">
        <v>-725.8232875</v>
      </c>
      <c r="E15" s="47">
        <v>-11</v>
      </c>
    </row>
    <row r="16" spans="1:5" ht="12.75">
      <c r="A16" s="19">
        <v>42095</v>
      </c>
      <c r="B16" s="47"/>
      <c r="C16" s="47">
        <v>-211.41422500000002</v>
      </c>
      <c r="D16" s="32">
        <v>-211.41422500000002</v>
      </c>
      <c r="E16" s="47">
        <v>-11</v>
      </c>
    </row>
    <row r="17" spans="1:5" ht="12.75">
      <c r="A17" s="19">
        <v>42278</v>
      </c>
      <c r="B17" s="47">
        <v>-527.1415000000001</v>
      </c>
      <c r="C17" s="47">
        <v>-211.41422500000002</v>
      </c>
      <c r="D17" s="32">
        <v>-738.555725</v>
      </c>
      <c r="E17" s="47">
        <v>-11</v>
      </c>
    </row>
    <row r="18" spans="1:5" ht="12.75">
      <c r="A18" s="19">
        <v>42461</v>
      </c>
      <c r="B18" s="47"/>
      <c r="C18" s="47">
        <v>-198.23568749999998</v>
      </c>
      <c r="D18" s="32">
        <v>-198.23568749999998</v>
      </c>
      <c r="E18" s="47">
        <v>-11</v>
      </c>
    </row>
    <row r="19" spans="1:5" ht="12.75">
      <c r="A19" s="19">
        <v>42644</v>
      </c>
      <c r="B19" s="47">
        <v>-554.651</v>
      </c>
      <c r="C19" s="47">
        <v>-198.23568749999998</v>
      </c>
      <c r="D19" s="32">
        <v>-752.8866874999999</v>
      </c>
      <c r="E19" s="47">
        <v>-11</v>
      </c>
    </row>
    <row r="20" spans="1:5" ht="12.75">
      <c r="A20" s="19">
        <v>42826</v>
      </c>
      <c r="B20" s="47"/>
      <c r="C20" s="47">
        <v>-184.3694125</v>
      </c>
      <c r="D20" s="32">
        <v>-184.3694125</v>
      </c>
      <c r="E20" s="47">
        <v>-11</v>
      </c>
    </row>
    <row r="21" spans="1:5" ht="12.75">
      <c r="A21" s="19">
        <v>43009</v>
      </c>
      <c r="B21" s="47">
        <v>-582.904</v>
      </c>
      <c r="C21" s="47">
        <v>-184.3694125</v>
      </c>
      <c r="D21" s="32">
        <v>-767.2734125</v>
      </c>
      <c r="E21" s="47">
        <v>-11</v>
      </c>
    </row>
    <row r="22" spans="1:5" ht="12.75">
      <c r="A22" s="48">
        <v>43191</v>
      </c>
      <c r="B22" s="47"/>
      <c r="C22" s="47">
        <v>-169.7968125</v>
      </c>
      <c r="D22" s="32">
        <v>-169.7968125</v>
      </c>
      <c r="E22" s="47">
        <v>-11</v>
      </c>
    </row>
    <row r="23" spans="1:5" ht="12.75">
      <c r="A23" s="48">
        <v>43374</v>
      </c>
      <c r="B23" s="47">
        <v>-612.644</v>
      </c>
      <c r="C23" s="47">
        <v>-169.7968125</v>
      </c>
      <c r="D23" s="32">
        <v>-782.4408125</v>
      </c>
      <c r="E23" s="47">
        <v>-11</v>
      </c>
    </row>
    <row r="24" spans="1:5" ht="12.75">
      <c r="A24" s="48">
        <v>43556</v>
      </c>
      <c r="B24" s="47"/>
      <c r="C24" s="47">
        <v>-154.48071249999998</v>
      </c>
      <c r="D24" s="32">
        <v>-154.48071249999998</v>
      </c>
      <c r="E24" s="47">
        <v>-11</v>
      </c>
    </row>
    <row r="25" spans="1:5" ht="12.75">
      <c r="A25" s="48">
        <v>43739</v>
      </c>
      <c r="B25" s="47">
        <v>-643.871</v>
      </c>
      <c r="C25" s="47">
        <v>-154.48071249999998</v>
      </c>
      <c r="D25" s="32">
        <v>-798.3517125</v>
      </c>
      <c r="E25" s="47">
        <v>-11</v>
      </c>
    </row>
    <row r="26" spans="1:5" ht="12.75">
      <c r="A26" s="48">
        <v>43922</v>
      </c>
      <c r="B26" s="47"/>
      <c r="C26" s="47">
        <v>-138.3839375</v>
      </c>
      <c r="D26" s="32">
        <v>-138.3839375</v>
      </c>
      <c r="E26" s="47">
        <v>-11</v>
      </c>
    </row>
    <row r="27" spans="1:5" ht="12.75">
      <c r="A27" s="48">
        <v>44105</v>
      </c>
      <c r="B27" s="47">
        <v>-677.3285</v>
      </c>
      <c r="C27" s="47">
        <v>-138.3839375</v>
      </c>
      <c r="D27" s="32">
        <v>-815.7124375</v>
      </c>
      <c r="E27" s="47">
        <v>-11</v>
      </c>
    </row>
    <row r="28" spans="1:5" ht="12.75">
      <c r="A28" s="48">
        <v>44287</v>
      </c>
      <c r="B28" s="47"/>
      <c r="C28" s="47">
        <v>-121.450725</v>
      </c>
      <c r="D28" s="32">
        <v>-121.450725</v>
      </c>
      <c r="E28" s="47">
        <v>-11</v>
      </c>
    </row>
    <row r="29" spans="1:5" ht="12.75">
      <c r="A29" s="48">
        <v>44470</v>
      </c>
      <c r="B29" s="47">
        <v>-711.5295</v>
      </c>
      <c r="C29" s="47">
        <v>-121.450725</v>
      </c>
      <c r="D29" s="32">
        <v>-832.980225</v>
      </c>
      <c r="E29" s="47">
        <v>-11</v>
      </c>
    </row>
    <row r="30" spans="1:5" ht="12.75">
      <c r="A30" s="48">
        <v>44652</v>
      </c>
      <c r="B30" s="47"/>
      <c r="C30" s="47">
        <v>-103.66248749999998</v>
      </c>
      <c r="D30" s="32">
        <v>-103.66248749999998</v>
      </c>
      <c r="E30" s="47">
        <v>-11</v>
      </c>
    </row>
    <row r="31" spans="1:5" ht="12.75">
      <c r="A31" s="48">
        <v>44835</v>
      </c>
      <c r="B31" s="47">
        <v>-748.7044999999999</v>
      </c>
      <c r="C31" s="47">
        <v>-103.66248749999998</v>
      </c>
      <c r="D31" s="32">
        <v>-852.3669874999999</v>
      </c>
      <c r="E31" s="47">
        <v>-11</v>
      </c>
    </row>
    <row r="32" spans="1:5" ht="12.75">
      <c r="A32" s="48">
        <v>45017</v>
      </c>
      <c r="B32" s="47"/>
      <c r="C32" s="47">
        <v>-84.944875</v>
      </c>
      <c r="D32" s="32">
        <v>-84.944875</v>
      </c>
      <c r="E32" s="47">
        <v>-11</v>
      </c>
    </row>
    <row r="33" spans="1:5" ht="12.75">
      <c r="A33" s="48">
        <v>45200</v>
      </c>
      <c r="B33" s="47">
        <v>-786.623</v>
      </c>
      <c r="C33" s="47">
        <v>-84.944875</v>
      </c>
      <c r="D33" s="32">
        <v>-871.5678750000001</v>
      </c>
      <c r="E33" s="47">
        <v>-11</v>
      </c>
    </row>
    <row r="34" spans="1:5" ht="12.75">
      <c r="A34" s="48">
        <v>45383</v>
      </c>
      <c r="B34" s="47"/>
      <c r="C34" s="47">
        <v>-65.27929999999999</v>
      </c>
      <c r="D34" s="32">
        <v>-65.27929999999999</v>
      </c>
      <c r="E34" s="47">
        <v>-11</v>
      </c>
    </row>
    <row r="35" spans="1:5" ht="12.75">
      <c r="A35" s="19">
        <v>45566</v>
      </c>
      <c r="B35" s="47">
        <v>-826.7719999999999</v>
      </c>
      <c r="C35" s="47">
        <v>-65.27929999999999</v>
      </c>
      <c r="D35" s="32">
        <v>-892.0513</v>
      </c>
      <c r="E35" s="47">
        <v>-11</v>
      </c>
    </row>
    <row r="36" spans="1:5" ht="12.75">
      <c r="A36" s="19">
        <v>45748</v>
      </c>
      <c r="B36" s="47"/>
      <c r="C36" s="47">
        <v>-44.61</v>
      </c>
      <c r="D36" s="32">
        <v>-44.61</v>
      </c>
      <c r="E36" s="47">
        <v>-11</v>
      </c>
    </row>
    <row r="37" spans="1:5" ht="12.75">
      <c r="A37" s="19">
        <v>45931</v>
      </c>
      <c r="B37" s="47">
        <v>-869.895</v>
      </c>
      <c r="C37" s="47">
        <v>-44.61</v>
      </c>
      <c r="D37" s="32">
        <v>-914.505</v>
      </c>
      <c r="E37" s="47">
        <v>-11</v>
      </c>
    </row>
    <row r="38" spans="1:5" ht="12.75">
      <c r="A38" s="19">
        <v>46113</v>
      </c>
      <c r="B38" s="47"/>
      <c r="C38" s="47">
        <v>-22.862624999999998</v>
      </c>
      <c r="D38" s="32">
        <v>-22.862624999999998</v>
      </c>
      <c r="E38" s="47">
        <v>-8</v>
      </c>
    </row>
    <row r="39" spans="1:5" ht="12.75">
      <c r="A39" s="19">
        <v>46296</v>
      </c>
      <c r="B39" s="47">
        <v>-914.505</v>
      </c>
      <c r="C39" s="47">
        <v>-22.862624999999998</v>
      </c>
      <c r="D39" s="32">
        <v>-937.367625</v>
      </c>
      <c r="E39" s="47"/>
    </row>
    <row r="40" spans="1:5" ht="12.75">
      <c r="A40" s="19"/>
      <c r="B40" s="32"/>
      <c r="C40" s="32"/>
      <c r="D40" s="32"/>
      <c r="E40" s="32"/>
    </row>
    <row r="41" spans="1:5" ht="13.5" thickBot="1">
      <c r="A41" s="30" t="s">
        <v>4</v>
      </c>
      <c r="B41" s="46">
        <f>SUM(B12:B39)</f>
        <v>-9435.758499999998</v>
      </c>
      <c r="C41" s="46">
        <f>SUM(C12:C39)</f>
        <v>-3918.6911</v>
      </c>
      <c r="D41" s="46">
        <f>SUM(D12:D39)</f>
        <v>-13354.449599999998</v>
      </c>
      <c r="E41" s="46">
        <f>SUM(E12:E39)</f>
        <v>-294</v>
      </c>
    </row>
    <row r="42" spans="2:5" ht="13.5" thickTop="1">
      <c r="B42" s="20"/>
      <c r="C42" s="20"/>
      <c r="D42" s="20"/>
      <c r="E42" s="20"/>
    </row>
    <row r="44" ht="12.75">
      <c r="A44" t="s">
        <v>140</v>
      </c>
    </row>
    <row r="45" ht="12.75">
      <c r="A45" t="s">
        <v>141</v>
      </c>
    </row>
    <row r="46" ht="12.75">
      <c r="A46" t="s">
        <v>142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Y41"/>
  <sheetViews>
    <sheetView zoomScale="150" zoomScaleNormal="150" zoomScalePageLayoutView="0" workbookViewId="0" topLeftCell="A2">
      <selection activeCell="O50" sqref="O50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2" spans="13:22" ht="12.75">
      <c r="M2" s="81">
        <v>0.0088513</v>
      </c>
      <c r="N2" t="s">
        <v>150</v>
      </c>
      <c r="R2" s="81">
        <f>M2*R3</f>
        <v>0.004128176744351283</v>
      </c>
      <c r="V2" s="12">
        <f>M2-R2</f>
        <v>0.004723123255648717</v>
      </c>
    </row>
    <row r="3" spans="17:18" ht="12.75">
      <c r="Q3" s="75"/>
      <c r="R3" s="75">
        <v>0.46639213949942754</v>
      </c>
    </row>
    <row r="4" spans="17:25" s="76" customFormat="1" ht="12.75">
      <c r="Q4" s="76">
        <v>298222</v>
      </c>
      <c r="T4" s="76">
        <v>9735.43</v>
      </c>
      <c r="V4" s="76">
        <v>341201</v>
      </c>
      <c r="Y4" s="76">
        <v>11138.53</v>
      </c>
    </row>
    <row r="5" spans="1:25" ht="12.75">
      <c r="A5" s="21" t="s">
        <v>9</v>
      </c>
      <c r="B5" s="35" t="s">
        <v>75</v>
      </c>
      <c r="C5" s="36"/>
      <c r="D5" s="37"/>
      <c r="E5" s="38"/>
      <c r="F5" s="58"/>
      <c r="G5" s="35" t="s">
        <v>119</v>
      </c>
      <c r="H5" s="36"/>
      <c r="I5" s="37"/>
      <c r="J5" s="38"/>
      <c r="L5" s="77" t="s">
        <v>145</v>
      </c>
      <c r="M5" s="36"/>
      <c r="N5" s="37"/>
      <c r="O5" s="38"/>
      <c r="Q5" s="78" t="s">
        <v>146</v>
      </c>
      <c r="R5" s="36"/>
      <c r="S5" s="37"/>
      <c r="T5" s="38"/>
      <c r="V5" s="78" t="s">
        <v>147</v>
      </c>
      <c r="W5" s="36"/>
      <c r="X5" s="37"/>
      <c r="Y5" s="38"/>
    </row>
    <row r="6" spans="1:25" ht="12.75">
      <c r="A6" s="42" t="s">
        <v>10</v>
      </c>
      <c r="B6" s="64">
        <v>0.002201</v>
      </c>
      <c r="C6" s="60">
        <v>0.0043885</v>
      </c>
      <c r="D6" s="70">
        <v>0.0056963</v>
      </c>
      <c r="E6" s="38"/>
      <c r="F6" s="58"/>
      <c r="G6" s="64">
        <v>0</v>
      </c>
      <c r="H6" s="60">
        <v>0</v>
      </c>
      <c r="I6" s="70">
        <v>0.0031563</v>
      </c>
      <c r="J6" s="38"/>
      <c r="L6" s="64"/>
      <c r="M6" s="60"/>
      <c r="N6" s="70"/>
      <c r="O6" s="38"/>
      <c r="Q6" s="64"/>
      <c r="R6" s="60"/>
      <c r="S6" s="70"/>
      <c r="T6" s="38"/>
      <c r="V6" s="64"/>
      <c r="W6" s="60"/>
      <c r="X6" s="70"/>
      <c r="Y6" s="38"/>
    </row>
    <row r="7" spans="1:25" ht="12.75">
      <c r="A7" s="42"/>
      <c r="B7" s="64"/>
      <c r="C7" s="60">
        <v>0.0056963</v>
      </c>
      <c r="D7" s="70"/>
      <c r="E7" s="38" t="s">
        <v>138</v>
      </c>
      <c r="F7" s="58"/>
      <c r="G7" s="64"/>
      <c r="H7" s="60">
        <v>0.0031563</v>
      </c>
      <c r="I7" s="70"/>
      <c r="J7" s="38" t="s">
        <v>138</v>
      </c>
      <c r="L7" s="64"/>
      <c r="M7" s="60">
        <v>0.0088526</v>
      </c>
      <c r="N7" s="70"/>
      <c r="O7" s="38" t="s">
        <v>138</v>
      </c>
      <c r="Q7" s="64"/>
      <c r="R7" s="60">
        <f>R3*M7</f>
        <v>0.004128783054132632</v>
      </c>
      <c r="S7" s="70"/>
      <c r="T7" s="38" t="s">
        <v>138</v>
      </c>
      <c r="V7" s="64"/>
      <c r="W7" s="60">
        <f>M7-R7</f>
        <v>0.004723816945867368</v>
      </c>
      <c r="X7" s="70"/>
      <c r="Y7" s="38" t="s">
        <v>138</v>
      </c>
    </row>
    <row r="8" spans="1:25" ht="12.75">
      <c r="A8" s="25"/>
      <c r="B8" s="38" t="s">
        <v>11</v>
      </c>
      <c r="C8" s="38" t="s">
        <v>12</v>
      </c>
      <c r="D8" s="38" t="s">
        <v>4</v>
      </c>
      <c r="E8" s="38" t="s">
        <v>139</v>
      </c>
      <c r="F8" s="59"/>
      <c r="G8" s="38" t="s">
        <v>11</v>
      </c>
      <c r="H8" s="38" t="s">
        <v>12</v>
      </c>
      <c r="I8" s="38" t="s">
        <v>4</v>
      </c>
      <c r="J8" s="38" t="s">
        <v>139</v>
      </c>
      <c r="L8" s="38" t="s">
        <v>11</v>
      </c>
      <c r="M8" s="38" t="s">
        <v>12</v>
      </c>
      <c r="N8" s="38" t="s">
        <v>4</v>
      </c>
      <c r="O8" s="38" t="s">
        <v>139</v>
      </c>
      <c r="Q8" s="38" t="s">
        <v>11</v>
      </c>
      <c r="R8" s="38" t="s">
        <v>12</v>
      </c>
      <c r="S8" s="38" t="s">
        <v>4</v>
      </c>
      <c r="T8" s="38" t="s">
        <v>139</v>
      </c>
      <c r="V8" s="38" t="s">
        <v>11</v>
      </c>
      <c r="W8" s="38" t="s">
        <v>12</v>
      </c>
      <c r="X8" s="38" t="s">
        <v>4</v>
      </c>
      <c r="Y8" s="38" t="s">
        <v>139</v>
      </c>
    </row>
    <row r="9" spans="1:25" ht="12.75">
      <c r="A9" s="19">
        <v>41183</v>
      </c>
      <c r="B9" s="32">
        <v>17373.715</v>
      </c>
      <c r="C9" s="32">
        <v>9470.8107875</v>
      </c>
      <c r="D9" s="47">
        <f aca="true" t="shared" si="0" ref="D9:D37">B9+C9</f>
        <v>26844.525787500002</v>
      </c>
      <c r="E9" s="47">
        <v>407</v>
      </c>
      <c r="F9" s="32"/>
      <c r="G9" s="32">
        <v>9626.715000000002</v>
      </c>
      <c r="H9" s="32">
        <v>5247.7432874999995</v>
      </c>
      <c r="I9" s="47">
        <f aca="true" t="shared" si="1" ref="I9:I37">G9+H9</f>
        <v>14874.458287500001</v>
      </c>
      <c r="J9" s="47">
        <v>226</v>
      </c>
      <c r="L9" s="32">
        <f aca="true" t="shared" si="2" ref="L9:L37">B9+G9</f>
        <v>27000.43</v>
      </c>
      <c r="M9" s="32">
        <f aca="true" t="shared" si="3" ref="M9:M37">C9+H9</f>
        <v>14718.554075</v>
      </c>
      <c r="N9" s="32">
        <f aca="true" t="shared" si="4" ref="N9:N37">SUM(L9:M9)</f>
        <v>41718.984075</v>
      </c>
      <c r="O9" s="32">
        <f aca="true" t="shared" si="5" ref="O9:O37">E9+J9</f>
        <v>633</v>
      </c>
      <c r="Q9" s="76">
        <f aca="true" t="shared" si="6" ref="Q9:Q37">L9*$R$3</f>
        <v>12592.788315104528</v>
      </c>
      <c r="R9" s="76">
        <f aca="true" t="shared" si="7" ref="R9:R37">M9*$R$3</f>
        <v>6864.617925377268</v>
      </c>
      <c r="S9" s="76">
        <f aca="true" t="shared" si="8" ref="S9:S37">Q9+R9</f>
        <v>19457.406240481796</v>
      </c>
      <c r="T9" s="76">
        <f aca="true" t="shared" si="9" ref="T9:T37">O9*$R$3</f>
        <v>295.22622430313766</v>
      </c>
      <c r="U9" s="76"/>
      <c r="V9" s="76">
        <f aca="true" t="shared" si="10" ref="V9:W37">L9-Q9</f>
        <v>14407.641684895472</v>
      </c>
      <c r="W9" s="76">
        <f t="shared" si="10"/>
        <v>7853.936149622732</v>
      </c>
      <c r="X9" s="76">
        <f aca="true" t="shared" si="11" ref="X9:X37">SUM(V9:W9)</f>
        <v>22261.577834518204</v>
      </c>
      <c r="Y9" s="76">
        <f aca="true" t="shared" si="12" ref="Y9:Y37">O9-T9</f>
        <v>337.77377569686234</v>
      </c>
    </row>
    <row r="10" spans="1:25" ht="12.75">
      <c r="A10" s="19">
        <v>41365</v>
      </c>
      <c r="B10" s="32"/>
      <c r="C10" s="32">
        <v>9036.4679125</v>
      </c>
      <c r="D10" s="47">
        <f t="shared" si="0"/>
        <v>9036.4679125</v>
      </c>
      <c r="E10" s="47">
        <v>407</v>
      </c>
      <c r="F10" s="32"/>
      <c r="G10" s="32"/>
      <c r="H10" s="32">
        <v>5007.0754125</v>
      </c>
      <c r="I10" s="47">
        <f t="shared" si="1"/>
        <v>5007.0754125</v>
      </c>
      <c r="J10" s="47">
        <v>226</v>
      </c>
      <c r="L10" s="32"/>
      <c r="M10" s="32">
        <f t="shared" si="3"/>
        <v>14043.543325</v>
      </c>
      <c r="N10" s="32">
        <f t="shared" si="4"/>
        <v>14043.543325</v>
      </c>
      <c r="O10" s="32">
        <f t="shared" si="5"/>
        <v>633</v>
      </c>
      <c r="Q10" s="76">
        <f t="shared" si="6"/>
        <v>0</v>
      </c>
      <c r="R10" s="76">
        <f t="shared" si="7"/>
        <v>6549.798217499655</v>
      </c>
      <c r="S10" s="76">
        <f t="shared" si="8"/>
        <v>6549.798217499655</v>
      </c>
      <c r="T10" s="76">
        <f t="shared" si="9"/>
        <v>295.22622430313766</v>
      </c>
      <c r="U10" s="76"/>
      <c r="V10" s="76">
        <f t="shared" si="10"/>
        <v>0</v>
      </c>
      <c r="W10" s="76">
        <f t="shared" si="10"/>
        <v>7493.7451075003455</v>
      </c>
      <c r="X10" s="76">
        <f t="shared" si="11"/>
        <v>7493.7451075003455</v>
      </c>
      <c r="Y10" s="76">
        <f t="shared" si="12"/>
        <v>337.77377569686234</v>
      </c>
    </row>
    <row r="11" spans="1:25" ht="12.75">
      <c r="A11" s="19">
        <v>41548</v>
      </c>
      <c r="B11" s="32">
        <v>18285.123</v>
      </c>
      <c r="C11" s="32">
        <v>9036.4679125</v>
      </c>
      <c r="D11" s="47">
        <f t="shared" si="0"/>
        <v>27321.5909125</v>
      </c>
      <c r="E11" s="47">
        <v>407</v>
      </c>
      <c r="F11" s="32"/>
      <c r="G11" s="32">
        <v>10131.723</v>
      </c>
      <c r="H11" s="32">
        <v>5007.0754125</v>
      </c>
      <c r="I11" s="47">
        <f t="shared" si="1"/>
        <v>15138.7984125</v>
      </c>
      <c r="J11" s="47">
        <v>226</v>
      </c>
      <c r="L11" s="32">
        <f t="shared" si="2"/>
        <v>28416.845999999998</v>
      </c>
      <c r="M11" s="32">
        <f t="shared" si="3"/>
        <v>14043.543325</v>
      </c>
      <c r="N11" s="32">
        <f t="shared" si="4"/>
        <v>42460.389325</v>
      </c>
      <c r="O11" s="32">
        <f t="shared" si="5"/>
        <v>633</v>
      </c>
      <c r="Q11" s="76">
        <f t="shared" si="6"/>
        <v>13253.393603765748</v>
      </c>
      <c r="R11" s="76">
        <f t="shared" si="7"/>
        <v>6549.798217499655</v>
      </c>
      <c r="S11" s="76">
        <f t="shared" si="8"/>
        <v>19803.1918212654</v>
      </c>
      <c r="T11" s="76">
        <f t="shared" si="9"/>
        <v>295.22622430313766</v>
      </c>
      <c r="U11" s="76"/>
      <c r="V11" s="76">
        <f t="shared" si="10"/>
        <v>15163.45239623425</v>
      </c>
      <c r="W11" s="76">
        <f t="shared" si="10"/>
        <v>7493.7451075003455</v>
      </c>
      <c r="X11" s="76">
        <f t="shared" si="11"/>
        <v>22657.197503734595</v>
      </c>
      <c r="Y11" s="76">
        <f t="shared" si="12"/>
        <v>337.77377569686234</v>
      </c>
    </row>
    <row r="12" spans="1:25" ht="12.75">
      <c r="A12" s="19">
        <v>41730</v>
      </c>
      <c r="B12" s="32"/>
      <c r="C12" s="32">
        <v>8579.3398375</v>
      </c>
      <c r="D12" s="47">
        <f t="shared" si="0"/>
        <v>8579.3398375</v>
      </c>
      <c r="E12" s="47">
        <v>407</v>
      </c>
      <c r="F12" s="32"/>
      <c r="G12" s="32"/>
      <c r="H12" s="32">
        <v>4753.7823375</v>
      </c>
      <c r="I12" s="47">
        <f t="shared" si="1"/>
        <v>4753.7823375</v>
      </c>
      <c r="J12" s="47">
        <v>226</v>
      </c>
      <c r="L12" s="32"/>
      <c r="M12" s="32">
        <f t="shared" si="3"/>
        <v>13333.122175</v>
      </c>
      <c r="N12" s="32">
        <f t="shared" si="4"/>
        <v>13333.122175</v>
      </c>
      <c r="O12" s="32">
        <f t="shared" si="5"/>
        <v>633</v>
      </c>
      <c r="Q12" s="76">
        <f t="shared" si="6"/>
        <v>0</v>
      </c>
      <c r="R12" s="76">
        <f t="shared" si="7"/>
        <v>6218.463377405511</v>
      </c>
      <c r="S12" s="76">
        <f t="shared" si="8"/>
        <v>6218.463377405511</v>
      </c>
      <c r="T12" s="76">
        <f t="shared" si="9"/>
        <v>295.22622430313766</v>
      </c>
      <c r="U12" s="76"/>
      <c r="V12" s="76">
        <f t="shared" si="10"/>
        <v>0</v>
      </c>
      <c r="W12" s="76">
        <f t="shared" si="10"/>
        <v>7114.658797594489</v>
      </c>
      <c r="X12" s="76">
        <f t="shared" si="11"/>
        <v>7114.658797594489</v>
      </c>
      <c r="Y12" s="76">
        <f t="shared" si="12"/>
        <v>337.77377569686234</v>
      </c>
    </row>
    <row r="13" spans="1:25" ht="12.75">
      <c r="A13" s="19">
        <v>41913</v>
      </c>
      <c r="B13" s="32">
        <v>19225.0125</v>
      </c>
      <c r="C13" s="32">
        <v>8579.3398375</v>
      </c>
      <c r="D13" s="47">
        <f t="shared" si="0"/>
        <v>27804.3523375</v>
      </c>
      <c r="E13" s="47">
        <v>407</v>
      </c>
      <c r="F13" s="32"/>
      <c r="G13" s="32">
        <v>10652.5125</v>
      </c>
      <c r="H13" s="32">
        <v>4753.7823375</v>
      </c>
      <c r="I13" s="47">
        <f t="shared" si="1"/>
        <v>15406.294837500001</v>
      </c>
      <c r="J13" s="47">
        <v>226</v>
      </c>
      <c r="L13" s="32">
        <f t="shared" si="2"/>
        <v>29877.525</v>
      </c>
      <c r="M13" s="32">
        <f t="shared" si="3"/>
        <v>13333.122175</v>
      </c>
      <c r="N13" s="32">
        <f t="shared" si="4"/>
        <v>43210.647175000006</v>
      </c>
      <c r="O13" s="32">
        <f t="shared" si="5"/>
        <v>633</v>
      </c>
      <c r="Q13" s="76">
        <f t="shared" si="6"/>
        <v>13934.642807697634</v>
      </c>
      <c r="R13" s="76">
        <f t="shared" si="7"/>
        <v>6218.463377405511</v>
      </c>
      <c r="S13" s="76">
        <f t="shared" si="8"/>
        <v>20153.106185103145</v>
      </c>
      <c r="T13" s="76">
        <f t="shared" si="9"/>
        <v>295.22622430313766</v>
      </c>
      <c r="U13" s="76"/>
      <c r="V13" s="76">
        <f t="shared" si="10"/>
        <v>15942.882192302368</v>
      </c>
      <c r="W13" s="76">
        <f t="shared" si="10"/>
        <v>7114.658797594489</v>
      </c>
      <c r="X13" s="76">
        <f t="shared" si="11"/>
        <v>23057.540989896857</v>
      </c>
      <c r="Y13" s="76">
        <f t="shared" si="12"/>
        <v>337.77377569686234</v>
      </c>
    </row>
    <row r="14" spans="1:25" ht="12.75">
      <c r="A14" s="19">
        <v>42095</v>
      </c>
      <c r="B14" s="32"/>
      <c r="C14" s="32">
        <v>8098.714525</v>
      </c>
      <c r="D14" s="47">
        <f t="shared" si="0"/>
        <v>8098.714525</v>
      </c>
      <c r="E14" s="47">
        <v>407</v>
      </c>
      <c r="F14" s="32"/>
      <c r="G14" s="32"/>
      <c r="H14" s="32">
        <v>4487.469525</v>
      </c>
      <c r="I14" s="47">
        <f t="shared" si="1"/>
        <v>4487.469525</v>
      </c>
      <c r="J14" s="47">
        <v>226</v>
      </c>
      <c r="L14" s="32"/>
      <c r="M14" s="32">
        <f t="shared" si="3"/>
        <v>12586.18405</v>
      </c>
      <c r="N14" s="32">
        <f t="shared" si="4"/>
        <v>12586.18405</v>
      </c>
      <c r="O14" s="32">
        <f t="shared" si="5"/>
        <v>633</v>
      </c>
      <c r="Q14" s="76">
        <f t="shared" si="6"/>
        <v>0</v>
      </c>
      <c r="R14" s="76">
        <f t="shared" si="7"/>
        <v>5870.09730721307</v>
      </c>
      <c r="S14" s="76">
        <f t="shared" si="8"/>
        <v>5870.09730721307</v>
      </c>
      <c r="T14" s="76">
        <f t="shared" si="9"/>
        <v>295.22622430313766</v>
      </c>
      <c r="U14" s="76"/>
      <c r="V14" s="76">
        <f t="shared" si="10"/>
        <v>0</v>
      </c>
      <c r="W14" s="76">
        <f t="shared" si="10"/>
        <v>6716.08674278693</v>
      </c>
      <c r="X14" s="76">
        <f t="shared" si="11"/>
        <v>6716.08674278693</v>
      </c>
      <c r="Y14" s="76">
        <f t="shared" si="12"/>
        <v>337.77377569686234</v>
      </c>
    </row>
    <row r="15" spans="1:25" ht="12.75">
      <c r="A15" s="19">
        <v>42278</v>
      </c>
      <c r="B15" s="32">
        <v>20193.3835</v>
      </c>
      <c r="C15" s="32">
        <v>8098.714525</v>
      </c>
      <c r="D15" s="47">
        <f t="shared" si="0"/>
        <v>28292.098025</v>
      </c>
      <c r="E15" s="47">
        <v>407</v>
      </c>
      <c r="F15" s="32"/>
      <c r="G15" s="32">
        <v>11189.0835</v>
      </c>
      <c r="H15" s="32">
        <v>4487.469525</v>
      </c>
      <c r="I15" s="47">
        <f t="shared" si="1"/>
        <v>15676.553025000001</v>
      </c>
      <c r="J15" s="47">
        <v>226</v>
      </c>
      <c r="L15" s="32">
        <f t="shared" si="2"/>
        <v>31382.467</v>
      </c>
      <c r="M15" s="32">
        <f t="shared" si="3"/>
        <v>12586.18405</v>
      </c>
      <c r="N15" s="32">
        <f t="shared" si="4"/>
        <v>43968.65105</v>
      </c>
      <c r="O15" s="32">
        <f t="shared" si="5"/>
        <v>633</v>
      </c>
      <c r="Q15" s="76">
        <f t="shared" si="6"/>
        <v>14636.535926900182</v>
      </c>
      <c r="R15" s="76">
        <f t="shared" si="7"/>
        <v>5870.09730721307</v>
      </c>
      <c r="S15" s="76">
        <f t="shared" si="8"/>
        <v>20506.63323411325</v>
      </c>
      <c r="T15" s="76">
        <f t="shared" si="9"/>
        <v>295.22622430313766</v>
      </c>
      <c r="U15" s="76"/>
      <c r="V15" s="76">
        <f t="shared" si="10"/>
        <v>16745.93107309982</v>
      </c>
      <c r="W15" s="76">
        <f t="shared" si="10"/>
        <v>6716.08674278693</v>
      </c>
      <c r="X15" s="76">
        <f t="shared" si="11"/>
        <v>23462.01781588675</v>
      </c>
      <c r="Y15" s="76">
        <f t="shared" si="12"/>
        <v>337.77377569686234</v>
      </c>
    </row>
    <row r="16" spans="1:25" ht="12.75">
      <c r="A16" s="19">
        <v>42461</v>
      </c>
      <c r="B16" s="32"/>
      <c r="C16" s="32">
        <v>7593.879937499999</v>
      </c>
      <c r="D16" s="47">
        <f t="shared" si="0"/>
        <v>7593.879937499999</v>
      </c>
      <c r="E16" s="47">
        <v>407</v>
      </c>
      <c r="F16" s="32"/>
      <c r="G16" s="32"/>
      <c r="H16" s="32">
        <v>4207.7424375</v>
      </c>
      <c r="I16" s="47">
        <f t="shared" si="1"/>
        <v>4207.7424375</v>
      </c>
      <c r="J16" s="47">
        <v>226</v>
      </c>
      <c r="L16" s="32"/>
      <c r="M16" s="32">
        <f t="shared" si="3"/>
        <v>11801.622374999999</v>
      </c>
      <c r="N16" s="32">
        <f t="shared" si="4"/>
        <v>11801.622374999999</v>
      </c>
      <c r="O16" s="32">
        <f t="shared" si="5"/>
        <v>633</v>
      </c>
      <c r="Q16" s="76">
        <f t="shared" si="6"/>
        <v>0</v>
      </c>
      <c r="R16" s="76">
        <f t="shared" si="7"/>
        <v>5504.183909040565</v>
      </c>
      <c r="S16" s="76">
        <f t="shared" si="8"/>
        <v>5504.183909040565</v>
      </c>
      <c r="T16" s="76">
        <f t="shared" si="9"/>
        <v>295.22622430313766</v>
      </c>
      <c r="U16" s="76"/>
      <c r="V16" s="76">
        <f t="shared" si="10"/>
        <v>0</v>
      </c>
      <c r="W16" s="76">
        <f t="shared" si="10"/>
        <v>6297.438465959434</v>
      </c>
      <c r="X16" s="76">
        <f t="shared" si="11"/>
        <v>6297.438465959434</v>
      </c>
      <c r="Y16" s="76">
        <f t="shared" si="12"/>
        <v>337.77377569686234</v>
      </c>
    </row>
    <row r="17" spans="1:25" ht="12.75">
      <c r="A17" s="19">
        <v>42644</v>
      </c>
      <c r="B17" s="32">
        <v>21247.199</v>
      </c>
      <c r="C17" s="32">
        <v>7593.879937499999</v>
      </c>
      <c r="D17" s="47">
        <f t="shared" si="0"/>
        <v>28841.0789375</v>
      </c>
      <c r="E17" s="47">
        <v>407</v>
      </c>
      <c r="F17" s="32"/>
      <c r="G17" s="32">
        <v>11772.999000000002</v>
      </c>
      <c r="H17" s="32">
        <v>4207.7424375</v>
      </c>
      <c r="I17" s="47">
        <f t="shared" si="1"/>
        <v>15980.7414375</v>
      </c>
      <c r="J17" s="47">
        <v>226</v>
      </c>
      <c r="L17" s="32">
        <f t="shared" si="2"/>
        <v>33020.198000000004</v>
      </c>
      <c r="M17" s="32">
        <f t="shared" si="3"/>
        <v>11801.622374999999</v>
      </c>
      <c r="N17" s="32">
        <f t="shared" si="4"/>
        <v>44821.820375</v>
      </c>
      <c r="O17" s="32">
        <f t="shared" si="5"/>
        <v>633</v>
      </c>
      <c r="Q17" s="76">
        <f t="shared" si="6"/>
        <v>15400.36079191472</v>
      </c>
      <c r="R17" s="76">
        <f t="shared" si="7"/>
        <v>5504.183909040565</v>
      </c>
      <c r="S17" s="76">
        <f t="shared" si="8"/>
        <v>20904.544700955284</v>
      </c>
      <c r="T17" s="76">
        <f t="shared" si="9"/>
        <v>295.22622430313766</v>
      </c>
      <c r="U17" s="76"/>
      <c r="V17" s="76">
        <f t="shared" si="10"/>
        <v>17619.837208085286</v>
      </c>
      <c r="W17" s="76">
        <f t="shared" si="10"/>
        <v>6297.438465959434</v>
      </c>
      <c r="X17" s="76">
        <f t="shared" si="11"/>
        <v>23917.275674044722</v>
      </c>
      <c r="Y17" s="76">
        <f t="shared" si="12"/>
        <v>337.77377569686234</v>
      </c>
    </row>
    <row r="18" spans="1:25" ht="12.75">
      <c r="A18" s="19">
        <v>42826</v>
      </c>
      <c r="B18" s="32"/>
      <c r="C18" s="32">
        <v>7062.6999625</v>
      </c>
      <c r="D18" s="47">
        <f t="shared" si="0"/>
        <v>7062.6999625</v>
      </c>
      <c r="E18" s="47">
        <v>407</v>
      </c>
      <c r="F18" s="32"/>
      <c r="G18" s="32"/>
      <c r="H18" s="32">
        <v>3913.4174625</v>
      </c>
      <c r="I18" s="47">
        <f t="shared" si="1"/>
        <v>3913.4174625</v>
      </c>
      <c r="J18" s="47">
        <v>226</v>
      </c>
      <c r="L18" s="32"/>
      <c r="M18" s="32">
        <f t="shared" si="3"/>
        <v>10976.117425</v>
      </c>
      <c r="N18" s="32">
        <f t="shared" si="4"/>
        <v>10976.117425</v>
      </c>
      <c r="O18" s="32">
        <f t="shared" si="5"/>
        <v>633</v>
      </c>
      <c r="Q18" s="76">
        <f t="shared" si="6"/>
        <v>0</v>
      </c>
      <c r="R18" s="76">
        <f t="shared" si="7"/>
        <v>5119.174889242698</v>
      </c>
      <c r="S18" s="76">
        <f t="shared" si="8"/>
        <v>5119.174889242698</v>
      </c>
      <c r="T18" s="76">
        <f t="shared" si="9"/>
        <v>295.22622430313766</v>
      </c>
      <c r="U18" s="76"/>
      <c r="V18" s="76">
        <f t="shared" si="10"/>
        <v>0</v>
      </c>
      <c r="W18" s="76">
        <f t="shared" si="10"/>
        <v>5856.942535757303</v>
      </c>
      <c r="X18" s="76">
        <f t="shared" si="11"/>
        <v>5856.942535757303</v>
      </c>
      <c r="Y18" s="76">
        <f t="shared" si="12"/>
        <v>337.77377569686234</v>
      </c>
    </row>
    <row r="19" spans="1:25" ht="12.75">
      <c r="A19" s="19">
        <v>43009</v>
      </c>
      <c r="B19" s="32">
        <v>22329.496</v>
      </c>
      <c r="C19" s="32">
        <v>7062.6999625</v>
      </c>
      <c r="D19" s="47">
        <f t="shared" si="0"/>
        <v>29392.195962499998</v>
      </c>
      <c r="E19" s="47">
        <v>407</v>
      </c>
      <c r="F19" s="32"/>
      <c r="G19" s="32">
        <v>12372.696000000002</v>
      </c>
      <c r="H19" s="32">
        <v>3913.4174625</v>
      </c>
      <c r="I19" s="47">
        <f t="shared" si="1"/>
        <v>16286.113462500001</v>
      </c>
      <c r="J19" s="47">
        <v>226</v>
      </c>
      <c r="L19" s="32">
        <f t="shared" si="2"/>
        <v>34702.192</v>
      </c>
      <c r="M19" s="32">
        <f t="shared" si="3"/>
        <v>10976.117425</v>
      </c>
      <c r="N19" s="32">
        <f t="shared" si="4"/>
        <v>45678.309425</v>
      </c>
      <c r="O19" s="32">
        <f t="shared" si="5"/>
        <v>633</v>
      </c>
      <c r="Q19" s="76">
        <f t="shared" si="6"/>
        <v>16184.82957219992</v>
      </c>
      <c r="R19" s="76">
        <f t="shared" si="7"/>
        <v>5119.174889242698</v>
      </c>
      <c r="S19" s="76">
        <f t="shared" si="8"/>
        <v>21304.00446144262</v>
      </c>
      <c r="T19" s="76">
        <f t="shared" si="9"/>
        <v>295.22622430313766</v>
      </c>
      <c r="U19" s="76"/>
      <c r="V19" s="76">
        <f t="shared" si="10"/>
        <v>18517.362427800083</v>
      </c>
      <c r="W19" s="76">
        <f t="shared" si="10"/>
        <v>5856.942535757303</v>
      </c>
      <c r="X19" s="76">
        <f t="shared" si="11"/>
        <v>24374.304963557384</v>
      </c>
      <c r="Y19" s="76">
        <f t="shared" si="12"/>
        <v>337.77377569686234</v>
      </c>
    </row>
    <row r="20" spans="1:25" ht="12.75">
      <c r="A20" s="48">
        <v>43191</v>
      </c>
      <c r="B20" s="32"/>
      <c r="C20" s="32">
        <v>6504.4625625</v>
      </c>
      <c r="D20" s="47">
        <f t="shared" si="0"/>
        <v>6504.4625625</v>
      </c>
      <c r="E20" s="47">
        <v>407</v>
      </c>
      <c r="F20" s="32"/>
      <c r="G20" s="32"/>
      <c r="H20" s="32">
        <v>3604.1000625</v>
      </c>
      <c r="I20" s="47">
        <f t="shared" si="1"/>
        <v>3604.1000625</v>
      </c>
      <c r="J20" s="47">
        <v>226</v>
      </c>
      <c r="L20" s="32"/>
      <c r="M20" s="32">
        <f t="shared" si="3"/>
        <v>10108.562625</v>
      </c>
      <c r="N20" s="32">
        <f t="shared" si="4"/>
        <v>10108.562625</v>
      </c>
      <c r="O20" s="32">
        <f t="shared" si="5"/>
        <v>633</v>
      </c>
      <c r="Q20" s="76">
        <f t="shared" si="6"/>
        <v>0</v>
      </c>
      <c r="R20" s="76">
        <f t="shared" si="7"/>
        <v>4714.5541499377</v>
      </c>
      <c r="S20" s="76">
        <f t="shared" si="8"/>
        <v>4714.5541499377</v>
      </c>
      <c r="T20" s="76">
        <f t="shared" si="9"/>
        <v>295.22622430313766</v>
      </c>
      <c r="U20" s="76"/>
      <c r="V20" s="76">
        <f t="shared" si="10"/>
        <v>0</v>
      </c>
      <c r="W20" s="76">
        <f t="shared" si="10"/>
        <v>5394.008475062301</v>
      </c>
      <c r="X20" s="76">
        <f t="shared" si="11"/>
        <v>5394.008475062301</v>
      </c>
      <c r="Y20" s="76">
        <f t="shared" si="12"/>
        <v>337.77377569686234</v>
      </c>
    </row>
    <row r="21" spans="1:25" ht="12.75">
      <c r="A21" s="48">
        <v>43374</v>
      </c>
      <c r="B21" s="32">
        <v>23468.756</v>
      </c>
      <c r="C21" s="32">
        <v>6504.4625625</v>
      </c>
      <c r="D21" s="47">
        <f t="shared" si="0"/>
        <v>29973.218562500002</v>
      </c>
      <c r="E21" s="47">
        <v>407</v>
      </c>
      <c r="F21" s="32"/>
      <c r="G21" s="32">
        <v>13003.956</v>
      </c>
      <c r="H21" s="32">
        <v>3604.1000625</v>
      </c>
      <c r="I21" s="47">
        <f t="shared" si="1"/>
        <v>16608.0560625</v>
      </c>
      <c r="J21" s="47">
        <v>226</v>
      </c>
      <c r="L21" s="32">
        <f t="shared" si="2"/>
        <v>36472.712</v>
      </c>
      <c r="M21" s="32">
        <f t="shared" si="3"/>
        <v>10108.562625</v>
      </c>
      <c r="N21" s="32">
        <f t="shared" si="4"/>
        <v>46581.274625</v>
      </c>
      <c r="O21" s="32">
        <f t="shared" si="5"/>
        <v>633</v>
      </c>
      <c r="Q21" s="76">
        <f t="shared" si="6"/>
        <v>17010.586183026444</v>
      </c>
      <c r="R21" s="76">
        <f t="shared" si="7"/>
        <v>4714.5541499377</v>
      </c>
      <c r="S21" s="76">
        <f t="shared" si="8"/>
        <v>21725.140332964143</v>
      </c>
      <c r="T21" s="76">
        <f t="shared" si="9"/>
        <v>295.22622430313766</v>
      </c>
      <c r="U21" s="76"/>
      <c r="V21" s="76">
        <f t="shared" si="10"/>
        <v>19462.125816973556</v>
      </c>
      <c r="W21" s="76">
        <f t="shared" si="10"/>
        <v>5394.008475062301</v>
      </c>
      <c r="X21" s="76">
        <f t="shared" si="11"/>
        <v>24856.13429203586</v>
      </c>
      <c r="Y21" s="76">
        <f t="shared" si="12"/>
        <v>337.77377569686234</v>
      </c>
    </row>
    <row r="22" spans="1:25" ht="12.75">
      <c r="A22" s="48">
        <v>43556</v>
      </c>
      <c r="B22" s="32"/>
      <c r="C22" s="32">
        <v>5917.7436625</v>
      </c>
      <c r="D22" s="47">
        <f t="shared" si="0"/>
        <v>5917.7436625</v>
      </c>
      <c r="E22" s="47">
        <v>407</v>
      </c>
      <c r="F22" s="32"/>
      <c r="G22" s="32"/>
      <c r="H22" s="32">
        <v>3279.0011625</v>
      </c>
      <c r="I22" s="47">
        <f t="shared" si="1"/>
        <v>3279.0011625</v>
      </c>
      <c r="J22" s="47">
        <v>226</v>
      </c>
      <c r="L22" s="32"/>
      <c r="M22" s="32">
        <f t="shared" si="3"/>
        <v>9196.744825</v>
      </c>
      <c r="N22" s="32">
        <f t="shared" si="4"/>
        <v>9196.744825</v>
      </c>
      <c r="O22" s="32">
        <f t="shared" si="5"/>
        <v>633</v>
      </c>
      <c r="Q22" s="76">
        <f t="shared" si="6"/>
        <v>0</v>
      </c>
      <c r="R22" s="76">
        <f t="shared" si="7"/>
        <v>4289.289495362038</v>
      </c>
      <c r="S22" s="76">
        <f t="shared" si="8"/>
        <v>4289.289495362038</v>
      </c>
      <c r="T22" s="76">
        <f t="shared" si="9"/>
        <v>295.22622430313766</v>
      </c>
      <c r="U22" s="76"/>
      <c r="V22" s="76">
        <f t="shared" si="10"/>
        <v>0</v>
      </c>
      <c r="W22" s="76">
        <f t="shared" si="10"/>
        <v>4907.455329637962</v>
      </c>
      <c r="X22" s="76">
        <f t="shared" si="11"/>
        <v>4907.455329637962</v>
      </c>
      <c r="Y22" s="76">
        <f t="shared" si="12"/>
        <v>337.77377569686234</v>
      </c>
    </row>
    <row r="23" spans="1:25" ht="12.75">
      <c r="A23" s="48">
        <v>43739</v>
      </c>
      <c r="B23" s="32">
        <v>24664.979</v>
      </c>
      <c r="C23" s="32">
        <v>5917.7436625</v>
      </c>
      <c r="D23" s="47">
        <f t="shared" si="0"/>
        <v>30582.7226625</v>
      </c>
      <c r="E23" s="47">
        <v>407</v>
      </c>
      <c r="F23" s="32"/>
      <c r="G23" s="32">
        <v>13666.779000000002</v>
      </c>
      <c r="H23" s="32">
        <v>3279.0011625</v>
      </c>
      <c r="I23" s="47">
        <f t="shared" si="1"/>
        <v>16945.780162500003</v>
      </c>
      <c r="J23" s="47">
        <v>226</v>
      </c>
      <c r="L23" s="32">
        <f t="shared" si="2"/>
        <v>38331.758</v>
      </c>
      <c r="M23" s="32">
        <f t="shared" si="3"/>
        <v>9196.744825</v>
      </c>
      <c r="N23" s="32">
        <f t="shared" si="4"/>
        <v>47528.502825</v>
      </c>
      <c r="O23" s="32">
        <f t="shared" si="5"/>
        <v>633</v>
      </c>
      <c r="Q23" s="76">
        <f t="shared" si="6"/>
        <v>17877.6306243943</v>
      </c>
      <c r="R23" s="76">
        <f t="shared" si="7"/>
        <v>4289.289495362038</v>
      </c>
      <c r="S23" s="76">
        <f t="shared" si="8"/>
        <v>22166.920119756338</v>
      </c>
      <c r="T23" s="76">
        <f t="shared" si="9"/>
        <v>295.22622430313766</v>
      </c>
      <c r="U23" s="76"/>
      <c r="V23" s="76">
        <f t="shared" si="10"/>
        <v>20454.1273756057</v>
      </c>
      <c r="W23" s="76">
        <f t="shared" si="10"/>
        <v>4907.455329637962</v>
      </c>
      <c r="X23" s="76">
        <f t="shared" si="11"/>
        <v>25361.582705243665</v>
      </c>
      <c r="Y23" s="76">
        <f t="shared" si="12"/>
        <v>337.77377569686234</v>
      </c>
    </row>
    <row r="24" spans="1:25" ht="12.75">
      <c r="A24" s="48">
        <v>43922</v>
      </c>
      <c r="B24" s="32"/>
      <c r="C24" s="32">
        <v>5301.1191874999995</v>
      </c>
      <c r="D24" s="47">
        <f t="shared" si="0"/>
        <v>5301.1191874999995</v>
      </c>
      <c r="E24" s="47">
        <v>407</v>
      </c>
      <c r="F24" s="32"/>
      <c r="G24" s="32"/>
      <c r="H24" s="32">
        <v>2937.3316875</v>
      </c>
      <c r="I24" s="47">
        <f t="shared" si="1"/>
        <v>2937.3316875</v>
      </c>
      <c r="J24" s="47">
        <v>226</v>
      </c>
      <c r="L24" s="32"/>
      <c r="M24" s="32">
        <f t="shared" si="3"/>
        <v>8238.450874999999</v>
      </c>
      <c r="N24" s="32">
        <f t="shared" si="4"/>
        <v>8238.450874999999</v>
      </c>
      <c r="O24" s="32">
        <f t="shared" si="5"/>
        <v>633</v>
      </c>
      <c r="Q24" s="76">
        <f t="shared" si="6"/>
        <v>0</v>
      </c>
      <c r="R24" s="76">
        <f t="shared" si="7"/>
        <v>3842.34872975218</v>
      </c>
      <c r="S24" s="76">
        <f t="shared" si="8"/>
        <v>3842.34872975218</v>
      </c>
      <c r="T24" s="76">
        <f t="shared" si="9"/>
        <v>295.22622430313766</v>
      </c>
      <c r="U24" s="76"/>
      <c r="V24" s="76">
        <f t="shared" si="10"/>
        <v>0</v>
      </c>
      <c r="W24" s="76">
        <f t="shared" si="10"/>
        <v>4396.102145247818</v>
      </c>
      <c r="X24" s="76">
        <f t="shared" si="11"/>
        <v>4396.102145247818</v>
      </c>
      <c r="Y24" s="76">
        <f t="shared" si="12"/>
        <v>337.77377569686234</v>
      </c>
    </row>
    <row r="25" spans="1:25" ht="12.75">
      <c r="A25" s="48">
        <v>44105</v>
      </c>
      <c r="B25" s="32">
        <v>25946.6465</v>
      </c>
      <c r="C25" s="32">
        <v>5301.1191874999995</v>
      </c>
      <c r="D25" s="47">
        <f t="shared" si="0"/>
        <v>31247.7656875</v>
      </c>
      <c r="E25" s="47">
        <v>407</v>
      </c>
      <c r="F25" s="32"/>
      <c r="G25" s="32">
        <v>14376.946500000002</v>
      </c>
      <c r="H25" s="32">
        <v>2937.3316875</v>
      </c>
      <c r="I25" s="47">
        <f t="shared" si="1"/>
        <v>17314.2781875</v>
      </c>
      <c r="J25" s="47">
        <v>226</v>
      </c>
      <c r="L25" s="32">
        <f t="shared" si="2"/>
        <v>40323.593</v>
      </c>
      <c r="M25" s="32">
        <f t="shared" si="3"/>
        <v>8238.450874999999</v>
      </c>
      <c r="N25" s="32">
        <f t="shared" si="4"/>
        <v>48562.043875</v>
      </c>
      <c r="O25" s="32">
        <f t="shared" si="5"/>
        <v>633</v>
      </c>
      <c r="Q25" s="76">
        <f t="shared" si="6"/>
        <v>18806.60681157414</v>
      </c>
      <c r="R25" s="76">
        <f t="shared" si="7"/>
        <v>3842.34872975218</v>
      </c>
      <c r="S25" s="76">
        <f t="shared" si="8"/>
        <v>22648.95554132632</v>
      </c>
      <c r="T25" s="76">
        <f t="shared" si="9"/>
        <v>295.22622430313766</v>
      </c>
      <c r="U25" s="76"/>
      <c r="V25" s="76">
        <f t="shared" si="10"/>
        <v>21516.98618842586</v>
      </c>
      <c r="W25" s="76">
        <f t="shared" si="10"/>
        <v>4396.102145247818</v>
      </c>
      <c r="X25" s="76">
        <f t="shared" si="11"/>
        <v>25913.08833367368</v>
      </c>
      <c r="Y25" s="76">
        <f t="shared" si="12"/>
        <v>337.77377569686234</v>
      </c>
    </row>
    <row r="26" spans="1:25" ht="12.75">
      <c r="A26" s="48">
        <v>44287</v>
      </c>
      <c r="B26" s="32"/>
      <c r="C26" s="32">
        <v>4652.453025</v>
      </c>
      <c r="D26" s="47">
        <f t="shared" si="0"/>
        <v>4652.453025</v>
      </c>
      <c r="E26" s="47">
        <v>407</v>
      </c>
      <c r="F26" s="32"/>
      <c r="G26" s="32"/>
      <c r="H26" s="32">
        <v>2577.908025</v>
      </c>
      <c r="I26" s="47">
        <f t="shared" si="1"/>
        <v>2577.908025</v>
      </c>
      <c r="J26" s="47">
        <v>226</v>
      </c>
      <c r="L26" s="32"/>
      <c r="M26" s="32">
        <f t="shared" si="3"/>
        <v>7230.3610499999995</v>
      </c>
      <c r="N26" s="32">
        <f t="shared" si="4"/>
        <v>7230.3610499999995</v>
      </c>
      <c r="O26" s="32">
        <f t="shared" si="5"/>
        <v>633</v>
      </c>
      <c r="Q26" s="76">
        <f t="shared" si="6"/>
        <v>0</v>
      </c>
      <c r="R26" s="76">
        <f t="shared" si="7"/>
        <v>3372.1835594628274</v>
      </c>
      <c r="S26" s="76">
        <f t="shared" si="8"/>
        <v>3372.1835594628274</v>
      </c>
      <c r="T26" s="76">
        <f t="shared" si="9"/>
        <v>295.22622430313766</v>
      </c>
      <c r="U26" s="76"/>
      <c r="V26" s="76">
        <f t="shared" si="10"/>
        <v>0</v>
      </c>
      <c r="W26" s="76">
        <f t="shared" si="10"/>
        <v>3858.177490537172</v>
      </c>
      <c r="X26" s="76">
        <f t="shared" si="11"/>
        <v>3858.177490537172</v>
      </c>
      <c r="Y26" s="76">
        <f t="shared" si="12"/>
        <v>337.77377569686234</v>
      </c>
    </row>
    <row r="27" spans="1:25" ht="12.75">
      <c r="A27" s="48">
        <v>44470</v>
      </c>
      <c r="B27" s="32">
        <v>27256.795499999997</v>
      </c>
      <c r="C27" s="32">
        <v>4652.453025</v>
      </c>
      <c r="D27" s="47">
        <f t="shared" si="0"/>
        <v>31909.248524999995</v>
      </c>
      <c r="E27" s="47">
        <v>407</v>
      </c>
      <c r="F27" s="32"/>
      <c r="G27" s="32">
        <v>15102.8955</v>
      </c>
      <c r="H27" s="32">
        <v>2577.908025</v>
      </c>
      <c r="I27" s="47">
        <f t="shared" si="1"/>
        <v>17680.803525</v>
      </c>
      <c r="J27" s="47">
        <v>226</v>
      </c>
      <c r="L27" s="32">
        <f t="shared" si="2"/>
        <v>42359.691</v>
      </c>
      <c r="M27" s="32">
        <f t="shared" si="3"/>
        <v>7230.3610499999995</v>
      </c>
      <c r="N27" s="32">
        <f t="shared" si="4"/>
        <v>49590.05205</v>
      </c>
      <c r="O27" s="32">
        <f t="shared" si="5"/>
        <v>633</v>
      </c>
      <c r="Q27" s="76">
        <f t="shared" si="6"/>
        <v>19756.226914024646</v>
      </c>
      <c r="R27" s="76">
        <f t="shared" si="7"/>
        <v>3372.1835594628274</v>
      </c>
      <c r="S27" s="76">
        <f t="shared" si="8"/>
        <v>23128.410473487475</v>
      </c>
      <c r="T27" s="76">
        <f t="shared" si="9"/>
        <v>295.22622430313766</v>
      </c>
      <c r="U27" s="76"/>
      <c r="V27" s="76">
        <f t="shared" si="10"/>
        <v>22603.464085975353</v>
      </c>
      <c r="W27" s="76">
        <f t="shared" si="10"/>
        <v>3858.177490537172</v>
      </c>
      <c r="X27" s="76">
        <f t="shared" si="11"/>
        <v>26461.641576512524</v>
      </c>
      <c r="Y27" s="76">
        <f t="shared" si="12"/>
        <v>337.77377569686234</v>
      </c>
    </row>
    <row r="28" spans="1:25" ht="12.75">
      <c r="A28" s="48">
        <v>44652</v>
      </c>
      <c r="B28" s="32"/>
      <c r="C28" s="32">
        <v>3971.0331374999996</v>
      </c>
      <c r="D28" s="47">
        <f t="shared" si="0"/>
        <v>3971.0331374999996</v>
      </c>
      <c r="E28" s="47">
        <v>407</v>
      </c>
      <c r="F28" s="32"/>
      <c r="G28" s="32"/>
      <c r="H28" s="32">
        <v>2200.3356375</v>
      </c>
      <c r="I28" s="47">
        <f t="shared" si="1"/>
        <v>2200.3356375</v>
      </c>
      <c r="J28" s="47">
        <v>226</v>
      </c>
      <c r="L28" s="32"/>
      <c r="M28" s="32">
        <f t="shared" si="3"/>
        <v>6171.368774999999</v>
      </c>
      <c r="N28" s="32">
        <f t="shared" si="4"/>
        <v>6171.368774999999</v>
      </c>
      <c r="O28" s="32">
        <f t="shared" si="5"/>
        <v>633</v>
      </c>
      <c r="Q28" s="76">
        <f t="shared" si="6"/>
        <v>0</v>
      </c>
      <c r="R28" s="76">
        <f t="shared" si="7"/>
        <v>2878.2778866122108</v>
      </c>
      <c r="S28" s="76">
        <f t="shared" si="8"/>
        <v>2878.2778866122108</v>
      </c>
      <c r="T28" s="76">
        <f t="shared" si="9"/>
        <v>295.22622430313766</v>
      </c>
      <c r="U28" s="76"/>
      <c r="V28" s="76">
        <f t="shared" si="10"/>
        <v>0</v>
      </c>
      <c r="W28" s="76">
        <f t="shared" si="10"/>
        <v>3293.0908883877883</v>
      </c>
      <c r="X28" s="76">
        <f t="shared" si="11"/>
        <v>3293.0908883877883</v>
      </c>
      <c r="Y28" s="76">
        <f t="shared" si="12"/>
        <v>337.77377569686234</v>
      </c>
    </row>
    <row r="29" spans="1:25" ht="12.75">
      <c r="A29" s="48">
        <v>44835</v>
      </c>
      <c r="B29" s="32">
        <v>28680.870499999997</v>
      </c>
      <c r="C29" s="32">
        <v>3971.0331374999996</v>
      </c>
      <c r="D29" s="47">
        <f t="shared" si="0"/>
        <v>32651.903637499996</v>
      </c>
      <c r="E29" s="47">
        <v>407</v>
      </c>
      <c r="F29" s="32"/>
      <c r="G29" s="32">
        <v>15891.970500000001</v>
      </c>
      <c r="H29" s="32">
        <v>2200.3356375</v>
      </c>
      <c r="I29" s="47">
        <f t="shared" si="1"/>
        <v>18092.3061375</v>
      </c>
      <c r="J29" s="47">
        <v>226</v>
      </c>
      <c r="L29" s="32">
        <f t="shared" si="2"/>
        <v>44572.841</v>
      </c>
      <c r="M29" s="32">
        <f t="shared" si="3"/>
        <v>6171.368774999999</v>
      </c>
      <c r="N29" s="32">
        <f t="shared" si="4"/>
        <v>50744.209774999996</v>
      </c>
      <c r="O29" s="32">
        <f t="shared" si="5"/>
        <v>633</v>
      </c>
      <c r="Q29" s="76">
        <f t="shared" si="6"/>
        <v>20788.422677557803</v>
      </c>
      <c r="R29" s="76">
        <f t="shared" si="7"/>
        <v>2878.2778866122108</v>
      </c>
      <c r="S29" s="76">
        <f t="shared" si="8"/>
        <v>23666.700564170013</v>
      </c>
      <c r="T29" s="76">
        <f t="shared" si="9"/>
        <v>295.22622430313766</v>
      </c>
      <c r="U29" s="76"/>
      <c r="V29" s="76">
        <f t="shared" si="10"/>
        <v>23784.418322442198</v>
      </c>
      <c r="W29" s="76">
        <f t="shared" si="10"/>
        <v>3293.0908883877883</v>
      </c>
      <c r="X29" s="76">
        <f t="shared" si="11"/>
        <v>27077.509210829987</v>
      </c>
      <c r="Y29" s="76">
        <f t="shared" si="12"/>
        <v>337.77377569686234</v>
      </c>
    </row>
    <row r="30" spans="1:25" ht="12.75">
      <c r="A30" s="48">
        <v>45017</v>
      </c>
      <c r="B30" s="32"/>
      <c r="C30" s="32">
        <v>3254.011375</v>
      </c>
      <c r="D30" s="47">
        <f t="shared" si="0"/>
        <v>3254.011375</v>
      </c>
      <c r="E30" s="47">
        <v>407</v>
      </c>
      <c r="F30" s="32"/>
      <c r="G30" s="32"/>
      <c r="H30" s="32">
        <v>1803.0363750000001</v>
      </c>
      <c r="I30" s="47">
        <f t="shared" si="1"/>
        <v>1803.0363750000001</v>
      </c>
      <c r="J30" s="47">
        <v>226</v>
      </c>
      <c r="L30" s="32"/>
      <c r="M30" s="32">
        <f t="shared" si="3"/>
        <v>5057.04775</v>
      </c>
      <c r="N30" s="32">
        <f t="shared" si="4"/>
        <v>5057.04775</v>
      </c>
      <c r="O30" s="32">
        <f t="shared" si="5"/>
        <v>633</v>
      </c>
      <c r="Q30" s="76">
        <f t="shared" si="6"/>
        <v>0</v>
      </c>
      <c r="R30" s="76">
        <f t="shared" si="7"/>
        <v>2358.567319673266</v>
      </c>
      <c r="S30" s="76">
        <f t="shared" si="8"/>
        <v>2358.567319673266</v>
      </c>
      <c r="T30" s="76">
        <f t="shared" si="9"/>
        <v>295.22622430313766</v>
      </c>
      <c r="U30" s="76"/>
      <c r="V30" s="76">
        <f t="shared" si="10"/>
        <v>0</v>
      </c>
      <c r="W30" s="76">
        <f t="shared" si="10"/>
        <v>2698.4804303267338</v>
      </c>
      <c r="X30" s="76">
        <f t="shared" si="11"/>
        <v>2698.4804303267338</v>
      </c>
      <c r="Y30" s="76">
        <f t="shared" si="12"/>
        <v>337.77377569686234</v>
      </c>
    </row>
    <row r="31" spans="1:25" ht="12.75">
      <c r="A31" s="48">
        <v>45200</v>
      </c>
      <c r="B31" s="32">
        <v>30133.426999999996</v>
      </c>
      <c r="C31" s="32">
        <v>3254.011375</v>
      </c>
      <c r="D31" s="47">
        <f t="shared" si="0"/>
        <v>33387.438375</v>
      </c>
      <c r="E31" s="47">
        <v>407</v>
      </c>
      <c r="F31" s="32"/>
      <c r="G31" s="32">
        <v>16696.827</v>
      </c>
      <c r="H31" s="32">
        <v>1803.0363750000001</v>
      </c>
      <c r="I31" s="47">
        <f t="shared" si="1"/>
        <v>18499.863375</v>
      </c>
      <c r="J31" s="47">
        <v>226</v>
      </c>
      <c r="L31" s="32">
        <f t="shared" si="2"/>
        <v>46830.254</v>
      </c>
      <c r="M31" s="32">
        <f t="shared" si="3"/>
        <v>5057.04775</v>
      </c>
      <c r="N31" s="32">
        <f t="shared" si="4"/>
        <v>51887.30175</v>
      </c>
      <c r="O31" s="32">
        <f t="shared" si="5"/>
        <v>633</v>
      </c>
      <c r="Q31" s="76">
        <f t="shared" si="6"/>
        <v>21841.262356361625</v>
      </c>
      <c r="R31" s="76">
        <f t="shared" si="7"/>
        <v>2358.567319673266</v>
      </c>
      <c r="S31" s="76">
        <f t="shared" si="8"/>
        <v>24199.82967603489</v>
      </c>
      <c r="T31" s="76">
        <f t="shared" si="9"/>
        <v>295.22622430313766</v>
      </c>
      <c r="U31" s="76"/>
      <c r="V31" s="76">
        <f t="shared" si="10"/>
        <v>24988.991643638376</v>
      </c>
      <c r="W31" s="76">
        <f t="shared" si="10"/>
        <v>2698.4804303267338</v>
      </c>
      <c r="X31" s="76">
        <f t="shared" si="11"/>
        <v>27687.47207396511</v>
      </c>
      <c r="Y31" s="76">
        <f t="shared" si="12"/>
        <v>337.77377569686234</v>
      </c>
    </row>
    <row r="32" spans="1:25" ht="12.75">
      <c r="A32" s="48">
        <v>45383</v>
      </c>
      <c r="B32" s="32"/>
      <c r="C32" s="32">
        <v>2500.6757</v>
      </c>
      <c r="D32" s="47">
        <f t="shared" si="0"/>
        <v>2500.6757</v>
      </c>
      <c r="E32" s="47">
        <v>407</v>
      </c>
      <c r="F32" s="32"/>
      <c r="G32" s="32"/>
      <c r="H32" s="32">
        <v>1385.6157</v>
      </c>
      <c r="I32" s="47">
        <f t="shared" si="1"/>
        <v>1385.6157</v>
      </c>
      <c r="J32" s="47">
        <v>226</v>
      </c>
      <c r="L32" s="32"/>
      <c r="M32" s="32">
        <f t="shared" si="3"/>
        <v>3886.2914</v>
      </c>
      <c r="N32" s="32">
        <f t="shared" si="4"/>
        <v>3886.2914</v>
      </c>
      <c r="O32" s="32">
        <f t="shared" si="5"/>
        <v>633</v>
      </c>
      <c r="Q32" s="76">
        <f t="shared" si="6"/>
        <v>0</v>
      </c>
      <c r="R32" s="76">
        <f t="shared" si="7"/>
        <v>1812.5357607642256</v>
      </c>
      <c r="S32" s="76">
        <f t="shared" si="8"/>
        <v>1812.5357607642256</v>
      </c>
      <c r="T32" s="76">
        <f t="shared" si="9"/>
        <v>295.22622430313766</v>
      </c>
      <c r="U32" s="76"/>
      <c r="V32" s="76">
        <f t="shared" si="10"/>
        <v>0</v>
      </c>
      <c r="W32" s="76">
        <f t="shared" si="10"/>
        <v>2073.7556392357747</v>
      </c>
      <c r="X32" s="76">
        <f t="shared" si="11"/>
        <v>2073.7556392357747</v>
      </c>
      <c r="Y32" s="76">
        <f t="shared" si="12"/>
        <v>337.77377569686234</v>
      </c>
    </row>
    <row r="33" spans="1:25" ht="12.75">
      <c r="A33" s="19">
        <v>45566</v>
      </c>
      <c r="B33" s="32">
        <v>31671.428</v>
      </c>
      <c r="C33" s="32">
        <v>2500.6757</v>
      </c>
      <c r="D33" s="47">
        <f t="shared" si="0"/>
        <v>34172.1037</v>
      </c>
      <c r="E33" s="47">
        <v>407</v>
      </c>
      <c r="F33" s="32"/>
      <c r="G33" s="32">
        <v>17549.028000000002</v>
      </c>
      <c r="H33" s="32">
        <v>1385.6157</v>
      </c>
      <c r="I33" s="47">
        <f t="shared" si="1"/>
        <v>18934.6437</v>
      </c>
      <c r="J33" s="47">
        <v>226</v>
      </c>
      <c r="L33" s="32">
        <f t="shared" si="2"/>
        <v>49220.456000000006</v>
      </c>
      <c r="M33" s="32">
        <f t="shared" si="3"/>
        <v>3886.2914</v>
      </c>
      <c r="N33" s="32">
        <f t="shared" si="4"/>
        <v>53106.74740000001</v>
      </c>
      <c r="O33" s="32">
        <f t="shared" si="5"/>
        <v>633</v>
      </c>
      <c r="Q33" s="76">
        <f t="shared" si="6"/>
        <v>22956.03378097744</v>
      </c>
      <c r="R33" s="76">
        <f t="shared" si="7"/>
        <v>1812.5357607642256</v>
      </c>
      <c r="S33" s="76">
        <f t="shared" si="8"/>
        <v>24768.569541741665</v>
      </c>
      <c r="T33" s="76">
        <f t="shared" si="9"/>
        <v>295.22622430313766</v>
      </c>
      <c r="U33" s="76"/>
      <c r="V33" s="76">
        <f t="shared" si="10"/>
        <v>26264.422219022566</v>
      </c>
      <c r="W33" s="76">
        <f t="shared" si="10"/>
        <v>2073.7556392357747</v>
      </c>
      <c r="X33" s="76">
        <f t="shared" si="11"/>
        <v>28338.177858258343</v>
      </c>
      <c r="Y33" s="76">
        <f t="shared" si="12"/>
        <v>337.77377569686234</v>
      </c>
    </row>
    <row r="34" spans="1:25" ht="12.75">
      <c r="A34" s="19">
        <v>45748</v>
      </c>
      <c r="B34" s="32"/>
      <c r="C34" s="32">
        <v>1708.89</v>
      </c>
      <c r="D34" s="47">
        <f t="shared" si="0"/>
        <v>1708.89</v>
      </c>
      <c r="E34" s="47">
        <v>407</v>
      </c>
      <c r="F34" s="32"/>
      <c r="G34" s="32"/>
      <c r="H34" s="32">
        <v>946.89</v>
      </c>
      <c r="I34" s="47">
        <f t="shared" si="1"/>
        <v>946.89</v>
      </c>
      <c r="J34" s="47">
        <v>226</v>
      </c>
      <c r="L34" s="32"/>
      <c r="M34" s="32">
        <f t="shared" si="3"/>
        <v>2655.78</v>
      </c>
      <c r="N34" s="32">
        <f t="shared" si="4"/>
        <v>2655.78</v>
      </c>
      <c r="O34" s="32">
        <f t="shared" si="5"/>
        <v>633</v>
      </c>
      <c r="Q34" s="76">
        <f t="shared" si="6"/>
        <v>0</v>
      </c>
      <c r="R34" s="76">
        <f t="shared" si="7"/>
        <v>1238.6349162397898</v>
      </c>
      <c r="S34" s="76">
        <f t="shared" si="8"/>
        <v>1238.6349162397898</v>
      </c>
      <c r="T34" s="76">
        <f t="shared" si="9"/>
        <v>295.22622430313766</v>
      </c>
      <c r="U34" s="76"/>
      <c r="V34" s="76">
        <f t="shared" si="10"/>
        <v>0</v>
      </c>
      <c r="W34" s="76">
        <f t="shared" si="10"/>
        <v>1417.1450837602104</v>
      </c>
      <c r="X34" s="76">
        <f t="shared" si="11"/>
        <v>1417.1450837602104</v>
      </c>
      <c r="Y34" s="76">
        <f t="shared" si="12"/>
        <v>337.77377569686234</v>
      </c>
    </row>
    <row r="35" spans="1:25" ht="12.75">
      <c r="A35" s="19">
        <v>45931</v>
      </c>
      <c r="B35" s="32">
        <v>33323.355</v>
      </c>
      <c r="C35" s="32">
        <v>1708.89</v>
      </c>
      <c r="D35" s="47">
        <f t="shared" si="0"/>
        <v>35032.245</v>
      </c>
      <c r="E35" s="47">
        <v>407</v>
      </c>
      <c r="F35" s="32"/>
      <c r="G35" s="32">
        <v>18464.355000000003</v>
      </c>
      <c r="H35" s="32">
        <v>946.89</v>
      </c>
      <c r="I35" s="47">
        <f t="shared" si="1"/>
        <v>19411.245000000003</v>
      </c>
      <c r="J35" s="47">
        <v>226</v>
      </c>
      <c r="L35" s="32">
        <f t="shared" si="2"/>
        <v>51787.71000000001</v>
      </c>
      <c r="M35" s="32">
        <f t="shared" si="3"/>
        <v>2655.78</v>
      </c>
      <c r="N35" s="32">
        <f t="shared" si="4"/>
        <v>54443.490000000005</v>
      </c>
      <c r="O35" s="32">
        <f t="shared" si="5"/>
        <v>633</v>
      </c>
      <c r="Q35" s="76">
        <f t="shared" si="6"/>
        <v>24153.380866675903</v>
      </c>
      <c r="R35" s="76">
        <f t="shared" si="7"/>
        <v>1238.6349162397898</v>
      </c>
      <c r="S35" s="76">
        <f t="shared" si="8"/>
        <v>25392.015782915692</v>
      </c>
      <c r="T35" s="76">
        <f t="shared" si="9"/>
        <v>295.22622430313766</v>
      </c>
      <c r="U35" s="76"/>
      <c r="V35" s="76">
        <f t="shared" si="10"/>
        <v>27634.329133324103</v>
      </c>
      <c r="W35" s="76">
        <f t="shared" si="10"/>
        <v>1417.1450837602104</v>
      </c>
      <c r="X35" s="76">
        <f t="shared" si="11"/>
        <v>29051.474217084313</v>
      </c>
      <c r="Y35" s="76">
        <f t="shared" si="12"/>
        <v>337.77377569686234</v>
      </c>
    </row>
    <row r="36" spans="1:25" ht="12.75">
      <c r="A36" s="19">
        <v>46113</v>
      </c>
      <c r="B36" s="32"/>
      <c r="C36" s="32">
        <v>875.8061249999998</v>
      </c>
      <c r="D36" s="47">
        <f t="shared" si="0"/>
        <v>875.8061249999998</v>
      </c>
      <c r="E36" s="47">
        <v>407</v>
      </c>
      <c r="F36" s="32"/>
      <c r="G36" s="32"/>
      <c r="H36" s="32">
        <v>485.28112500000003</v>
      </c>
      <c r="I36" s="47">
        <f t="shared" si="1"/>
        <v>485.28112500000003</v>
      </c>
      <c r="J36" s="47">
        <v>226</v>
      </c>
      <c r="L36" s="32"/>
      <c r="M36" s="32">
        <f t="shared" si="3"/>
        <v>1361.0872499999998</v>
      </c>
      <c r="N36" s="32">
        <f t="shared" si="4"/>
        <v>1361.0872499999998</v>
      </c>
      <c r="O36" s="32">
        <f t="shared" si="5"/>
        <v>633</v>
      </c>
      <c r="Q36" s="76">
        <f t="shared" si="6"/>
        <v>0</v>
      </c>
      <c r="R36" s="76">
        <f t="shared" si="7"/>
        <v>634.8003945728922</v>
      </c>
      <c r="S36" s="76">
        <f t="shared" si="8"/>
        <v>634.8003945728922</v>
      </c>
      <c r="T36" s="76">
        <f t="shared" si="9"/>
        <v>295.22622430313766</v>
      </c>
      <c r="U36" s="76"/>
      <c r="V36" s="76">
        <f t="shared" si="10"/>
        <v>0</v>
      </c>
      <c r="W36" s="76">
        <f t="shared" si="10"/>
        <v>726.2868554271076</v>
      </c>
      <c r="X36" s="76">
        <f t="shared" si="11"/>
        <v>726.2868554271076</v>
      </c>
      <c r="Y36" s="76">
        <f t="shared" si="12"/>
        <v>337.77377569686234</v>
      </c>
    </row>
    <row r="37" spans="1:25" ht="12.75">
      <c r="A37" s="19">
        <v>46296</v>
      </c>
      <c r="B37" s="32">
        <v>35032.245</v>
      </c>
      <c r="C37" s="32">
        <v>875.8061249999998</v>
      </c>
      <c r="D37" s="47">
        <f t="shared" si="0"/>
        <v>35908.051125000005</v>
      </c>
      <c r="E37" s="47">
        <v>409</v>
      </c>
      <c r="F37" s="32"/>
      <c r="G37" s="32">
        <v>19411.245000000003</v>
      </c>
      <c r="H37" s="32">
        <v>485.28112500000003</v>
      </c>
      <c r="I37" s="47">
        <f t="shared" si="1"/>
        <v>19896.526125000004</v>
      </c>
      <c r="J37" s="47">
        <v>209</v>
      </c>
      <c r="L37" s="32">
        <f t="shared" si="2"/>
        <v>54443.490000000005</v>
      </c>
      <c r="M37" s="32">
        <f t="shared" si="3"/>
        <v>1361.0872499999998</v>
      </c>
      <c r="N37" s="32">
        <f t="shared" si="4"/>
        <v>55804.57725</v>
      </c>
      <c r="O37" s="32">
        <f t="shared" si="5"/>
        <v>618</v>
      </c>
      <c r="Q37" s="76">
        <f t="shared" si="6"/>
        <v>25392.015782915692</v>
      </c>
      <c r="R37" s="76">
        <f t="shared" si="7"/>
        <v>634.8003945728922</v>
      </c>
      <c r="S37" s="76">
        <f t="shared" si="8"/>
        <v>26026.816177488585</v>
      </c>
      <c r="T37" s="76">
        <f t="shared" si="9"/>
        <v>288.2303422106462</v>
      </c>
      <c r="U37" s="76"/>
      <c r="V37" s="76">
        <f t="shared" si="10"/>
        <v>29051.474217084313</v>
      </c>
      <c r="W37" s="76">
        <f t="shared" si="10"/>
        <v>726.2868554271076</v>
      </c>
      <c r="X37" s="76">
        <f t="shared" si="11"/>
        <v>29777.76107251142</v>
      </c>
      <c r="Y37" s="76">
        <f t="shared" si="12"/>
        <v>329.7696577893538</v>
      </c>
    </row>
    <row r="38" spans="1:25" ht="12.75">
      <c r="A38" s="19"/>
      <c r="B38" s="32"/>
      <c r="C38" s="32"/>
      <c r="D38" s="32"/>
      <c r="E38" s="32"/>
      <c r="F38" s="32"/>
      <c r="G38" s="32"/>
      <c r="H38" s="32"/>
      <c r="I38" s="32"/>
      <c r="J38" s="32"/>
      <c r="Q38" s="76"/>
      <c r="R38" s="76"/>
      <c r="S38" s="76"/>
      <c r="T38" s="76"/>
      <c r="U38" s="76"/>
      <c r="V38" s="76"/>
      <c r="W38" s="76"/>
      <c r="X38" s="76"/>
      <c r="Y38" s="76"/>
    </row>
    <row r="39" spans="1:25" ht="13.5" thickBot="1">
      <c r="A39" s="30" t="s">
        <v>4</v>
      </c>
      <c r="B39" s="46">
        <f>SUM(B9:B37)</f>
        <v>378832.4315</v>
      </c>
      <c r="C39" s="46">
        <f>SUM(C9:C37)</f>
        <v>159585.4046875</v>
      </c>
      <c r="D39" s="46">
        <f>SUM(D9:D37)</f>
        <v>538417.8361875</v>
      </c>
      <c r="E39" s="46">
        <f>SUM(E9:E37)</f>
        <v>11805</v>
      </c>
      <c r="F39" s="39"/>
      <c r="G39" s="46">
        <f>SUM(G9:G37)</f>
        <v>209909.7315</v>
      </c>
      <c r="H39" s="46">
        <f>SUM(H9:H37)</f>
        <v>88425.71718749996</v>
      </c>
      <c r="I39" s="46">
        <f>SUM(I9:I37)</f>
        <v>298335.4486875</v>
      </c>
      <c r="J39" s="46">
        <f>SUM(J9:J37)</f>
        <v>6537</v>
      </c>
      <c r="L39" s="46">
        <f>SUM(L9:L37)</f>
        <v>588742.1630000001</v>
      </c>
      <c r="M39" s="46">
        <f>SUM(M9:M37)</f>
        <v>248011.12187500004</v>
      </c>
      <c r="N39" s="46">
        <f>SUM(N9:N37)</f>
        <v>836753.2848749999</v>
      </c>
      <c r="O39" s="46">
        <f>SUM(O9:O37)</f>
        <v>18342</v>
      </c>
      <c r="Q39" s="79">
        <f>SUM(Q9:Q37)</f>
        <v>274584.71701509075</v>
      </c>
      <c r="R39" s="79">
        <f>SUM(R9:R37)</f>
        <v>115670.4377509345</v>
      </c>
      <c r="S39" s="79">
        <f>SUM(S9:S37)</f>
        <v>390255.15476602525</v>
      </c>
      <c r="T39" s="79">
        <f>SUM(T9:T37)</f>
        <v>8554.564622698497</v>
      </c>
      <c r="U39" s="76"/>
      <c r="V39" s="79">
        <f>SUM(V9:V37)</f>
        <v>314157.44598490925</v>
      </c>
      <c r="W39" s="79">
        <f>SUM(W9:W37)</f>
        <v>132340.6841240655</v>
      </c>
      <c r="X39" s="79">
        <f>SUM(X9:X37)</f>
        <v>446498.1301089748</v>
      </c>
      <c r="Y39" s="79">
        <f>SUM(Y9:Y37)</f>
        <v>9787.4353773015</v>
      </c>
    </row>
    <row r="40" spans="17:25" ht="13.5" thickTop="1">
      <c r="Q40" s="76"/>
      <c r="R40" s="76"/>
      <c r="S40" s="76"/>
      <c r="T40" s="76"/>
      <c r="U40" s="76"/>
      <c r="V40" s="76"/>
      <c r="W40" s="76"/>
      <c r="X40" s="76"/>
      <c r="Y40" s="76"/>
    </row>
    <row r="41" spans="12:20" ht="12.75">
      <c r="L41" s="80">
        <f>Q39+V39</f>
        <v>588742.163</v>
      </c>
      <c r="M41" s="80">
        <f>R39+W39</f>
        <v>248011.121875</v>
      </c>
      <c r="N41" s="80">
        <f>S39+X39</f>
        <v>836753.2848750001</v>
      </c>
      <c r="O41" s="80">
        <f>T39+Y39</f>
        <v>18341.999999999996</v>
      </c>
      <c r="Q41" s="76"/>
      <c r="R41" s="76"/>
      <c r="S41" s="76"/>
      <c r="T41" s="7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2016-01-14T20:24:01Z</cp:lastPrinted>
  <dcterms:created xsi:type="dcterms:W3CDTF">1998-02-23T20:58:01Z</dcterms:created>
  <dcterms:modified xsi:type="dcterms:W3CDTF">2017-01-10T15:09:21Z</dcterms:modified>
  <cp:category/>
  <cp:version/>
  <cp:contentType/>
  <cp:contentStatus/>
</cp:coreProperties>
</file>