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41" activeTab="0"/>
  </bookViews>
  <sheets>
    <sheet name="2017B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<sst xmlns="http://schemas.openxmlformats.org/spreadsheetml/2006/main" count="323" uniqueCount="86">
  <si>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</si>
  <si>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</si>
  <si>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</si>
  <si>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</si>
  <si>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</si>
  <si>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</si>
  <si>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</si>
  <si>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</si>
  <si>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</si>
  <si>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</si>
  <si>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</si>
  <si>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</si>
  <si>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</si>
  <si>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</si>
  <si>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</si>
  <si>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</si>
  <si>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</si>
  <si>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</si>
  <si>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</si>
  <si>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</si>
  <si>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</si>
  <si>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</si>
  <si>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</si>
  <si>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</si>
  <si>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</si>
  <si>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</si>
  <si>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</si>
  <si>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</si>
  <si>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</si>
  <si>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</si>
  <si>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</si>
  <si>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</si>
  <si>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</si>
  <si>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</si>
  <si>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</si>
  <si>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</si>
  <si>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</si>
  <si>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</si>
  <si>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</si>
  <si>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</si>
  <si>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</si>
  <si>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</si>
  <si>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</si>
  <si>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</si>
  <si>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</si>
  <si>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</si>
  <si>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</si>
  <si>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</si>
  <si>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</si>
  <si>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</si>
  <si>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</si>
  <si>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</si>
  <si>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</si>
  <si>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</si>
  <si>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</si>
  <si>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</si>
  <si>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</si>
  <si>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</si>
  <si>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</si>
  <si>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</si>
  <si>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</si>
  <si>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</si>
  <si>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</si>
  <si>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</si>
  <si>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</si>
  <si>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</si>
  <si>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</si>
  <si>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</si>
  <si>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</si>
  <si>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</si>
  <si>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</si>
  <si>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</si>
  <si>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</si>
  <si>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</si>
  <si>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</si>
  <si>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</si>
  <si>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</si>
  <si>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</si>
  <si>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</si>
  <si>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Amort of</t>
  </si>
  <si>
    <t>Premium</t>
  </si>
  <si>
    <t>Loss on Refunding</t>
  </si>
  <si>
    <t>.</t>
  </si>
  <si>
    <t>USM (Paid off by UMUC) (Auxiliary)</t>
  </si>
  <si>
    <t>2001A Refinanced on 2017B</t>
  </si>
  <si>
    <t>2001 Series A Bond Funded Projects 2017B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</si>
</sst>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20"/>
  <sheetViews>
    <sheetView tabSelected="1" zoomScale="145" zoomScaleNormal="145" zoomScalePageLayoutView="0" workbookViewId="0" topLeftCell="A1">
      <selection activeCell="D11" sqref="D11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85</v>
      </c>
      <c r="AA3" s="50"/>
      <c r="AG3" s="38"/>
      <c r="AH3" s="50" t="str">
        <f>P3</f>
        <v>2001 Series A Bond Funded Projects 2017B</v>
      </c>
      <c r="AM3" s="50"/>
      <c r="AS3" s="50"/>
      <c r="AY3" s="38"/>
      <c r="AZ3" s="50" t="str">
        <f>AH3</f>
        <v>2001 Series A Bond Funded Projects 2017B</v>
      </c>
      <c r="BE3" s="50"/>
      <c r="BK3" s="50"/>
      <c r="BQ3" s="38"/>
      <c r="BR3" s="50" t="str">
        <f>AZ3</f>
        <v>2001 Series A Bond Funded Projects 2017B</v>
      </c>
      <c r="BW3" s="50"/>
      <c r="CC3" s="50"/>
      <c r="CI3" s="38"/>
      <c r="CJ3" s="50" t="str">
        <f>BR3</f>
        <v>2001 Series A Bond Funded Projects 2017B</v>
      </c>
      <c r="CO3" s="50"/>
      <c r="CU3" s="50"/>
      <c r="DA3" s="38"/>
      <c r="DB3" s="50" t="str">
        <f>CJ3</f>
        <v>2001 Series A Bond Funded Projects 2017B</v>
      </c>
      <c r="DM3" s="50"/>
      <c r="DS3" s="38"/>
      <c r="DT3" s="50" t="str">
        <f>DB3</f>
        <v>2001 Series A Bond Funded Projects 2017B</v>
      </c>
      <c r="EE3" s="50"/>
      <c r="EK3" s="38"/>
      <c r="EL3" s="50" t="str">
        <f>DT3</f>
        <v>2001 Series A Bond Funded Projects 2017B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84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83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/>
      <c r="D6" s="69"/>
      <c r="E6" s="70"/>
      <c r="F6" s="46" t="s">
        <v>79</v>
      </c>
      <c r="G6" s="46" t="s">
        <v>79</v>
      </c>
      <c r="H6" s="38"/>
      <c r="I6" s="45"/>
      <c r="J6" s="58">
        <f>1-P6</f>
        <v>0.00282030000000022</v>
      </c>
      <c r="K6" s="44"/>
      <c r="L6" s="46" t="s">
        <v>79</v>
      </c>
      <c r="M6" s="46" t="s">
        <v>79</v>
      </c>
      <c r="O6" s="45"/>
      <c r="P6" s="63">
        <f>V6+AB6+AH6+AN6+AT6+AZ6+BF6+BL6+BR6+BX6+CD6+CJ6+CP6+CV6+DB6+DH6+DN6+DT6+DZ6+EF6+ER6+EL6</f>
        <v>0.9971796999999998</v>
      </c>
      <c r="Q6" s="44"/>
      <c r="R6" s="46" t="s">
        <v>79</v>
      </c>
      <c r="S6" s="46" t="s">
        <v>79</v>
      </c>
      <c r="U6" s="52"/>
      <c r="V6" s="37">
        <v>0.1505006</v>
      </c>
      <c r="W6" s="53"/>
      <c r="X6" s="46" t="s">
        <v>79</v>
      </c>
      <c r="Y6" s="46" t="s">
        <v>79</v>
      </c>
      <c r="AA6" s="52"/>
      <c r="AB6" s="37">
        <v>0.1692584</v>
      </c>
      <c r="AC6" s="53"/>
      <c r="AD6" s="46" t="s">
        <v>79</v>
      </c>
      <c r="AE6" s="46" t="s">
        <v>79</v>
      </c>
      <c r="AG6" s="52"/>
      <c r="AH6" s="37">
        <v>0.0975766</v>
      </c>
      <c r="AI6" s="53"/>
      <c r="AJ6" s="46" t="s">
        <v>79</v>
      </c>
      <c r="AK6" s="46" t="s">
        <v>79</v>
      </c>
      <c r="AM6" s="52"/>
      <c r="AN6" s="37">
        <v>0.0748131</v>
      </c>
      <c r="AO6" s="53"/>
      <c r="AP6" s="46" t="s">
        <v>79</v>
      </c>
      <c r="AQ6" s="46" t="s">
        <v>79</v>
      </c>
      <c r="AR6" s="31"/>
      <c r="AS6" s="52"/>
      <c r="AT6" s="37">
        <v>0.0021612</v>
      </c>
      <c r="AU6" s="53"/>
      <c r="AV6" s="46" t="s">
        <v>79</v>
      </c>
      <c r="AW6" s="46" t="s">
        <v>79</v>
      </c>
      <c r="AX6" s="31"/>
      <c r="AY6" s="52"/>
      <c r="AZ6" s="37">
        <v>0.0001906</v>
      </c>
      <c r="BA6" s="53"/>
      <c r="BB6" s="46" t="s">
        <v>79</v>
      </c>
      <c r="BC6" s="46" t="s">
        <v>79</v>
      </c>
      <c r="BD6" s="31"/>
      <c r="BE6" s="52"/>
      <c r="BF6" s="37">
        <v>0.0001369</v>
      </c>
      <c r="BG6" s="53"/>
      <c r="BH6" s="46" t="s">
        <v>79</v>
      </c>
      <c r="BI6" s="46" t="s">
        <v>79</v>
      </c>
      <c r="BK6" s="52"/>
      <c r="BL6" s="37">
        <v>0.0023757</v>
      </c>
      <c r="BM6" s="53"/>
      <c r="BN6" s="46" t="s">
        <v>79</v>
      </c>
      <c r="BO6" s="46" t="s">
        <v>79</v>
      </c>
      <c r="BQ6" s="52"/>
      <c r="BR6" s="37">
        <v>0.0591225</v>
      </c>
      <c r="BS6" s="53"/>
      <c r="BT6" s="46" t="s">
        <v>79</v>
      </c>
      <c r="BU6" s="46" t="s">
        <v>79</v>
      </c>
      <c r="BW6" s="62"/>
      <c r="BX6" s="63">
        <v>0.0180534</v>
      </c>
      <c r="BY6" s="64"/>
      <c r="BZ6" s="46" t="s">
        <v>79</v>
      </c>
      <c r="CA6" s="46" t="s">
        <v>79</v>
      </c>
      <c r="CC6" s="52"/>
      <c r="CD6" s="37">
        <v>0.0515053</v>
      </c>
      <c r="CE6" s="53"/>
      <c r="CF6" s="46" t="s">
        <v>79</v>
      </c>
      <c r="CG6" s="46" t="s">
        <v>79</v>
      </c>
      <c r="CI6" s="52"/>
      <c r="CJ6" s="37">
        <v>0.1416042</v>
      </c>
      <c r="CK6" s="53"/>
      <c r="CL6" s="46" t="s">
        <v>79</v>
      </c>
      <c r="CM6" s="46" t="s">
        <v>79</v>
      </c>
      <c r="CN6" s="31"/>
      <c r="CO6" s="52"/>
      <c r="CP6" s="37">
        <v>0.0615602</v>
      </c>
      <c r="CQ6" s="53"/>
      <c r="CR6" s="46" t="s">
        <v>79</v>
      </c>
      <c r="CS6" s="46" t="s">
        <v>79</v>
      </c>
      <c r="CU6" s="52"/>
      <c r="CV6" s="37">
        <v>0.0537414</v>
      </c>
      <c r="CW6" s="53"/>
      <c r="CX6" s="46" t="s">
        <v>79</v>
      </c>
      <c r="CY6" s="46" t="s">
        <v>79</v>
      </c>
      <c r="CZ6" s="31"/>
      <c r="DA6" s="76"/>
      <c r="DB6" s="77">
        <v>0.0069717</v>
      </c>
      <c r="DC6" s="78"/>
      <c r="DD6" s="75" t="s">
        <v>79</v>
      </c>
      <c r="DE6" s="75" t="s">
        <v>79</v>
      </c>
      <c r="DF6" s="31"/>
      <c r="DG6" s="52"/>
      <c r="DH6" s="37">
        <v>0.0002011</v>
      </c>
      <c r="DI6" s="53"/>
      <c r="DJ6" s="46" t="s">
        <v>79</v>
      </c>
      <c r="DK6" s="46" t="s">
        <v>79</v>
      </c>
      <c r="DM6" s="52"/>
      <c r="DN6" s="37">
        <v>0.0470981</v>
      </c>
      <c r="DO6" s="53"/>
      <c r="DP6" s="46" t="s">
        <v>79</v>
      </c>
      <c r="DQ6" s="46" t="s">
        <v>79</v>
      </c>
      <c r="DS6" s="52"/>
      <c r="DT6" s="37">
        <v>0.0028727</v>
      </c>
      <c r="DU6" s="53"/>
      <c r="DV6" s="46" t="s">
        <v>79</v>
      </c>
      <c r="DW6" s="46" t="s">
        <v>79</v>
      </c>
      <c r="DY6" s="52"/>
      <c r="DZ6" s="37">
        <v>0.0487421</v>
      </c>
      <c r="EA6" s="53"/>
      <c r="EB6" s="46" t="s">
        <v>79</v>
      </c>
      <c r="EC6" s="46" t="s">
        <v>79</v>
      </c>
      <c r="EE6" s="52"/>
      <c r="EF6" s="37">
        <v>0.0060754</v>
      </c>
      <c r="EG6" s="53"/>
      <c r="EH6" s="46" t="s">
        <v>79</v>
      </c>
      <c r="EI6" s="46" t="s">
        <v>79</v>
      </c>
      <c r="EJ6" s="31"/>
      <c r="EK6" s="52"/>
      <c r="EL6" s="37">
        <v>0.0026185</v>
      </c>
      <c r="EM6" s="53"/>
      <c r="EN6" s="46" t="s">
        <v>79</v>
      </c>
      <c r="EO6" s="46" t="s">
        <v>79</v>
      </c>
      <c r="EP6" s="31"/>
      <c r="EQ6" s="52"/>
      <c r="ER6" s="37"/>
      <c r="ES6" s="53"/>
      <c r="ET6" s="46" t="s">
        <v>79</v>
      </c>
      <c r="EU6" s="46" t="s">
        <v>79</v>
      </c>
      <c r="EV6" s="31"/>
      <c r="EW6" s="52"/>
      <c r="EX6" s="37">
        <v>0.0008698</v>
      </c>
      <c r="EY6" s="53"/>
      <c r="EZ6" s="46" t="s">
        <v>79</v>
      </c>
      <c r="FA6" s="46" t="s">
        <v>79</v>
      </c>
      <c r="FC6" s="52"/>
      <c r="FD6" s="37">
        <v>0.0019505</v>
      </c>
      <c r="FE6" s="53"/>
      <c r="FF6" s="46" t="s">
        <v>79</v>
      </c>
      <c r="FG6" s="46" t="s">
        <v>79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80</v>
      </c>
      <c r="G7" s="46" t="s">
        <v>81</v>
      </c>
      <c r="I7" s="46" t="s">
        <v>15</v>
      </c>
      <c r="J7" s="46" t="s">
        <v>16</v>
      </c>
      <c r="K7" s="46" t="s">
        <v>4</v>
      </c>
      <c r="L7" s="46" t="s">
        <v>80</v>
      </c>
      <c r="M7" s="46" t="s">
        <v>81</v>
      </c>
      <c r="O7" s="46" t="s">
        <v>15</v>
      </c>
      <c r="P7" s="46" t="s">
        <v>16</v>
      </c>
      <c r="Q7" s="46" t="s">
        <v>4</v>
      </c>
      <c r="R7" s="46" t="s">
        <v>80</v>
      </c>
      <c r="S7" s="46" t="s">
        <v>81</v>
      </c>
      <c r="U7" s="30" t="s">
        <v>15</v>
      </c>
      <c r="V7" s="30" t="s">
        <v>16</v>
      </c>
      <c r="W7" s="30" t="s">
        <v>4</v>
      </c>
      <c r="X7" s="46" t="s">
        <v>80</v>
      </c>
      <c r="Y7" s="46" t="s">
        <v>81</v>
      </c>
      <c r="AA7" s="30" t="s">
        <v>15</v>
      </c>
      <c r="AB7" s="30" t="s">
        <v>16</v>
      </c>
      <c r="AC7" s="30" t="s">
        <v>4</v>
      </c>
      <c r="AD7" s="46" t="s">
        <v>80</v>
      </c>
      <c r="AE7" s="46" t="s">
        <v>81</v>
      </c>
      <c r="AG7" s="30" t="s">
        <v>15</v>
      </c>
      <c r="AH7" s="30" t="s">
        <v>16</v>
      </c>
      <c r="AI7" s="30" t="s">
        <v>4</v>
      </c>
      <c r="AJ7" s="46" t="s">
        <v>80</v>
      </c>
      <c r="AK7" s="46" t="s">
        <v>81</v>
      </c>
      <c r="AM7" s="30" t="s">
        <v>15</v>
      </c>
      <c r="AN7" s="30" t="s">
        <v>16</v>
      </c>
      <c r="AO7" s="30" t="s">
        <v>4</v>
      </c>
      <c r="AP7" s="46" t="s">
        <v>80</v>
      </c>
      <c r="AQ7" s="46" t="s">
        <v>81</v>
      </c>
      <c r="AR7" s="35"/>
      <c r="AS7" s="30" t="s">
        <v>15</v>
      </c>
      <c r="AT7" s="30" t="s">
        <v>16</v>
      </c>
      <c r="AU7" s="30" t="s">
        <v>4</v>
      </c>
      <c r="AV7" s="46" t="s">
        <v>80</v>
      </c>
      <c r="AW7" s="46" t="s">
        <v>81</v>
      </c>
      <c r="AX7" s="35"/>
      <c r="AY7" s="30" t="s">
        <v>15</v>
      </c>
      <c r="AZ7" s="30" t="s">
        <v>16</v>
      </c>
      <c r="BA7" s="30" t="s">
        <v>4</v>
      </c>
      <c r="BB7" s="46" t="s">
        <v>80</v>
      </c>
      <c r="BC7" s="46" t="s">
        <v>81</v>
      </c>
      <c r="BD7" s="35"/>
      <c r="BE7" s="30" t="s">
        <v>15</v>
      </c>
      <c r="BF7" s="30" t="s">
        <v>16</v>
      </c>
      <c r="BG7" s="30" t="s">
        <v>4</v>
      </c>
      <c r="BH7" s="46" t="s">
        <v>80</v>
      </c>
      <c r="BI7" s="46" t="s">
        <v>81</v>
      </c>
      <c r="BK7" s="30" t="s">
        <v>15</v>
      </c>
      <c r="BL7" s="30" t="s">
        <v>16</v>
      </c>
      <c r="BM7" s="30" t="s">
        <v>4</v>
      </c>
      <c r="BN7" s="46" t="s">
        <v>80</v>
      </c>
      <c r="BO7" s="46" t="s">
        <v>81</v>
      </c>
      <c r="BQ7" s="30" t="s">
        <v>15</v>
      </c>
      <c r="BR7" s="30" t="s">
        <v>16</v>
      </c>
      <c r="BS7" s="30" t="s">
        <v>4</v>
      </c>
      <c r="BT7" s="46" t="s">
        <v>80</v>
      </c>
      <c r="BU7" s="46" t="s">
        <v>81</v>
      </c>
      <c r="BW7" s="30" t="s">
        <v>15</v>
      </c>
      <c r="BX7" s="30" t="s">
        <v>16</v>
      </c>
      <c r="BY7" s="30" t="s">
        <v>4</v>
      </c>
      <c r="BZ7" s="46" t="s">
        <v>80</v>
      </c>
      <c r="CA7" s="46" t="s">
        <v>81</v>
      </c>
      <c r="CC7" s="30" t="s">
        <v>15</v>
      </c>
      <c r="CD7" s="30" t="s">
        <v>16</v>
      </c>
      <c r="CE7" s="30" t="s">
        <v>4</v>
      </c>
      <c r="CF7" s="46" t="s">
        <v>80</v>
      </c>
      <c r="CG7" s="46" t="s">
        <v>81</v>
      </c>
      <c r="CI7" s="30" t="s">
        <v>15</v>
      </c>
      <c r="CJ7" s="30" t="s">
        <v>16</v>
      </c>
      <c r="CK7" s="30" t="s">
        <v>4</v>
      </c>
      <c r="CL7" s="46" t="s">
        <v>80</v>
      </c>
      <c r="CM7" s="46" t="s">
        <v>81</v>
      </c>
      <c r="CN7" s="35"/>
      <c r="CO7" s="30" t="s">
        <v>15</v>
      </c>
      <c r="CP7" s="30" t="s">
        <v>16</v>
      </c>
      <c r="CQ7" s="30" t="s">
        <v>4</v>
      </c>
      <c r="CR7" s="46" t="s">
        <v>80</v>
      </c>
      <c r="CS7" s="46" t="s">
        <v>81</v>
      </c>
      <c r="CU7" s="30" t="s">
        <v>15</v>
      </c>
      <c r="CV7" s="30" t="s">
        <v>16</v>
      </c>
      <c r="CW7" s="30" t="s">
        <v>4</v>
      </c>
      <c r="CX7" s="46" t="s">
        <v>80</v>
      </c>
      <c r="CY7" s="46" t="s">
        <v>81</v>
      </c>
      <c r="CZ7" s="35"/>
      <c r="DA7" s="79" t="s">
        <v>15</v>
      </c>
      <c r="DB7" s="79" t="s">
        <v>16</v>
      </c>
      <c r="DC7" s="79" t="s">
        <v>4</v>
      </c>
      <c r="DD7" s="75" t="s">
        <v>80</v>
      </c>
      <c r="DE7" s="75" t="s">
        <v>81</v>
      </c>
      <c r="DF7" s="35"/>
      <c r="DG7" s="30" t="s">
        <v>15</v>
      </c>
      <c r="DH7" s="30" t="s">
        <v>16</v>
      </c>
      <c r="DI7" s="30" t="s">
        <v>4</v>
      </c>
      <c r="DJ7" s="46" t="s">
        <v>80</v>
      </c>
      <c r="DK7" s="46" t="s">
        <v>81</v>
      </c>
      <c r="DM7" s="30" t="s">
        <v>15</v>
      </c>
      <c r="DN7" s="30" t="s">
        <v>16</v>
      </c>
      <c r="DO7" s="30" t="s">
        <v>4</v>
      </c>
      <c r="DP7" s="46" t="s">
        <v>80</v>
      </c>
      <c r="DQ7" s="46" t="s">
        <v>81</v>
      </c>
      <c r="DS7" s="30" t="s">
        <v>15</v>
      </c>
      <c r="DT7" s="30" t="s">
        <v>16</v>
      </c>
      <c r="DU7" s="30" t="s">
        <v>4</v>
      </c>
      <c r="DV7" s="46" t="s">
        <v>80</v>
      </c>
      <c r="DW7" s="46" t="s">
        <v>81</v>
      </c>
      <c r="DY7" s="30" t="s">
        <v>15</v>
      </c>
      <c r="DZ7" s="30" t="s">
        <v>16</v>
      </c>
      <c r="EA7" s="30" t="s">
        <v>4</v>
      </c>
      <c r="EB7" s="46" t="s">
        <v>80</v>
      </c>
      <c r="EC7" s="46" t="s">
        <v>81</v>
      </c>
      <c r="EE7" s="30" t="s">
        <v>15</v>
      </c>
      <c r="EF7" s="30" t="s">
        <v>16</v>
      </c>
      <c r="EG7" s="30" t="s">
        <v>4</v>
      </c>
      <c r="EH7" s="46" t="s">
        <v>80</v>
      </c>
      <c r="EI7" s="46" t="s">
        <v>81</v>
      </c>
      <c r="EJ7" s="35"/>
      <c r="EK7" s="30" t="s">
        <v>15</v>
      </c>
      <c r="EL7" s="30" t="s">
        <v>16</v>
      </c>
      <c r="EM7" s="30" t="s">
        <v>4</v>
      </c>
      <c r="EN7" s="46" t="s">
        <v>80</v>
      </c>
      <c r="EO7" s="46" t="s">
        <v>81</v>
      </c>
      <c r="EP7" s="35"/>
      <c r="EQ7" s="30" t="s">
        <v>15</v>
      </c>
      <c r="ER7" s="30" t="s">
        <v>16</v>
      </c>
      <c r="ES7" s="30" t="s">
        <v>4</v>
      </c>
      <c r="ET7" s="46" t="s">
        <v>80</v>
      </c>
      <c r="EU7" s="46" t="s">
        <v>81</v>
      </c>
      <c r="EV7" s="35"/>
      <c r="EW7" s="30" t="s">
        <v>15</v>
      </c>
      <c r="EX7" s="30" t="s">
        <v>16</v>
      </c>
      <c r="EY7" s="30" t="s">
        <v>4</v>
      </c>
      <c r="EZ7" s="46" t="s">
        <v>80</v>
      </c>
      <c r="FA7" s="46" t="s">
        <v>81</v>
      </c>
      <c r="FB7" s="23"/>
      <c r="FC7" s="30" t="s">
        <v>15</v>
      </c>
      <c r="FD7" s="30" t="s">
        <v>16</v>
      </c>
      <c r="FE7" s="30" t="s">
        <v>4</v>
      </c>
      <c r="FF7" s="46" t="s">
        <v>80</v>
      </c>
      <c r="FG7" s="46" t="s">
        <v>81</v>
      </c>
    </row>
    <row r="8" spans="1:173" ht="12.75">
      <c r="A8" s="22">
        <v>43009</v>
      </c>
      <c r="C8" s="38"/>
      <c r="D8" s="38">
        <v>591053</v>
      </c>
      <c r="E8" s="41">
        <f aca="true" t="shared" si="0" ref="E8:E15">C8+D8</f>
        <v>591053</v>
      </c>
      <c r="F8" s="41">
        <f>269338-3</f>
        <v>269335</v>
      </c>
      <c r="G8" s="41">
        <f>44635-2</f>
        <v>44633</v>
      </c>
      <c r="I8" s="41">
        <f aca="true" t="shared" si="1" ref="I8:J15">EW8+FC8</f>
        <v>0</v>
      </c>
      <c r="J8" s="47">
        <f t="shared" si="1"/>
        <v>1666.9467759</v>
      </c>
      <c r="K8" s="41">
        <f aca="true" t="shared" si="2" ref="K8:K15">I8+J8</f>
        <v>1666.9467759</v>
      </c>
      <c r="L8" s="41">
        <f aca="true" t="shared" si="3" ref="L8:M15">EZ8+FF8</f>
        <v>759.6055005000001</v>
      </c>
      <c r="M8" s="41">
        <f t="shared" si="3"/>
        <v>125.8784499</v>
      </c>
      <c r="O8" s="38"/>
      <c r="P8" s="38">
        <f aca="true" t="shared" si="4" ref="P8:P15">V8+AB8+AH8+AN8+AT8+AZ8+BF8+BL8+BR8+BX8+CD8+CJ8+CP8+CV8+DB8+DH8+DN8+DT8+DZ8+EF8+ER8+EL8</f>
        <v>589386.0532241</v>
      </c>
      <c r="Q8" s="38">
        <f aca="true" t="shared" si="5" ref="Q8:Q15">O8+P8</f>
        <v>589386.0532241</v>
      </c>
      <c r="R8" s="38">
        <f aca="true" t="shared" si="6" ref="R8:S15">X8+AD8+AJ8+AP8+AV8+BB8+BH8+BN8+BT8+BZ8+CF8+CL8+CR8+CX8+DD8+DJ8+DP8+DV8+EB8+EH8+EN8+ET8</f>
        <v>268575.3944995</v>
      </c>
      <c r="S8" s="38">
        <f t="shared" si="6"/>
        <v>44507.12155009999</v>
      </c>
      <c r="U8" s="55"/>
      <c r="V8" s="55">
        <f aca="true" t="shared" si="7" ref="V8:V15">D8*15.05006/100</f>
        <v>88953.8311318</v>
      </c>
      <c r="W8" s="38">
        <f aca="true" t="shared" si="8" ref="W8:W15">U8+V8</f>
        <v>88953.8311318</v>
      </c>
      <c r="X8" s="38">
        <f aca="true" t="shared" si="9" ref="X8:X15">V$6*$F8</f>
        <v>40535.079101</v>
      </c>
      <c r="Y8" s="38">
        <f aca="true" t="shared" si="10" ref="Y8:Y15">V$6*$G8</f>
        <v>6717.2932798</v>
      </c>
      <c r="Z8" s="38"/>
      <c r="AA8" s="38"/>
      <c r="AB8" s="38">
        <f aca="true" t="shared" si="11" ref="AB8:AB15">D8*16.92584/100</f>
        <v>100040.6850952</v>
      </c>
      <c r="AC8" s="38">
        <f aca="true" t="shared" si="12" ref="AC8:AC15">AA8+AB8</f>
        <v>100040.6850952</v>
      </c>
      <c r="AD8" s="38">
        <f aca="true" t="shared" si="13" ref="AD8:AD15">AB$6*$F8</f>
        <v>45587.211164</v>
      </c>
      <c r="AE8" s="38">
        <f aca="true" t="shared" si="14" ref="AE8:AE15">AB$6*$G8</f>
        <v>7554.5101672</v>
      </c>
      <c r="AF8" s="38"/>
      <c r="AG8" s="38"/>
      <c r="AH8" s="38">
        <f aca="true" t="shared" si="15" ref="AH8:AH15">D8*9.75766/100</f>
        <v>57672.9421598</v>
      </c>
      <c r="AI8" s="38">
        <f aca="true" t="shared" si="16" ref="AI8:AI15">AG8+AH8</f>
        <v>57672.9421598</v>
      </c>
      <c r="AJ8" s="38">
        <f aca="true" t="shared" si="17" ref="AJ8:AJ15">AH$6*$F8</f>
        <v>26280.793561</v>
      </c>
      <c r="AK8" s="38">
        <f aca="true" t="shared" si="18" ref="AK8:AK15">AH$6*$G8</f>
        <v>4355.1363878</v>
      </c>
      <c r="AL8" s="38"/>
      <c r="AM8" s="38"/>
      <c r="AN8" s="38">
        <f aca="true" t="shared" si="19" ref="AN8:AN15">D8*7.48131/100</f>
        <v>44218.50719429999</v>
      </c>
      <c r="AO8" s="38">
        <f aca="true" t="shared" si="20" ref="AO8:AO15">AM8+AN8</f>
        <v>44218.50719429999</v>
      </c>
      <c r="AP8" s="38">
        <f aca="true" t="shared" si="21" ref="AP8:AP15">AN$6*$F8</f>
        <v>20149.7862885</v>
      </c>
      <c r="AQ8" s="38">
        <f aca="true" t="shared" si="22" ref="AQ8:AQ15">AN$6*$G8</f>
        <v>3339.1330922999996</v>
      </c>
      <c r="AR8" s="38"/>
      <c r="AS8" s="38"/>
      <c r="AT8" s="38">
        <f aca="true" t="shared" si="23" ref="AT8:AT15">D8*0.21612/100</f>
        <v>1277.3837436000001</v>
      </c>
      <c r="AU8" s="38">
        <f aca="true" t="shared" si="24" ref="AU8:AU15">AS8+AT8</f>
        <v>1277.3837436000001</v>
      </c>
      <c r="AV8" s="38">
        <f aca="true" t="shared" si="25" ref="AV8:AV15">AT$6*$F8</f>
        <v>582.0868019999999</v>
      </c>
      <c r="AW8" s="38">
        <f aca="true" t="shared" si="26" ref="AW8:AW15">AT$6*$G8</f>
        <v>96.4608396</v>
      </c>
      <c r="AX8" s="38"/>
      <c r="AY8" s="38"/>
      <c r="AZ8" s="38">
        <f aca="true" t="shared" si="27" ref="AZ8:AZ15">D8*0.01906/100</f>
        <v>112.6547018</v>
      </c>
      <c r="BA8" s="38">
        <f aca="true" t="shared" si="28" ref="BA8:BA15">AY8+AZ8</f>
        <v>112.6547018</v>
      </c>
      <c r="BB8" s="38">
        <f aca="true" t="shared" si="29" ref="BB8:BB15">AZ$6*$F8</f>
        <v>51.335251</v>
      </c>
      <c r="BC8" s="38">
        <f aca="true" t="shared" si="30" ref="BC8:BC15">AZ$6*$G8</f>
        <v>8.5070498</v>
      </c>
      <c r="BD8" s="38"/>
      <c r="BE8" s="38"/>
      <c r="BF8" s="38">
        <f aca="true" t="shared" si="31" ref="BF8:BF15">D8*0.01369/100</f>
        <v>80.9151557</v>
      </c>
      <c r="BG8" s="38">
        <f aca="true" t="shared" si="32" ref="BG8:BG15">BE8+BF8</f>
        <v>80.9151557</v>
      </c>
      <c r="BH8" s="38">
        <f aca="true" t="shared" si="33" ref="BH8:BH15">BF$6*$F8</f>
        <v>36.8719615</v>
      </c>
      <c r="BI8" s="38">
        <f aca="true" t="shared" si="34" ref="BI8:BI15">BF$6*$G8</f>
        <v>6.1102577</v>
      </c>
      <c r="BJ8" s="38"/>
      <c r="BK8" s="38"/>
      <c r="BL8" s="38">
        <f aca="true" t="shared" si="35" ref="BL8:BL15">D8*0.23757/100</f>
        <v>1404.1646121</v>
      </c>
      <c r="BM8" s="38">
        <f aca="true" t="shared" si="36" ref="BM8:BM15">BK8+BL8</f>
        <v>1404.1646121</v>
      </c>
      <c r="BN8" s="38">
        <f aca="true" t="shared" si="37" ref="BN8:BN15">BL$6*$F8</f>
        <v>639.8591595</v>
      </c>
      <c r="BO8" s="38">
        <f aca="true" t="shared" si="38" ref="BO8:BO15">BL$6*$G8</f>
        <v>106.0346181</v>
      </c>
      <c r="BP8" s="38"/>
      <c r="BQ8" s="38"/>
      <c r="BR8" s="38">
        <f aca="true" t="shared" si="39" ref="BR8:BR15">D8*5.91225/100</f>
        <v>34944.5309925</v>
      </c>
      <c r="BS8" s="38">
        <f aca="true" t="shared" si="40" ref="BS8:BS15">BQ8+BR8</f>
        <v>34944.5309925</v>
      </c>
      <c r="BT8" s="38">
        <f aca="true" t="shared" si="41" ref="BT8:BT15">BR$6*$F8</f>
        <v>15923.7585375</v>
      </c>
      <c r="BU8" s="38">
        <f aca="true" t="shared" si="42" ref="BU8:BU15">BR$6*$G8</f>
        <v>2638.8145425000002</v>
      </c>
      <c r="BV8" s="38"/>
      <c r="BW8" s="38"/>
      <c r="BX8" s="38">
        <f aca="true" t="shared" si="43" ref="BX8:BX15">D8*1.80534/100</f>
        <v>10670.5162302</v>
      </c>
      <c r="BY8" s="38">
        <f aca="true" t="shared" si="44" ref="BY8:BY15">BW8+BX8</f>
        <v>10670.5162302</v>
      </c>
      <c r="BZ8" s="38">
        <f aca="true" t="shared" si="45" ref="BZ8:BZ15">BX$6*$F8</f>
        <v>4862.412489</v>
      </c>
      <c r="CA8" s="38">
        <f aca="true" t="shared" si="46" ref="CA8:CA15">BX$6*$G8</f>
        <v>805.7774022</v>
      </c>
      <c r="CB8" s="38"/>
      <c r="CC8" s="38"/>
      <c r="CD8" s="38">
        <f aca="true" t="shared" si="47" ref="CD8:CD15">D8*5.15053/100</f>
        <v>30442.3620809</v>
      </c>
      <c r="CE8" s="38">
        <f aca="true" t="shared" si="48" ref="CE8:CE15">CC8+CD8</f>
        <v>30442.3620809</v>
      </c>
      <c r="CF8" s="38">
        <f aca="true" t="shared" si="49" ref="CF8:CF15">CD$6*$F8</f>
        <v>13872.1799755</v>
      </c>
      <c r="CG8" s="38">
        <f aca="true" t="shared" si="50" ref="CG8:CG15">CD$6*$G8</f>
        <v>2298.8360549</v>
      </c>
      <c r="CH8" s="38"/>
      <c r="CI8" s="38"/>
      <c r="CJ8" s="38">
        <f aca="true" t="shared" si="51" ref="CJ8:CJ15">D8*14.16042/100</f>
        <v>83695.5872226</v>
      </c>
      <c r="CK8" s="38">
        <f aca="true" t="shared" si="52" ref="CK8:CK15">CI8+CJ8</f>
        <v>83695.5872226</v>
      </c>
      <c r="CL8" s="38">
        <f aca="true" t="shared" si="53" ref="CL8:CL15">CJ$6*$F8</f>
        <v>38138.967207</v>
      </c>
      <c r="CM8" s="38">
        <f aca="true" t="shared" si="54" ref="CM8:CM15">CJ$6*$G8</f>
        <v>6320.2202586</v>
      </c>
      <c r="CN8" s="38"/>
      <c r="CO8" s="38"/>
      <c r="CP8" s="38">
        <f aca="true" t="shared" si="55" ref="CP8:CP15">D8*6.15602/100</f>
        <v>36385.3408906</v>
      </c>
      <c r="CQ8" s="38">
        <f aca="true" t="shared" si="56" ref="CQ8:CQ15">CO8+CP8</f>
        <v>36385.3408906</v>
      </c>
      <c r="CR8" s="38">
        <f aca="true" t="shared" si="57" ref="CR8:CR15">CP$6*$F8</f>
        <v>16580.316467</v>
      </c>
      <c r="CS8" s="38">
        <f aca="true" t="shared" si="58" ref="CS8:CS15">CP$6*$G8</f>
        <v>2747.6164066</v>
      </c>
      <c r="CT8" s="38"/>
      <c r="CU8" s="38"/>
      <c r="CV8" s="38">
        <f aca="true" t="shared" si="59" ref="CV8:CV15">D8*5.37414/100</f>
        <v>31764.015694199996</v>
      </c>
      <c r="CW8" s="38">
        <f aca="true" t="shared" si="60" ref="CW8:CW15">CU8+CV8</f>
        <v>31764.015694199996</v>
      </c>
      <c r="CX8" s="38">
        <f aca="true" t="shared" si="61" ref="CX8:CX15">CV$6*$F8</f>
        <v>14474.439969000001</v>
      </c>
      <c r="CY8" s="38">
        <f aca="true" t="shared" si="62" ref="CY8:CY15">CV$6*$G8</f>
        <v>2398.6399062</v>
      </c>
      <c r="CZ8" s="38"/>
      <c r="DA8" s="80"/>
      <c r="DB8" s="80">
        <f aca="true" t="shared" si="63" ref="DB8:DB15">D8*0.69717/100</f>
        <v>4120.6442001</v>
      </c>
      <c r="DC8" s="80">
        <f aca="true" t="shared" si="64" ref="DC8:DC15">DA8+DB8</f>
        <v>4120.6442001</v>
      </c>
      <c r="DD8" s="38">
        <f aca="true" t="shared" si="65" ref="DD8:DD15">DB$6*$F8</f>
        <v>1877.7228195</v>
      </c>
      <c r="DE8" s="38">
        <f aca="true" t="shared" si="66" ref="DE8:DE15">DB$6*$G8</f>
        <v>311.1678861</v>
      </c>
      <c r="DF8" s="38"/>
      <c r="DG8" s="38"/>
      <c r="DH8" s="38">
        <f aca="true" t="shared" si="67" ref="DH8:DH15">D8*0.02011/100</f>
        <v>118.8607583</v>
      </c>
      <c r="DI8" s="38">
        <f aca="true" t="shared" si="68" ref="DI8:DI15">DG8+DH8</f>
        <v>118.8607583</v>
      </c>
      <c r="DJ8" s="38">
        <f aca="true" t="shared" si="69" ref="DJ8:DJ15">DH$6*$F8</f>
        <v>54.1632685</v>
      </c>
      <c r="DK8" s="38">
        <f aca="true" t="shared" si="70" ref="DK8:DK15">DH$6*$G8</f>
        <v>8.975696300000001</v>
      </c>
      <c r="DL8" s="38"/>
      <c r="DM8" s="38"/>
      <c r="DN8" s="38">
        <f aca="true" t="shared" si="71" ref="DN8:DN15">D8*4.70981/100</f>
        <v>27837.4732993</v>
      </c>
      <c r="DO8" s="38">
        <f aca="true" t="shared" si="72" ref="DO8:DO15">DM8+DN8</f>
        <v>27837.4732993</v>
      </c>
      <c r="DP8" s="38">
        <f aca="true" t="shared" si="73" ref="DP8:DP15">DN$6*$F8</f>
        <v>12685.1667635</v>
      </c>
      <c r="DQ8" s="38">
        <f aca="true" t="shared" si="74" ref="DQ8:DQ15">DN$6*$G8</f>
        <v>2102.1294973</v>
      </c>
      <c r="DR8" s="38"/>
      <c r="DS8" s="38"/>
      <c r="DT8" s="38">
        <f aca="true" t="shared" si="75" ref="DT8:DT15">D8*0.28727/100</f>
        <v>1697.9179531000002</v>
      </c>
      <c r="DU8" s="38">
        <f aca="true" t="shared" si="76" ref="DU8:DU15">DS8+DT8</f>
        <v>1697.9179531000002</v>
      </c>
      <c r="DV8" s="38">
        <f aca="true" t="shared" si="77" ref="DV8:DV15">DT$6*$F8</f>
        <v>773.7186545000001</v>
      </c>
      <c r="DW8" s="38">
        <f aca="true" t="shared" si="78" ref="DW8:DW15">DT$6*$G8</f>
        <v>128.2172191</v>
      </c>
      <c r="DX8" s="38"/>
      <c r="DY8" s="38"/>
      <c r="DZ8" s="38">
        <f aca="true" t="shared" si="79" ref="DZ8:DZ15">D8*4.87421/100</f>
        <v>28809.1644313</v>
      </c>
      <c r="EA8" s="38">
        <f aca="true" t="shared" si="80" ref="EA8:EA15">DY8+DZ8</f>
        <v>28809.1644313</v>
      </c>
      <c r="EB8" s="38">
        <f aca="true" t="shared" si="81" ref="EB8:EB15">DZ$6*$F8</f>
        <v>13127.953503499999</v>
      </c>
      <c r="EC8" s="38">
        <f aca="true" t="shared" si="82" ref="EC8:EC15">DZ$6*$G8</f>
        <v>2175.5061493</v>
      </c>
      <c r="ED8" s="38"/>
      <c r="EE8" s="38"/>
      <c r="EF8" s="38">
        <f aca="true" t="shared" si="83" ref="EF8:EF15">D8*0.60754/100</f>
        <v>3590.8833962</v>
      </c>
      <c r="EG8" s="38">
        <f aca="true" t="shared" si="84" ref="EG8:EG15">EE8+EF8</f>
        <v>3590.8833962</v>
      </c>
      <c r="EH8" s="38">
        <f aca="true" t="shared" si="85" ref="EH8:EH15">EF$6*$F8</f>
        <v>1636.317859</v>
      </c>
      <c r="EI8" s="38">
        <f aca="true" t="shared" si="86" ref="EI8:EI15">EF$6*$G8</f>
        <v>271.1633282</v>
      </c>
      <c r="EJ8" s="38"/>
      <c r="EK8" s="38"/>
      <c r="EL8" s="38">
        <f aca="true" t="shared" si="87" ref="EL8:EL15">D8*0.26185/100</f>
        <v>1547.6722805</v>
      </c>
      <c r="EM8" s="38">
        <f aca="true" t="shared" si="88" ref="EM8:EM15">EK8+EL8</f>
        <v>1547.6722805</v>
      </c>
      <c r="EN8" s="38">
        <f aca="true" t="shared" si="89" ref="EN8:EN15">EL$6*$F8</f>
        <v>705.2536975</v>
      </c>
      <c r="EO8" s="38">
        <f aca="true" t="shared" si="90" ref="EO8:EO15">EL$6*$G8</f>
        <v>116.87151050000001</v>
      </c>
      <c r="EP8" s="38"/>
      <c r="EQ8" s="38"/>
      <c r="ER8" s="38"/>
      <c r="ES8" s="38"/>
      <c r="ET8" s="38"/>
      <c r="EU8" s="38"/>
      <c r="EV8" s="38"/>
      <c r="EW8" s="55">
        <f aca="true" t="shared" si="91" ref="EW8:EX15">C8*0.08698/100</f>
        <v>0</v>
      </c>
      <c r="EX8" s="55">
        <f t="shared" si="91"/>
        <v>514.0978994000001</v>
      </c>
      <c r="EY8" s="38">
        <f aca="true" t="shared" si="92" ref="EY8:EY15">EW8+EX8</f>
        <v>514.0978994000001</v>
      </c>
      <c r="EZ8" s="38">
        <f aca="true" t="shared" si="93" ref="EZ8:EZ15">EX$6*$F8</f>
        <v>234.267583</v>
      </c>
      <c r="FA8" s="38">
        <f aca="true" t="shared" si="94" ref="FA8:FA15">EX$6*$G8</f>
        <v>38.8217834</v>
      </c>
      <c r="FB8" s="38"/>
      <c r="FC8" s="38">
        <f aca="true" t="shared" si="95" ref="FC8:FD15">C8*0.19505/100</f>
        <v>0</v>
      </c>
      <c r="FD8" s="38">
        <f t="shared" si="95"/>
        <v>1152.8488765</v>
      </c>
      <c r="FE8" s="38">
        <f aca="true" t="shared" si="96" ref="FE8:FE15">FC8+FD8</f>
        <v>1152.8488765</v>
      </c>
      <c r="FF8" s="38">
        <f aca="true" t="shared" si="97" ref="FF8:FF15">FD$6*$F8</f>
        <v>525.3379175</v>
      </c>
      <c r="FG8" s="38">
        <f aca="true" t="shared" si="98" ref="FG8:FG15">FD$6*$G8</f>
        <v>87.0566665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</row>
    <row r="9" spans="1:173" ht="12.75">
      <c r="A9" s="56">
        <v>43191</v>
      </c>
      <c r="C9" s="38">
        <v>4365000</v>
      </c>
      <c r="D9" s="38">
        <v>470750</v>
      </c>
      <c r="E9" s="41">
        <f t="shared" si="0"/>
        <v>4835750</v>
      </c>
      <c r="F9" s="41">
        <v>269338</v>
      </c>
      <c r="G9" s="41">
        <v>44635</v>
      </c>
      <c r="I9" s="41">
        <f t="shared" si="1"/>
        <v>12310.6095</v>
      </c>
      <c r="J9" s="47">
        <f t="shared" si="1"/>
        <v>1327.6562250000002</v>
      </c>
      <c r="K9" s="41">
        <f t="shared" si="2"/>
        <v>13638.265725000001</v>
      </c>
      <c r="L9" s="41">
        <f t="shared" si="3"/>
        <v>759.6139614</v>
      </c>
      <c r="M9" s="41">
        <f t="shared" si="3"/>
        <v>125.88409050000001</v>
      </c>
      <c r="O9" s="38">
        <f aca="true" t="shared" si="99" ref="O9:O15">U9+AA9+AG9+AM9+AS9+AY9+BE9+BK9+BQ9+BW9+CC9+CI9+CO9+CU9+DA9+DG9+DM9+DS9+DY9+EE9+EQ9+EK9</f>
        <v>4352689.390500001</v>
      </c>
      <c r="P9" s="38">
        <f t="shared" si="4"/>
        <v>469422.3437750001</v>
      </c>
      <c r="Q9" s="38">
        <f t="shared" si="5"/>
        <v>4822111.734275001</v>
      </c>
      <c r="R9" s="38">
        <f t="shared" si="6"/>
        <v>268578.38603860006</v>
      </c>
      <c r="S9" s="38">
        <f t="shared" si="6"/>
        <v>44509.11590949998</v>
      </c>
      <c r="U9" s="55">
        <f>C9*15.05006/100</f>
        <v>656935.119</v>
      </c>
      <c r="V9" s="55">
        <f t="shared" si="7"/>
        <v>70848.15745</v>
      </c>
      <c r="W9" s="38">
        <f t="shared" si="8"/>
        <v>727783.27645</v>
      </c>
      <c r="X9" s="38">
        <f t="shared" si="9"/>
        <v>40535.530602800005</v>
      </c>
      <c r="Y9" s="38">
        <f t="shared" si="10"/>
        <v>6717.594281000001</v>
      </c>
      <c r="Z9" s="38"/>
      <c r="AA9" s="38">
        <f>C9*16.92584/100</f>
        <v>738812.9160000001</v>
      </c>
      <c r="AB9" s="38">
        <f t="shared" si="11"/>
        <v>79678.39180000001</v>
      </c>
      <c r="AC9" s="38">
        <f t="shared" si="12"/>
        <v>818491.3078000001</v>
      </c>
      <c r="AD9" s="38">
        <f t="shared" si="13"/>
        <v>45587.7189392</v>
      </c>
      <c r="AE9" s="38">
        <f t="shared" si="14"/>
        <v>7554.8486840000005</v>
      </c>
      <c r="AF9" s="38"/>
      <c r="AG9" s="38">
        <f>C9*9.75766/100</f>
        <v>425921.859</v>
      </c>
      <c r="AH9" s="38">
        <f t="shared" si="15"/>
        <v>45934.18444999999</v>
      </c>
      <c r="AI9" s="38">
        <f t="shared" si="16"/>
        <v>471856.04345</v>
      </c>
      <c r="AJ9" s="38">
        <f t="shared" si="17"/>
        <v>26281.086290799998</v>
      </c>
      <c r="AK9" s="38">
        <f t="shared" si="18"/>
        <v>4355.331541</v>
      </c>
      <c r="AL9" s="38"/>
      <c r="AM9" s="38">
        <f>C9*7.48131/100</f>
        <v>326559.1815</v>
      </c>
      <c r="AN9" s="38">
        <f t="shared" si="19"/>
        <v>35218.266825</v>
      </c>
      <c r="AO9" s="38">
        <f t="shared" si="20"/>
        <v>361777.448325</v>
      </c>
      <c r="AP9" s="38">
        <f t="shared" si="21"/>
        <v>20150.0107278</v>
      </c>
      <c r="AQ9" s="38">
        <f t="shared" si="22"/>
        <v>3339.2827184999996</v>
      </c>
      <c r="AR9" s="38"/>
      <c r="AS9" s="38">
        <f>C9*0.21612/100</f>
        <v>9433.638</v>
      </c>
      <c r="AT9" s="38">
        <f t="shared" si="23"/>
        <v>1017.3849</v>
      </c>
      <c r="AU9" s="38">
        <f t="shared" si="24"/>
        <v>10451.0229</v>
      </c>
      <c r="AV9" s="38">
        <f t="shared" si="25"/>
        <v>582.0932856</v>
      </c>
      <c r="AW9" s="38">
        <f t="shared" si="26"/>
        <v>96.46516199999999</v>
      </c>
      <c r="AX9" s="38"/>
      <c r="AY9" s="38">
        <f>C9*0.01906/100</f>
        <v>831.969</v>
      </c>
      <c r="AZ9" s="38">
        <f t="shared" si="27"/>
        <v>89.72495</v>
      </c>
      <c r="BA9" s="38">
        <f t="shared" si="28"/>
        <v>921.6939500000001</v>
      </c>
      <c r="BB9" s="38">
        <f t="shared" si="29"/>
        <v>51.3358228</v>
      </c>
      <c r="BC9" s="38">
        <f t="shared" si="30"/>
        <v>8.507431</v>
      </c>
      <c r="BD9" s="38"/>
      <c r="BE9" s="38">
        <f>C9*0.01369/100</f>
        <v>597.5685000000001</v>
      </c>
      <c r="BF9" s="38">
        <f t="shared" si="31"/>
        <v>64.445675</v>
      </c>
      <c r="BG9" s="38">
        <f t="shared" si="32"/>
        <v>662.014175</v>
      </c>
      <c r="BH9" s="38">
        <f t="shared" si="33"/>
        <v>36.8723722</v>
      </c>
      <c r="BI9" s="38">
        <f t="shared" si="34"/>
        <v>6.1105315</v>
      </c>
      <c r="BJ9" s="38"/>
      <c r="BK9" s="38">
        <f>C9*0.23757/100</f>
        <v>10369.9305</v>
      </c>
      <c r="BL9" s="38">
        <f t="shared" si="35"/>
        <v>1118.360775</v>
      </c>
      <c r="BM9" s="38">
        <f t="shared" si="36"/>
        <v>11488.291275</v>
      </c>
      <c r="BN9" s="38">
        <f t="shared" si="37"/>
        <v>639.8662866000001</v>
      </c>
      <c r="BO9" s="38">
        <f t="shared" si="38"/>
        <v>106.0393695</v>
      </c>
      <c r="BP9" s="38"/>
      <c r="BQ9" s="38">
        <f>C9*5.91225/100</f>
        <v>258069.7125</v>
      </c>
      <c r="BR9" s="38">
        <f t="shared" si="39"/>
        <v>27831.916875</v>
      </c>
      <c r="BS9" s="38">
        <f t="shared" si="40"/>
        <v>285901.629375</v>
      </c>
      <c r="BT9" s="38">
        <f t="shared" si="41"/>
        <v>15923.935905</v>
      </c>
      <c r="BU9" s="38">
        <f t="shared" si="42"/>
        <v>2638.9327875</v>
      </c>
      <c r="BV9" s="38"/>
      <c r="BW9" s="38">
        <f>C9*1.80534/100</f>
        <v>78803.091</v>
      </c>
      <c r="BX9" s="38">
        <f t="shared" si="43"/>
        <v>8498.63805</v>
      </c>
      <c r="BY9" s="38">
        <f t="shared" si="44"/>
        <v>87301.72905</v>
      </c>
      <c r="BZ9" s="38">
        <f t="shared" si="45"/>
        <v>4862.466649200001</v>
      </c>
      <c r="CA9" s="38">
        <f t="shared" si="46"/>
        <v>805.8135090000001</v>
      </c>
      <c r="CB9" s="38"/>
      <c r="CC9" s="38">
        <f>C9*5.15053/100</f>
        <v>224820.6345</v>
      </c>
      <c r="CD9" s="38">
        <f t="shared" si="47"/>
        <v>24246.119975</v>
      </c>
      <c r="CE9" s="38">
        <f t="shared" si="48"/>
        <v>249066.754475</v>
      </c>
      <c r="CF9" s="38">
        <f t="shared" si="49"/>
        <v>13872.334491399999</v>
      </c>
      <c r="CG9" s="38">
        <f t="shared" si="50"/>
        <v>2298.9390654999997</v>
      </c>
      <c r="CH9" s="38"/>
      <c r="CI9" s="38">
        <f>C9*14.16042/100</f>
        <v>618102.3330000001</v>
      </c>
      <c r="CJ9" s="38">
        <f t="shared" si="51"/>
        <v>66660.17715</v>
      </c>
      <c r="CK9" s="38">
        <f t="shared" si="52"/>
        <v>684762.5101500001</v>
      </c>
      <c r="CL9" s="38">
        <f t="shared" si="53"/>
        <v>38139.3920196</v>
      </c>
      <c r="CM9" s="38">
        <f t="shared" si="54"/>
        <v>6320.5034670000005</v>
      </c>
      <c r="CN9" s="38"/>
      <c r="CO9" s="38">
        <f>C9*6.15602/100</f>
        <v>268710.273</v>
      </c>
      <c r="CP9" s="38">
        <f t="shared" si="55"/>
        <v>28979.46415</v>
      </c>
      <c r="CQ9" s="38">
        <f t="shared" si="56"/>
        <v>297689.73715</v>
      </c>
      <c r="CR9" s="38">
        <f t="shared" si="57"/>
        <v>16580.5011476</v>
      </c>
      <c r="CS9" s="38">
        <f t="shared" si="58"/>
        <v>2747.739527</v>
      </c>
      <c r="CT9" s="38"/>
      <c r="CU9" s="38">
        <f>C9*5.37414/100</f>
        <v>234581.21099999998</v>
      </c>
      <c r="CV9" s="38">
        <f t="shared" si="59"/>
        <v>25298.764049999998</v>
      </c>
      <c r="CW9" s="38">
        <f t="shared" si="60"/>
        <v>259879.97504999998</v>
      </c>
      <c r="CX9" s="38">
        <f t="shared" si="61"/>
        <v>14474.6011932</v>
      </c>
      <c r="CY9" s="38">
        <f t="shared" si="62"/>
        <v>2398.747389</v>
      </c>
      <c r="CZ9" s="38"/>
      <c r="DA9" s="80">
        <f>C9*0.69717/100</f>
        <v>30431.4705</v>
      </c>
      <c r="DB9" s="80">
        <f t="shared" si="63"/>
        <v>3281.9277749999997</v>
      </c>
      <c r="DC9" s="80">
        <f t="shared" si="64"/>
        <v>33713.398275</v>
      </c>
      <c r="DD9" s="38">
        <f t="shared" si="65"/>
        <v>1877.7437346</v>
      </c>
      <c r="DE9" s="38">
        <f t="shared" si="66"/>
        <v>311.1818295</v>
      </c>
      <c r="DF9" s="38"/>
      <c r="DG9" s="38">
        <f>C9*0.02011/100</f>
        <v>877.8014999999999</v>
      </c>
      <c r="DH9" s="38">
        <f t="shared" si="67"/>
        <v>94.667825</v>
      </c>
      <c r="DI9" s="38">
        <f t="shared" si="68"/>
        <v>972.4693249999999</v>
      </c>
      <c r="DJ9" s="38">
        <f t="shared" si="69"/>
        <v>54.1638718</v>
      </c>
      <c r="DK9" s="38">
        <f t="shared" si="70"/>
        <v>8.9760985</v>
      </c>
      <c r="DL9" s="38"/>
      <c r="DM9" s="38">
        <f>C9*4.70981/100</f>
        <v>205583.20649999997</v>
      </c>
      <c r="DN9" s="38">
        <f t="shared" si="71"/>
        <v>22171.430575000002</v>
      </c>
      <c r="DO9" s="38">
        <f t="shared" si="72"/>
        <v>227754.63707499998</v>
      </c>
      <c r="DP9" s="38">
        <f t="shared" si="73"/>
        <v>12685.308057799999</v>
      </c>
      <c r="DQ9" s="38">
        <f t="shared" si="74"/>
        <v>2102.2236935</v>
      </c>
      <c r="DR9" s="38"/>
      <c r="DS9" s="38">
        <f>C9*0.28727/100</f>
        <v>12539.335500000001</v>
      </c>
      <c r="DT9" s="38">
        <f t="shared" si="75"/>
        <v>1352.323525</v>
      </c>
      <c r="DU9" s="38">
        <f t="shared" si="76"/>
        <v>13891.659025</v>
      </c>
      <c r="DV9" s="38">
        <f t="shared" si="77"/>
        <v>773.7272726</v>
      </c>
      <c r="DW9" s="38">
        <f t="shared" si="78"/>
        <v>128.22296450000002</v>
      </c>
      <c r="DX9" s="38"/>
      <c r="DY9" s="38">
        <f>C9*4.87421/100</f>
        <v>212759.2665</v>
      </c>
      <c r="DZ9" s="38">
        <f t="shared" si="79"/>
        <v>22945.343575</v>
      </c>
      <c r="EA9" s="38">
        <f t="shared" si="80"/>
        <v>235704.610075</v>
      </c>
      <c r="EB9" s="38">
        <f t="shared" si="81"/>
        <v>13128.099729799998</v>
      </c>
      <c r="EC9" s="38">
        <f t="shared" si="82"/>
        <v>2175.6036335</v>
      </c>
      <c r="ED9" s="38"/>
      <c r="EE9" s="38">
        <f>C9*0.60754/100</f>
        <v>26519.121</v>
      </c>
      <c r="EF9" s="38">
        <f t="shared" si="83"/>
        <v>2859.9945499999994</v>
      </c>
      <c r="EG9" s="38">
        <f t="shared" si="84"/>
        <v>29379.11555</v>
      </c>
      <c r="EH9" s="38">
        <f t="shared" si="85"/>
        <v>1636.3360852</v>
      </c>
      <c r="EI9" s="38">
        <f t="shared" si="86"/>
        <v>271.175479</v>
      </c>
      <c r="EJ9" s="38"/>
      <c r="EK9" s="38">
        <f>C9*0.26185/100</f>
        <v>11429.752500000002</v>
      </c>
      <c r="EL9" s="38">
        <f t="shared" si="87"/>
        <v>1232.658875</v>
      </c>
      <c r="EM9" s="38">
        <f t="shared" si="88"/>
        <v>12662.411375000003</v>
      </c>
      <c r="EN9" s="38">
        <f t="shared" si="89"/>
        <v>705.261553</v>
      </c>
      <c r="EO9" s="38">
        <f t="shared" si="90"/>
        <v>116.87674750000001</v>
      </c>
      <c r="EP9" s="38"/>
      <c r="EQ9" s="38"/>
      <c r="ER9" s="38"/>
      <c r="ES9" s="38"/>
      <c r="ET9" s="38"/>
      <c r="EU9" s="38"/>
      <c r="EV9" s="38"/>
      <c r="EW9" s="55">
        <f t="shared" si="91"/>
        <v>3796.677</v>
      </c>
      <c r="EX9" s="55">
        <f t="shared" si="91"/>
        <v>409.45835</v>
      </c>
      <c r="EY9" s="38">
        <f t="shared" si="92"/>
        <v>4206.1353500000005</v>
      </c>
      <c r="EZ9" s="38">
        <f t="shared" si="93"/>
        <v>234.2701924</v>
      </c>
      <c r="FA9" s="38">
        <f t="shared" si="94"/>
        <v>38.823523</v>
      </c>
      <c r="FB9" s="38"/>
      <c r="FC9" s="38">
        <f t="shared" si="95"/>
        <v>8513.9325</v>
      </c>
      <c r="FD9" s="38">
        <f t="shared" si="95"/>
        <v>918.1978750000001</v>
      </c>
      <c r="FE9" s="38">
        <f t="shared" si="96"/>
        <v>9432.130375</v>
      </c>
      <c r="FF9" s="38">
        <f t="shared" si="97"/>
        <v>525.343769</v>
      </c>
      <c r="FG9" s="38">
        <f t="shared" si="98"/>
        <v>87.0605675</v>
      </c>
      <c r="FH9" s="38"/>
      <c r="FI9" s="38"/>
      <c r="FJ9" s="38"/>
      <c r="FK9" s="38"/>
      <c r="FL9" s="38"/>
      <c r="FM9" s="38"/>
      <c r="FN9" s="38"/>
      <c r="FO9" s="38"/>
      <c r="FP9" s="38"/>
      <c r="FQ9" s="38"/>
    </row>
    <row r="10" spans="1:173" ht="12.75">
      <c r="A10" s="56">
        <v>43374</v>
      </c>
      <c r="C10" s="38"/>
      <c r="D10" s="38">
        <v>361625</v>
      </c>
      <c r="E10" s="41">
        <f t="shared" si="0"/>
        <v>361625</v>
      </c>
      <c r="F10" s="41">
        <v>269338</v>
      </c>
      <c r="G10" s="41">
        <v>44635</v>
      </c>
      <c r="I10" s="41">
        <f t="shared" si="1"/>
        <v>0</v>
      </c>
      <c r="J10" s="47">
        <f t="shared" si="1"/>
        <v>1019.8909875</v>
      </c>
      <c r="K10" s="41">
        <f t="shared" si="2"/>
        <v>1019.8909875</v>
      </c>
      <c r="L10" s="41">
        <f t="shared" si="3"/>
        <v>759.6139614</v>
      </c>
      <c r="M10" s="41">
        <f t="shared" si="3"/>
        <v>125.88409050000001</v>
      </c>
      <c r="O10" s="38"/>
      <c r="P10" s="38">
        <f t="shared" si="4"/>
        <v>360605.1090125</v>
      </c>
      <c r="Q10" s="38">
        <f t="shared" si="5"/>
        <v>360605.1090125</v>
      </c>
      <c r="R10" s="38">
        <f t="shared" si="6"/>
        <v>268578.38603860006</v>
      </c>
      <c r="S10" s="38">
        <f t="shared" si="6"/>
        <v>44509.11590949998</v>
      </c>
      <c r="U10" s="55"/>
      <c r="V10" s="55">
        <f t="shared" si="7"/>
        <v>54424.779474999996</v>
      </c>
      <c r="W10" s="38">
        <f t="shared" si="8"/>
        <v>54424.779474999996</v>
      </c>
      <c r="X10" s="38">
        <f t="shared" si="9"/>
        <v>40535.530602800005</v>
      </c>
      <c r="Y10" s="38">
        <f t="shared" si="10"/>
        <v>6717.594281000001</v>
      </c>
      <c r="Z10" s="38"/>
      <c r="AA10" s="38"/>
      <c r="AB10" s="38">
        <f t="shared" si="11"/>
        <v>61208.068900000006</v>
      </c>
      <c r="AC10" s="38">
        <f t="shared" si="12"/>
        <v>61208.068900000006</v>
      </c>
      <c r="AD10" s="38">
        <f t="shared" si="13"/>
        <v>45587.7189392</v>
      </c>
      <c r="AE10" s="38">
        <f t="shared" si="14"/>
        <v>7554.8486840000005</v>
      </c>
      <c r="AF10" s="38"/>
      <c r="AG10" s="38"/>
      <c r="AH10" s="38">
        <f t="shared" si="15"/>
        <v>35286.137975</v>
      </c>
      <c r="AI10" s="38">
        <f t="shared" si="16"/>
        <v>35286.137975</v>
      </c>
      <c r="AJ10" s="38">
        <f t="shared" si="17"/>
        <v>26281.086290799998</v>
      </c>
      <c r="AK10" s="38">
        <f t="shared" si="18"/>
        <v>4355.331541</v>
      </c>
      <c r="AL10" s="38"/>
      <c r="AM10" s="38"/>
      <c r="AN10" s="38">
        <f t="shared" si="19"/>
        <v>27054.2872875</v>
      </c>
      <c r="AO10" s="38">
        <f t="shared" si="20"/>
        <v>27054.2872875</v>
      </c>
      <c r="AP10" s="38">
        <f t="shared" si="21"/>
        <v>20150.0107278</v>
      </c>
      <c r="AQ10" s="38">
        <f t="shared" si="22"/>
        <v>3339.2827184999996</v>
      </c>
      <c r="AR10" s="38"/>
      <c r="AS10" s="38"/>
      <c r="AT10" s="38">
        <f t="shared" si="23"/>
        <v>781.54395</v>
      </c>
      <c r="AU10" s="38">
        <f t="shared" si="24"/>
        <v>781.54395</v>
      </c>
      <c r="AV10" s="38">
        <f t="shared" si="25"/>
        <v>582.0932856</v>
      </c>
      <c r="AW10" s="38">
        <f t="shared" si="26"/>
        <v>96.46516199999999</v>
      </c>
      <c r="AX10" s="38"/>
      <c r="AY10" s="38"/>
      <c r="AZ10" s="38">
        <f t="shared" si="27"/>
        <v>68.925725</v>
      </c>
      <c r="BA10" s="38">
        <f t="shared" si="28"/>
        <v>68.925725</v>
      </c>
      <c r="BB10" s="38">
        <f t="shared" si="29"/>
        <v>51.3358228</v>
      </c>
      <c r="BC10" s="38">
        <f t="shared" si="30"/>
        <v>8.507431</v>
      </c>
      <c r="BD10" s="38"/>
      <c r="BE10" s="38"/>
      <c r="BF10" s="38">
        <f t="shared" si="31"/>
        <v>49.506462500000005</v>
      </c>
      <c r="BG10" s="38">
        <f t="shared" si="32"/>
        <v>49.506462500000005</v>
      </c>
      <c r="BH10" s="38">
        <f t="shared" si="33"/>
        <v>36.8723722</v>
      </c>
      <c r="BI10" s="38">
        <f t="shared" si="34"/>
        <v>6.1105315</v>
      </c>
      <c r="BJ10" s="38"/>
      <c r="BK10" s="38"/>
      <c r="BL10" s="38">
        <f t="shared" si="35"/>
        <v>859.1125125</v>
      </c>
      <c r="BM10" s="38">
        <f t="shared" si="36"/>
        <v>859.1125125</v>
      </c>
      <c r="BN10" s="38">
        <f t="shared" si="37"/>
        <v>639.8662866000001</v>
      </c>
      <c r="BO10" s="38">
        <f t="shared" si="38"/>
        <v>106.0393695</v>
      </c>
      <c r="BP10" s="38"/>
      <c r="BQ10" s="38"/>
      <c r="BR10" s="38">
        <f t="shared" si="39"/>
        <v>21380.1740625</v>
      </c>
      <c r="BS10" s="38">
        <f t="shared" si="40"/>
        <v>21380.1740625</v>
      </c>
      <c r="BT10" s="38">
        <f t="shared" si="41"/>
        <v>15923.935905</v>
      </c>
      <c r="BU10" s="38">
        <f t="shared" si="42"/>
        <v>2638.9327875</v>
      </c>
      <c r="BV10" s="38"/>
      <c r="BW10" s="38"/>
      <c r="BX10" s="38">
        <f t="shared" si="43"/>
        <v>6528.560775</v>
      </c>
      <c r="BY10" s="38">
        <f t="shared" si="44"/>
        <v>6528.560775</v>
      </c>
      <c r="BZ10" s="38">
        <f t="shared" si="45"/>
        <v>4862.466649200001</v>
      </c>
      <c r="CA10" s="38">
        <f t="shared" si="46"/>
        <v>805.8135090000001</v>
      </c>
      <c r="CB10" s="38"/>
      <c r="CC10" s="38"/>
      <c r="CD10" s="38">
        <f t="shared" si="47"/>
        <v>18625.604112499997</v>
      </c>
      <c r="CE10" s="38">
        <f t="shared" si="48"/>
        <v>18625.604112499997</v>
      </c>
      <c r="CF10" s="38">
        <f t="shared" si="49"/>
        <v>13872.334491399999</v>
      </c>
      <c r="CG10" s="38">
        <f t="shared" si="50"/>
        <v>2298.9390654999997</v>
      </c>
      <c r="CH10" s="38"/>
      <c r="CI10" s="38"/>
      <c r="CJ10" s="38">
        <f t="shared" si="51"/>
        <v>51207.618825000005</v>
      </c>
      <c r="CK10" s="38">
        <f t="shared" si="52"/>
        <v>51207.618825000005</v>
      </c>
      <c r="CL10" s="38">
        <f t="shared" si="53"/>
        <v>38139.3920196</v>
      </c>
      <c r="CM10" s="38">
        <f t="shared" si="54"/>
        <v>6320.5034670000005</v>
      </c>
      <c r="CN10" s="38"/>
      <c r="CO10" s="38"/>
      <c r="CP10" s="38">
        <f t="shared" si="55"/>
        <v>22261.707325</v>
      </c>
      <c r="CQ10" s="38">
        <f t="shared" si="56"/>
        <v>22261.707325</v>
      </c>
      <c r="CR10" s="38">
        <f t="shared" si="57"/>
        <v>16580.5011476</v>
      </c>
      <c r="CS10" s="38">
        <f t="shared" si="58"/>
        <v>2747.739527</v>
      </c>
      <c r="CT10" s="38"/>
      <c r="CU10" s="38"/>
      <c r="CV10" s="38">
        <f t="shared" si="59"/>
        <v>19434.233775</v>
      </c>
      <c r="CW10" s="38">
        <f t="shared" si="60"/>
        <v>19434.233775</v>
      </c>
      <c r="CX10" s="38">
        <f t="shared" si="61"/>
        <v>14474.6011932</v>
      </c>
      <c r="CY10" s="38">
        <f t="shared" si="62"/>
        <v>2398.747389</v>
      </c>
      <c r="CZ10" s="38"/>
      <c r="DA10" s="80"/>
      <c r="DB10" s="80">
        <f t="shared" si="63"/>
        <v>2521.1410124999998</v>
      </c>
      <c r="DC10" s="80">
        <f t="shared" si="64"/>
        <v>2521.1410124999998</v>
      </c>
      <c r="DD10" s="38">
        <f t="shared" si="65"/>
        <v>1877.7437346</v>
      </c>
      <c r="DE10" s="38">
        <f t="shared" si="66"/>
        <v>311.1818295</v>
      </c>
      <c r="DF10" s="38"/>
      <c r="DG10" s="38"/>
      <c r="DH10" s="38">
        <f t="shared" si="67"/>
        <v>72.7227875</v>
      </c>
      <c r="DI10" s="38">
        <f t="shared" si="68"/>
        <v>72.7227875</v>
      </c>
      <c r="DJ10" s="38">
        <f t="shared" si="69"/>
        <v>54.1638718</v>
      </c>
      <c r="DK10" s="38">
        <f t="shared" si="70"/>
        <v>8.9760985</v>
      </c>
      <c r="DL10" s="38"/>
      <c r="DM10" s="38"/>
      <c r="DN10" s="38">
        <f t="shared" si="71"/>
        <v>17031.8504125</v>
      </c>
      <c r="DO10" s="38">
        <f t="shared" si="72"/>
        <v>17031.8504125</v>
      </c>
      <c r="DP10" s="38">
        <f t="shared" si="73"/>
        <v>12685.308057799999</v>
      </c>
      <c r="DQ10" s="38">
        <f t="shared" si="74"/>
        <v>2102.2236935</v>
      </c>
      <c r="DR10" s="38"/>
      <c r="DS10" s="38"/>
      <c r="DT10" s="38">
        <f t="shared" si="75"/>
        <v>1038.8401375</v>
      </c>
      <c r="DU10" s="38">
        <f t="shared" si="76"/>
        <v>1038.8401375</v>
      </c>
      <c r="DV10" s="38">
        <f t="shared" si="77"/>
        <v>773.7272726</v>
      </c>
      <c r="DW10" s="38">
        <f t="shared" si="78"/>
        <v>128.22296450000002</v>
      </c>
      <c r="DX10" s="38"/>
      <c r="DY10" s="38"/>
      <c r="DZ10" s="38">
        <f t="shared" si="79"/>
        <v>17626.3619125</v>
      </c>
      <c r="EA10" s="38">
        <f t="shared" si="80"/>
        <v>17626.3619125</v>
      </c>
      <c r="EB10" s="38">
        <f t="shared" si="81"/>
        <v>13128.099729799998</v>
      </c>
      <c r="EC10" s="38">
        <f t="shared" si="82"/>
        <v>2175.6036335</v>
      </c>
      <c r="ED10" s="38"/>
      <c r="EE10" s="38"/>
      <c r="EF10" s="38">
        <f t="shared" si="83"/>
        <v>2197.016525</v>
      </c>
      <c r="EG10" s="38">
        <f t="shared" si="84"/>
        <v>2197.016525</v>
      </c>
      <c r="EH10" s="38">
        <f t="shared" si="85"/>
        <v>1636.3360852</v>
      </c>
      <c r="EI10" s="38">
        <f t="shared" si="86"/>
        <v>271.175479</v>
      </c>
      <c r="EJ10" s="38"/>
      <c r="EK10" s="38"/>
      <c r="EL10" s="38">
        <f t="shared" si="87"/>
        <v>946.9150625000001</v>
      </c>
      <c r="EM10" s="38">
        <f t="shared" si="88"/>
        <v>946.9150625000001</v>
      </c>
      <c r="EN10" s="38">
        <f t="shared" si="89"/>
        <v>705.261553</v>
      </c>
      <c r="EO10" s="38">
        <f t="shared" si="90"/>
        <v>116.87674750000001</v>
      </c>
      <c r="EP10" s="38"/>
      <c r="EQ10" s="38"/>
      <c r="ER10" s="38"/>
      <c r="ES10" s="38"/>
      <c r="ET10" s="38"/>
      <c r="EU10" s="38"/>
      <c r="EV10" s="38"/>
      <c r="EW10" s="55">
        <f t="shared" si="91"/>
        <v>0</v>
      </c>
      <c r="EX10" s="55">
        <f t="shared" si="91"/>
        <v>314.541425</v>
      </c>
      <c r="EY10" s="38">
        <f t="shared" si="92"/>
        <v>314.541425</v>
      </c>
      <c r="EZ10" s="38">
        <f t="shared" si="93"/>
        <v>234.2701924</v>
      </c>
      <c r="FA10" s="38">
        <f t="shared" si="94"/>
        <v>38.823523</v>
      </c>
      <c r="FB10" s="38"/>
      <c r="FC10" s="38">
        <f t="shared" si="95"/>
        <v>0</v>
      </c>
      <c r="FD10" s="38">
        <f t="shared" si="95"/>
        <v>705.3495625</v>
      </c>
      <c r="FE10" s="38">
        <f t="shared" si="96"/>
        <v>705.3495625</v>
      </c>
      <c r="FF10" s="38">
        <f t="shared" si="97"/>
        <v>525.343769</v>
      </c>
      <c r="FG10" s="38">
        <f t="shared" si="98"/>
        <v>87.0605675</v>
      </c>
      <c r="FH10" s="38"/>
      <c r="FI10" s="38"/>
      <c r="FJ10" s="38"/>
      <c r="FK10" s="38"/>
      <c r="FL10" s="38"/>
      <c r="FM10" s="38"/>
      <c r="FN10" s="38"/>
      <c r="FO10" s="38"/>
      <c r="FP10" s="38"/>
      <c r="FQ10" s="38"/>
    </row>
    <row r="11" spans="1:173" s="57" customFormat="1" ht="12.75">
      <c r="A11" s="56">
        <v>43556</v>
      </c>
      <c r="C11" s="55">
        <v>4725000</v>
      </c>
      <c r="D11" s="55">
        <v>361625</v>
      </c>
      <c r="E11" s="41">
        <f t="shared" si="0"/>
        <v>5086625</v>
      </c>
      <c r="F11" s="41">
        <v>269338</v>
      </c>
      <c r="G11" s="41">
        <v>44635</v>
      </c>
      <c r="H11" s="55"/>
      <c r="I11" s="41">
        <f t="shared" si="1"/>
        <v>13325.9175</v>
      </c>
      <c r="J11" s="47">
        <f t="shared" si="1"/>
        <v>1019.8909875</v>
      </c>
      <c r="K11" s="41">
        <f t="shared" si="2"/>
        <v>14345.8084875</v>
      </c>
      <c r="L11" s="41">
        <f t="shared" si="3"/>
        <v>759.6139614</v>
      </c>
      <c r="M11" s="41">
        <f t="shared" si="3"/>
        <v>125.88409050000001</v>
      </c>
      <c r="O11" s="38">
        <f t="shared" si="99"/>
        <v>4711674.082499999</v>
      </c>
      <c r="P11" s="38">
        <f t="shared" si="4"/>
        <v>360605.1090125</v>
      </c>
      <c r="Q11" s="38">
        <f t="shared" si="5"/>
        <v>5072279.191512499</v>
      </c>
      <c r="R11" s="38">
        <f t="shared" si="6"/>
        <v>268578.38603860006</v>
      </c>
      <c r="S11" s="38">
        <f t="shared" si="6"/>
        <v>44509.11590949998</v>
      </c>
      <c r="U11" s="55">
        <f>C11*15.05006/100</f>
        <v>711115.335</v>
      </c>
      <c r="V11" s="55">
        <f t="shared" si="7"/>
        <v>54424.779474999996</v>
      </c>
      <c r="W11" s="38">
        <f t="shared" si="8"/>
        <v>765540.114475</v>
      </c>
      <c r="X11" s="38">
        <f t="shared" si="9"/>
        <v>40535.530602800005</v>
      </c>
      <c r="Y11" s="38">
        <f t="shared" si="10"/>
        <v>6717.594281000001</v>
      </c>
      <c r="Z11" s="55"/>
      <c r="AA11" s="38">
        <f>C11*16.92584/100</f>
        <v>799745.94</v>
      </c>
      <c r="AB11" s="38">
        <f t="shared" si="11"/>
        <v>61208.068900000006</v>
      </c>
      <c r="AC11" s="38">
        <f t="shared" si="12"/>
        <v>860954.0088999999</v>
      </c>
      <c r="AD11" s="38">
        <f t="shared" si="13"/>
        <v>45587.7189392</v>
      </c>
      <c r="AE11" s="38">
        <f t="shared" si="14"/>
        <v>7554.8486840000005</v>
      </c>
      <c r="AF11" s="55"/>
      <c r="AG11" s="38">
        <f>C11*9.75766/100</f>
        <v>461049.435</v>
      </c>
      <c r="AH11" s="38">
        <f t="shared" si="15"/>
        <v>35286.137975</v>
      </c>
      <c r="AI11" s="38">
        <f t="shared" si="16"/>
        <v>496335.572975</v>
      </c>
      <c r="AJ11" s="38">
        <f t="shared" si="17"/>
        <v>26281.086290799998</v>
      </c>
      <c r="AK11" s="38">
        <f t="shared" si="18"/>
        <v>4355.331541</v>
      </c>
      <c r="AL11" s="55"/>
      <c r="AM11" s="38">
        <f>C11*7.48131/100</f>
        <v>353491.8975</v>
      </c>
      <c r="AN11" s="38">
        <f t="shared" si="19"/>
        <v>27054.2872875</v>
      </c>
      <c r="AO11" s="38">
        <f t="shared" si="20"/>
        <v>380546.1847875</v>
      </c>
      <c r="AP11" s="38">
        <f t="shared" si="21"/>
        <v>20150.0107278</v>
      </c>
      <c r="AQ11" s="38">
        <f t="shared" si="22"/>
        <v>3339.2827184999996</v>
      </c>
      <c r="AR11" s="55"/>
      <c r="AS11" s="38">
        <f>C11*0.21612/100</f>
        <v>10211.67</v>
      </c>
      <c r="AT11" s="38">
        <f t="shared" si="23"/>
        <v>781.54395</v>
      </c>
      <c r="AU11" s="38">
        <f t="shared" si="24"/>
        <v>10993.21395</v>
      </c>
      <c r="AV11" s="38">
        <f t="shared" si="25"/>
        <v>582.0932856</v>
      </c>
      <c r="AW11" s="38">
        <f t="shared" si="26"/>
        <v>96.46516199999999</v>
      </c>
      <c r="AX11" s="55"/>
      <c r="AY11" s="38">
        <f>C11*0.01906/100</f>
        <v>900.585</v>
      </c>
      <c r="AZ11" s="38">
        <f t="shared" si="27"/>
        <v>68.925725</v>
      </c>
      <c r="BA11" s="38">
        <f t="shared" si="28"/>
        <v>969.5107250000001</v>
      </c>
      <c r="BB11" s="38">
        <f t="shared" si="29"/>
        <v>51.3358228</v>
      </c>
      <c r="BC11" s="38">
        <f t="shared" si="30"/>
        <v>8.507431</v>
      </c>
      <c r="BD11" s="55"/>
      <c r="BE11" s="38">
        <f>C11*0.01369/100</f>
        <v>646.8525000000001</v>
      </c>
      <c r="BF11" s="38">
        <f t="shared" si="31"/>
        <v>49.506462500000005</v>
      </c>
      <c r="BG11" s="38">
        <f t="shared" si="32"/>
        <v>696.3589625000001</v>
      </c>
      <c r="BH11" s="38">
        <f t="shared" si="33"/>
        <v>36.8723722</v>
      </c>
      <c r="BI11" s="38">
        <f t="shared" si="34"/>
        <v>6.1105315</v>
      </c>
      <c r="BJ11" s="55"/>
      <c r="BK11" s="38">
        <f>C11*0.23757/100</f>
        <v>11225.1825</v>
      </c>
      <c r="BL11" s="38">
        <f t="shared" si="35"/>
        <v>859.1125125</v>
      </c>
      <c r="BM11" s="38">
        <f t="shared" si="36"/>
        <v>12084.2950125</v>
      </c>
      <c r="BN11" s="38">
        <f t="shared" si="37"/>
        <v>639.8662866000001</v>
      </c>
      <c r="BO11" s="38">
        <f t="shared" si="38"/>
        <v>106.0393695</v>
      </c>
      <c r="BP11" s="55"/>
      <c r="BQ11" s="38">
        <f>C11*5.91225/100</f>
        <v>279353.8125</v>
      </c>
      <c r="BR11" s="38">
        <f t="shared" si="39"/>
        <v>21380.1740625</v>
      </c>
      <c r="BS11" s="38">
        <f t="shared" si="40"/>
        <v>300733.9865625</v>
      </c>
      <c r="BT11" s="38">
        <f t="shared" si="41"/>
        <v>15923.935905</v>
      </c>
      <c r="BU11" s="38">
        <f t="shared" si="42"/>
        <v>2638.9327875</v>
      </c>
      <c r="BV11" s="55"/>
      <c r="BW11" s="38">
        <f>C11*1.80534/100</f>
        <v>85302.315</v>
      </c>
      <c r="BX11" s="38">
        <f t="shared" si="43"/>
        <v>6528.560775</v>
      </c>
      <c r="BY11" s="38">
        <f t="shared" si="44"/>
        <v>91830.87577500001</v>
      </c>
      <c r="BZ11" s="38">
        <f t="shared" si="45"/>
        <v>4862.466649200001</v>
      </c>
      <c r="CA11" s="38">
        <f t="shared" si="46"/>
        <v>805.8135090000001</v>
      </c>
      <c r="CB11" s="55"/>
      <c r="CC11" s="38">
        <f>C11*5.15053/100</f>
        <v>243362.5425</v>
      </c>
      <c r="CD11" s="38">
        <f t="shared" si="47"/>
        <v>18625.604112499997</v>
      </c>
      <c r="CE11" s="38">
        <f t="shared" si="48"/>
        <v>261988.14661250002</v>
      </c>
      <c r="CF11" s="38">
        <f t="shared" si="49"/>
        <v>13872.334491399999</v>
      </c>
      <c r="CG11" s="38">
        <f t="shared" si="50"/>
        <v>2298.9390654999997</v>
      </c>
      <c r="CH11" s="55"/>
      <c r="CI11" s="38">
        <f>C11*14.16042/100</f>
        <v>669079.845</v>
      </c>
      <c r="CJ11" s="38">
        <f t="shared" si="51"/>
        <v>51207.618825000005</v>
      </c>
      <c r="CK11" s="38">
        <f t="shared" si="52"/>
        <v>720287.463825</v>
      </c>
      <c r="CL11" s="38">
        <f t="shared" si="53"/>
        <v>38139.3920196</v>
      </c>
      <c r="CM11" s="38">
        <f t="shared" si="54"/>
        <v>6320.5034670000005</v>
      </c>
      <c r="CN11" s="38"/>
      <c r="CO11" s="38">
        <f>C11*6.15602/100</f>
        <v>290871.945</v>
      </c>
      <c r="CP11" s="38">
        <f t="shared" si="55"/>
        <v>22261.707325</v>
      </c>
      <c r="CQ11" s="38">
        <f t="shared" si="56"/>
        <v>313133.65232500003</v>
      </c>
      <c r="CR11" s="38">
        <f t="shared" si="57"/>
        <v>16580.5011476</v>
      </c>
      <c r="CS11" s="38">
        <f t="shared" si="58"/>
        <v>2747.739527</v>
      </c>
      <c r="CT11" s="55"/>
      <c r="CU11" s="38">
        <f>C11*5.37414/100</f>
        <v>253928.115</v>
      </c>
      <c r="CV11" s="38">
        <f t="shared" si="59"/>
        <v>19434.233775</v>
      </c>
      <c r="CW11" s="38">
        <f t="shared" si="60"/>
        <v>273362.34877499996</v>
      </c>
      <c r="CX11" s="38">
        <f t="shared" si="61"/>
        <v>14474.6011932</v>
      </c>
      <c r="CY11" s="38">
        <f t="shared" si="62"/>
        <v>2398.747389</v>
      </c>
      <c r="CZ11" s="55"/>
      <c r="DA11" s="80">
        <f>C11*0.69717/100</f>
        <v>32941.2825</v>
      </c>
      <c r="DB11" s="80">
        <f t="shared" si="63"/>
        <v>2521.1410124999998</v>
      </c>
      <c r="DC11" s="80">
        <f t="shared" si="64"/>
        <v>35462.4235125</v>
      </c>
      <c r="DD11" s="38">
        <f t="shared" si="65"/>
        <v>1877.7437346</v>
      </c>
      <c r="DE11" s="38">
        <f t="shared" si="66"/>
        <v>311.1818295</v>
      </c>
      <c r="DF11" s="55"/>
      <c r="DG11" s="38">
        <f>C11*0.02011/100</f>
        <v>950.1975</v>
      </c>
      <c r="DH11" s="38">
        <f t="shared" si="67"/>
        <v>72.7227875</v>
      </c>
      <c r="DI11" s="38">
        <f t="shared" si="68"/>
        <v>1022.9202875</v>
      </c>
      <c r="DJ11" s="38">
        <f t="shared" si="69"/>
        <v>54.1638718</v>
      </c>
      <c r="DK11" s="38">
        <f t="shared" si="70"/>
        <v>8.9760985</v>
      </c>
      <c r="DL11" s="55"/>
      <c r="DM11" s="38">
        <f>C11*4.70981/100</f>
        <v>222538.5225</v>
      </c>
      <c r="DN11" s="38">
        <f t="shared" si="71"/>
        <v>17031.8504125</v>
      </c>
      <c r="DO11" s="38">
        <f t="shared" si="72"/>
        <v>239570.3729125</v>
      </c>
      <c r="DP11" s="38">
        <f t="shared" si="73"/>
        <v>12685.308057799999</v>
      </c>
      <c r="DQ11" s="38">
        <f t="shared" si="74"/>
        <v>2102.2236935</v>
      </c>
      <c r="DR11" s="55"/>
      <c r="DS11" s="38">
        <f>C11*0.28727/100</f>
        <v>13573.507500000002</v>
      </c>
      <c r="DT11" s="38">
        <f t="shared" si="75"/>
        <v>1038.8401375</v>
      </c>
      <c r="DU11" s="38">
        <f t="shared" si="76"/>
        <v>14612.347637500001</v>
      </c>
      <c r="DV11" s="38">
        <f t="shared" si="77"/>
        <v>773.7272726</v>
      </c>
      <c r="DW11" s="38">
        <f t="shared" si="78"/>
        <v>128.22296450000002</v>
      </c>
      <c r="DX11" s="55"/>
      <c r="DY11" s="38">
        <f>C11*4.87421/100</f>
        <v>230306.4225</v>
      </c>
      <c r="DZ11" s="38">
        <f t="shared" si="79"/>
        <v>17626.3619125</v>
      </c>
      <c r="EA11" s="38">
        <f t="shared" si="80"/>
        <v>247932.78441249998</v>
      </c>
      <c r="EB11" s="38">
        <f t="shared" si="81"/>
        <v>13128.099729799998</v>
      </c>
      <c r="EC11" s="38">
        <f t="shared" si="82"/>
        <v>2175.6036335</v>
      </c>
      <c r="ED11" s="55"/>
      <c r="EE11" s="38">
        <f>C11*0.60754/100</f>
        <v>28706.265</v>
      </c>
      <c r="EF11" s="38">
        <f t="shared" si="83"/>
        <v>2197.016525</v>
      </c>
      <c r="EG11" s="38">
        <f t="shared" si="84"/>
        <v>30903.281525</v>
      </c>
      <c r="EH11" s="38">
        <f t="shared" si="85"/>
        <v>1636.3360852</v>
      </c>
      <c r="EI11" s="38">
        <f t="shared" si="86"/>
        <v>271.175479</v>
      </c>
      <c r="EJ11" s="55"/>
      <c r="EK11" s="38">
        <f>C11*0.26185/100</f>
        <v>12372.412500000002</v>
      </c>
      <c r="EL11" s="38">
        <f t="shared" si="87"/>
        <v>946.9150625000001</v>
      </c>
      <c r="EM11" s="38">
        <f t="shared" si="88"/>
        <v>13319.327562500002</v>
      </c>
      <c r="EN11" s="38">
        <f t="shared" si="89"/>
        <v>705.261553</v>
      </c>
      <c r="EO11" s="38">
        <f t="shared" si="90"/>
        <v>116.87674750000001</v>
      </c>
      <c r="EP11" s="55"/>
      <c r="EQ11" s="38"/>
      <c r="ER11" s="38"/>
      <c r="ES11" s="38"/>
      <c r="ET11" s="38"/>
      <c r="EU11" s="38"/>
      <c r="EV11" s="55"/>
      <c r="EW11" s="55">
        <f t="shared" si="91"/>
        <v>4109.805</v>
      </c>
      <c r="EX11" s="55">
        <f t="shared" si="91"/>
        <v>314.541425</v>
      </c>
      <c r="EY11" s="38">
        <f t="shared" si="92"/>
        <v>4424.346425000001</v>
      </c>
      <c r="EZ11" s="38">
        <f t="shared" si="93"/>
        <v>234.2701924</v>
      </c>
      <c r="FA11" s="38">
        <f t="shared" si="94"/>
        <v>38.823523</v>
      </c>
      <c r="FB11" s="55"/>
      <c r="FC11" s="38">
        <f t="shared" si="95"/>
        <v>9216.1125</v>
      </c>
      <c r="FD11" s="38">
        <f t="shared" si="95"/>
        <v>705.3495625</v>
      </c>
      <c r="FE11" s="38">
        <f t="shared" si="96"/>
        <v>9921.462062499999</v>
      </c>
      <c r="FF11" s="38">
        <f t="shared" si="97"/>
        <v>525.343769</v>
      </c>
      <c r="FG11" s="38">
        <f t="shared" si="98"/>
        <v>87.0605675</v>
      </c>
      <c r="FH11" s="55"/>
      <c r="FI11" s="55"/>
      <c r="FJ11" s="55"/>
      <c r="FK11" s="55"/>
      <c r="FL11" s="55"/>
      <c r="FM11" s="55"/>
      <c r="FN11" s="55"/>
      <c r="FO11" s="55"/>
      <c r="FP11" s="55"/>
      <c r="FQ11" s="55"/>
    </row>
    <row r="12" spans="1:173" s="57" customFormat="1" ht="12.75">
      <c r="A12" s="56">
        <v>43739</v>
      </c>
      <c r="C12" s="55"/>
      <c r="D12" s="55">
        <v>243500</v>
      </c>
      <c r="E12" s="41">
        <f t="shared" si="0"/>
        <v>243500</v>
      </c>
      <c r="F12" s="41">
        <v>269338</v>
      </c>
      <c r="G12" s="41">
        <v>44635</v>
      </c>
      <c r="H12" s="55"/>
      <c r="I12" s="41">
        <f t="shared" si="1"/>
        <v>0</v>
      </c>
      <c r="J12" s="47">
        <f t="shared" si="1"/>
        <v>686.74305</v>
      </c>
      <c r="K12" s="41">
        <f t="shared" si="2"/>
        <v>686.74305</v>
      </c>
      <c r="L12" s="41">
        <f t="shared" si="3"/>
        <v>759.6139614</v>
      </c>
      <c r="M12" s="41">
        <f t="shared" si="3"/>
        <v>125.88409050000001</v>
      </c>
      <c r="O12" s="38"/>
      <c r="P12" s="38">
        <f t="shared" si="4"/>
        <v>242813.25694999998</v>
      </c>
      <c r="Q12" s="38">
        <f t="shared" si="5"/>
        <v>242813.25694999998</v>
      </c>
      <c r="R12" s="38">
        <f t="shared" si="6"/>
        <v>268578.38603860006</v>
      </c>
      <c r="S12" s="38">
        <f t="shared" si="6"/>
        <v>44509.11590949998</v>
      </c>
      <c r="U12" s="55"/>
      <c r="V12" s="55">
        <f t="shared" si="7"/>
        <v>36646.8961</v>
      </c>
      <c r="W12" s="38">
        <f t="shared" si="8"/>
        <v>36646.8961</v>
      </c>
      <c r="X12" s="38">
        <f t="shared" si="9"/>
        <v>40535.530602800005</v>
      </c>
      <c r="Y12" s="38">
        <f t="shared" si="10"/>
        <v>6717.594281000001</v>
      </c>
      <c r="Z12" s="55"/>
      <c r="AA12" s="38"/>
      <c r="AB12" s="38">
        <f t="shared" si="11"/>
        <v>41214.4204</v>
      </c>
      <c r="AC12" s="38">
        <f t="shared" si="12"/>
        <v>41214.4204</v>
      </c>
      <c r="AD12" s="38">
        <f t="shared" si="13"/>
        <v>45587.7189392</v>
      </c>
      <c r="AE12" s="38">
        <f t="shared" si="14"/>
        <v>7554.8486840000005</v>
      </c>
      <c r="AF12" s="55"/>
      <c r="AG12" s="38"/>
      <c r="AH12" s="38">
        <f t="shared" si="15"/>
        <v>23759.9021</v>
      </c>
      <c r="AI12" s="38">
        <f t="shared" si="16"/>
        <v>23759.9021</v>
      </c>
      <c r="AJ12" s="38">
        <f t="shared" si="17"/>
        <v>26281.086290799998</v>
      </c>
      <c r="AK12" s="38">
        <f t="shared" si="18"/>
        <v>4355.331541</v>
      </c>
      <c r="AL12" s="55"/>
      <c r="AM12" s="38"/>
      <c r="AN12" s="38">
        <f t="shared" si="19"/>
        <v>18216.989849999998</v>
      </c>
      <c r="AO12" s="38">
        <f t="shared" si="20"/>
        <v>18216.989849999998</v>
      </c>
      <c r="AP12" s="38">
        <f t="shared" si="21"/>
        <v>20150.0107278</v>
      </c>
      <c r="AQ12" s="38">
        <f t="shared" si="22"/>
        <v>3339.2827184999996</v>
      </c>
      <c r="AR12" s="55"/>
      <c r="AS12" s="38"/>
      <c r="AT12" s="38">
        <f t="shared" si="23"/>
        <v>526.2522</v>
      </c>
      <c r="AU12" s="38">
        <f t="shared" si="24"/>
        <v>526.2522</v>
      </c>
      <c r="AV12" s="38">
        <f t="shared" si="25"/>
        <v>582.0932856</v>
      </c>
      <c r="AW12" s="38">
        <f t="shared" si="26"/>
        <v>96.46516199999999</v>
      </c>
      <c r="AX12" s="55"/>
      <c r="AY12" s="38"/>
      <c r="AZ12" s="38">
        <f t="shared" si="27"/>
        <v>46.411100000000005</v>
      </c>
      <c r="BA12" s="38">
        <f t="shared" si="28"/>
        <v>46.411100000000005</v>
      </c>
      <c r="BB12" s="38">
        <f t="shared" si="29"/>
        <v>51.3358228</v>
      </c>
      <c r="BC12" s="38">
        <f t="shared" si="30"/>
        <v>8.507431</v>
      </c>
      <c r="BD12" s="55"/>
      <c r="BE12" s="38"/>
      <c r="BF12" s="38">
        <f t="shared" si="31"/>
        <v>33.335150000000006</v>
      </c>
      <c r="BG12" s="38">
        <f t="shared" si="32"/>
        <v>33.335150000000006</v>
      </c>
      <c r="BH12" s="38">
        <f t="shared" si="33"/>
        <v>36.8723722</v>
      </c>
      <c r="BI12" s="38">
        <f t="shared" si="34"/>
        <v>6.1105315</v>
      </c>
      <c r="BJ12" s="55"/>
      <c r="BK12" s="38"/>
      <c r="BL12" s="38">
        <f t="shared" si="35"/>
        <v>578.48295</v>
      </c>
      <c r="BM12" s="38">
        <f t="shared" si="36"/>
        <v>578.48295</v>
      </c>
      <c r="BN12" s="38">
        <f t="shared" si="37"/>
        <v>639.8662866000001</v>
      </c>
      <c r="BO12" s="38">
        <f t="shared" si="38"/>
        <v>106.0393695</v>
      </c>
      <c r="BP12" s="55"/>
      <c r="BQ12" s="38"/>
      <c r="BR12" s="38">
        <f t="shared" si="39"/>
        <v>14396.32875</v>
      </c>
      <c r="BS12" s="38">
        <f t="shared" si="40"/>
        <v>14396.32875</v>
      </c>
      <c r="BT12" s="38">
        <f t="shared" si="41"/>
        <v>15923.935905</v>
      </c>
      <c r="BU12" s="38">
        <f t="shared" si="42"/>
        <v>2638.9327875</v>
      </c>
      <c r="BV12" s="55"/>
      <c r="BW12" s="38"/>
      <c r="BX12" s="38">
        <f t="shared" si="43"/>
        <v>4396.0028999999995</v>
      </c>
      <c r="BY12" s="38">
        <f t="shared" si="44"/>
        <v>4396.0028999999995</v>
      </c>
      <c r="BZ12" s="38">
        <f t="shared" si="45"/>
        <v>4862.466649200001</v>
      </c>
      <c r="CA12" s="38">
        <f t="shared" si="46"/>
        <v>805.8135090000001</v>
      </c>
      <c r="CB12" s="55"/>
      <c r="CC12" s="38"/>
      <c r="CD12" s="38">
        <f t="shared" si="47"/>
        <v>12541.54055</v>
      </c>
      <c r="CE12" s="38">
        <f t="shared" si="48"/>
        <v>12541.54055</v>
      </c>
      <c r="CF12" s="38">
        <f t="shared" si="49"/>
        <v>13872.334491399999</v>
      </c>
      <c r="CG12" s="38">
        <f t="shared" si="50"/>
        <v>2298.9390654999997</v>
      </c>
      <c r="CH12" s="55"/>
      <c r="CI12" s="38"/>
      <c r="CJ12" s="38">
        <f t="shared" si="51"/>
        <v>34480.6227</v>
      </c>
      <c r="CK12" s="38">
        <f t="shared" si="52"/>
        <v>34480.6227</v>
      </c>
      <c r="CL12" s="38">
        <f t="shared" si="53"/>
        <v>38139.3920196</v>
      </c>
      <c r="CM12" s="38">
        <f t="shared" si="54"/>
        <v>6320.5034670000005</v>
      </c>
      <c r="CN12" s="38"/>
      <c r="CO12" s="38"/>
      <c r="CP12" s="38">
        <f t="shared" si="55"/>
        <v>14989.908699999998</v>
      </c>
      <c r="CQ12" s="38">
        <f t="shared" si="56"/>
        <v>14989.908699999998</v>
      </c>
      <c r="CR12" s="38">
        <f t="shared" si="57"/>
        <v>16580.5011476</v>
      </c>
      <c r="CS12" s="38">
        <f t="shared" si="58"/>
        <v>2747.739527</v>
      </c>
      <c r="CT12" s="55"/>
      <c r="CU12" s="38"/>
      <c r="CV12" s="38">
        <f t="shared" si="59"/>
        <v>13086.030899999998</v>
      </c>
      <c r="CW12" s="38">
        <f t="shared" si="60"/>
        <v>13086.030899999998</v>
      </c>
      <c r="CX12" s="38">
        <f t="shared" si="61"/>
        <v>14474.6011932</v>
      </c>
      <c r="CY12" s="38">
        <f t="shared" si="62"/>
        <v>2398.747389</v>
      </c>
      <c r="CZ12" s="55"/>
      <c r="DA12" s="80"/>
      <c r="DB12" s="80">
        <f t="shared" si="63"/>
        <v>1697.6089499999998</v>
      </c>
      <c r="DC12" s="80">
        <f t="shared" si="64"/>
        <v>1697.6089499999998</v>
      </c>
      <c r="DD12" s="38">
        <f t="shared" si="65"/>
        <v>1877.7437346</v>
      </c>
      <c r="DE12" s="38">
        <f t="shared" si="66"/>
        <v>311.1818295</v>
      </c>
      <c r="DF12" s="55"/>
      <c r="DG12" s="38"/>
      <c r="DH12" s="38">
        <f t="shared" si="67"/>
        <v>48.96785</v>
      </c>
      <c r="DI12" s="38">
        <f t="shared" si="68"/>
        <v>48.96785</v>
      </c>
      <c r="DJ12" s="38">
        <f t="shared" si="69"/>
        <v>54.1638718</v>
      </c>
      <c r="DK12" s="38">
        <f t="shared" si="70"/>
        <v>8.9760985</v>
      </c>
      <c r="DL12" s="55"/>
      <c r="DM12" s="38"/>
      <c r="DN12" s="38">
        <f t="shared" si="71"/>
        <v>11468.38735</v>
      </c>
      <c r="DO12" s="38">
        <f t="shared" si="72"/>
        <v>11468.38735</v>
      </c>
      <c r="DP12" s="38">
        <f t="shared" si="73"/>
        <v>12685.308057799999</v>
      </c>
      <c r="DQ12" s="38">
        <f t="shared" si="74"/>
        <v>2102.2236935</v>
      </c>
      <c r="DR12" s="55"/>
      <c r="DS12" s="38"/>
      <c r="DT12" s="38">
        <f t="shared" si="75"/>
        <v>699.5024500000001</v>
      </c>
      <c r="DU12" s="38">
        <f t="shared" si="76"/>
        <v>699.5024500000001</v>
      </c>
      <c r="DV12" s="38">
        <f t="shared" si="77"/>
        <v>773.7272726</v>
      </c>
      <c r="DW12" s="38">
        <f t="shared" si="78"/>
        <v>128.22296450000002</v>
      </c>
      <c r="DX12" s="55"/>
      <c r="DY12" s="38"/>
      <c r="DZ12" s="38">
        <f t="shared" si="79"/>
        <v>11868.70135</v>
      </c>
      <c r="EA12" s="38">
        <f t="shared" si="80"/>
        <v>11868.70135</v>
      </c>
      <c r="EB12" s="38">
        <f t="shared" si="81"/>
        <v>13128.099729799998</v>
      </c>
      <c r="EC12" s="38">
        <f t="shared" si="82"/>
        <v>2175.6036335</v>
      </c>
      <c r="ED12" s="55"/>
      <c r="EE12" s="38"/>
      <c r="EF12" s="38">
        <f t="shared" si="83"/>
        <v>1479.3599</v>
      </c>
      <c r="EG12" s="38">
        <f t="shared" si="84"/>
        <v>1479.3599</v>
      </c>
      <c r="EH12" s="38">
        <f t="shared" si="85"/>
        <v>1636.3360852</v>
      </c>
      <c r="EI12" s="38">
        <f t="shared" si="86"/>
        <v>271.175479</v>
      </c>
      <c r="EJ12" s="55"/>
      <c r="EK12" s="38"/>
      <c r="EL12" s="38">
        <f t="shared" si="87"/>
        <v>637.6047500000001</v>
      </c>
      <c r="EM12" s="38">
        <f t="shared" si="88"/>
        <v>637.6047500000001</v>
      </c>
      <c r="EN12" s="38">
        <f t="shared" si="89"/>
        <v>705.261553</v>
      </c>
      <c r="EO12" s="38">
        <f t="shared" si="90"/>
        <v>116.87674750000001</v>
      </c>
      <c r="EP12" s="55"/>
      <c r="EQ12" s="38"/>
      <c r="ER12" s="38"/>
      <c r="ES12" s="38"/>
      <c r="ET12" s="38"/>
      <c r="EU12" s="38"/>
      <c r="EV12" s="55"/>
      <c r="EW12" s="55">
        <f t="shared" si="91"/>
        <v>0</v>
      </c>
      <c r="EX12" s="55">
        <f t="shared" si="91"/>
        <v>211.7963</v>
      </c>
      <c r="EY12" s="38">
        <f t="shared" si="92"/>
        <v>211.7963</v>
      </c>
      <c r="EZ12" s="38">
        <f t="shared" si="93"/>
        <v>234.2701924</v>
      </c>
      <c r="FA12" s="38">
        <f t="shared" si="94"/>
        <v>38.823523</v>
      </c>
      <c r="FB12" s="55"/>
      <c r="FC12" s="38">
        <f t="shared" si="95"/>
        <v>0</v>
      </c>
      <c r="FD12" s="38">
        <f t="shared" si="95"/>
        <v>474.94675</v>
      </c>
      <c r="FE12" s="38">
        <f t="shared" si="96"/>
        <v>474.94675</v>
      </c>
      <c r="FF12" s="38">
        <f t="shared" si="97"/>
        <v>525.343769</v>
      </c>
      <c r="FG12" s="38">
        <f t="shared" si="98"/>
        <v>87.0605675</v>
      </c>
      <c r="FH12" s="55"/>
      <c r="FI12" s="55"/>
      <c r="FJ12" s="55"/>
      <c r="FK12" s="55"/>
      <c r="FL12" s="55"/>
      <c r="FM12" s="55"/>
      <c r="FN12" s="55"/>
      <c r="FO12" s="55"/>
      <c r="FP12" s="55"/>
      <c r="FQ12" s="55"/>
    </row>
    <row r="13" spans="1:173" s="57" customFormat="1" ht="12.75">
      <c r="A13" s="56">
        <v>43922</v>
      </c>
      <c r="C13" s="55">
        <v>4555000</v>
      </c>
      <c r="D13" s="55">
        <v>243500</v>
      </c>
      <c r="E13" s="41">
        <f t="shared" si="0"/>
        <v>4798500</v>
      </c>
      <c r="F13" s="41">
        <v>269338</v>
      </c>
      <c r="G13" s="41">
        <v>44635</v>
      </c>
      <c r="H13" s="55"/>
      <c r="I13" s="41">
        <f t="shared" si="1"/>
        <v>12846.4665</v>
      </c>
      <c r="J13" s="47">
        <f t="shared" si="1"/>
        <v>686.74305</v>
      </c>
      <c r="K13" s="41">
        <f t="shared" si="2"/>
        <v>13533.20955</v>
      </c>
      <c r="L13" s="41">
        <f t="shared" si="3"/>
        <v>759.6139614</v>
      </c>
      <c r="M13" s="41">
        <f t="shared" si="3"/>
        <v>125.88409050000001</v>
      </c>
      <c r="O13" s="38">
        <f t="shared" si="99"/>
        <v>4542153.5335</v>
      </c>
      <c r="P13" s="38">
        <f t="shared" si="4"/>
        <v>242813.25694999998</v>
      </c>
      <c r="Q13" s="38">
        <f t="shared" si="5"/>
        <v>4784966.79045</v>
      </c>
      <c r="R13" s="38">
        <f t="shared" si="6"/>
        <v>268578.38603860006</v>
      </c>
      <c r="S13" s="38">
        <f t="shared" si="6"/>
        <v>44509.11590949998</v>
      </c>
      <c r="U13" s="55">
        <f>C13*15.05006/100</f>
        <v>685530.233</v>
      </c>
      <c r="V13" s="55">
        <f t="shared" si="7"/>
        <v>36646.8961</v>
      </c>
      <c r="W13" s="38">
        <f t="shared" si="8"/>
        <v>722177.1291</v>
      </c>
      <c r="X13" s="38">
        <f t="shared" si="9"/>
        <v>40535.530602800005</v>
      </c>
      <c r="Y13" s="38">
        <f t="shared" si="10"/>
        <v>6717.594281000001</v>
      </c>
      <c r="Z13" s="55"/>
      <c r="AA13" s="38">
        <f>C13*16.92584/100</f>
        <v>770972.012</v>
      </c>
      <c r="AB13" s="38">
        <f t="shared" si="11"/>
        <v>41214.4204</v>
      </c>
      <c r="AC13" s="38">
        <f t="shared" si="12"/>
        <v>812186.4324</v>
      </c>
      <c r="AD13" s="38">
        <f t="shared" si="13"/>
        <v>45587.7189392</v>
      </c>
      <c r="AE13" s="38">
        <f t="shared" si="14"/>
        <v>7554.8486840000005</v>
      </c>
      <c r="AF13" s="55"/>
      <c r="AG13" s="38">
        <f>C13*9.75766/100</f>
        <v>444461.41299999994</v>
      </c>
      <c r="AH13" s="38">
        <f t="shared" si="15"/>
        <v>23759.9021</v>
      </c>
      <c r="AI13" s="38">
        <f t="shared" si="16"/>
        <v>468221.31509999995</v>
      </c>
      <c r="AJ13" s="38">
        <f t="shared" si="17"/>
        <v>26281.086290799998</v>
      </c>
      <c r="AK13" s="38">
        <f t="shared" si="18"/>
        <v>4355.331541</v>
      </c>
      <c r="AL13" s="55"/>
      <c r="AM13" s="38">
        <f>C13*7.48131/100</f>
        <v>340773.67049999995</v>
      </c>
      <c r="AN13" s="38">
        <f t="shared" si="19"/>
        <v>18216.989849999998</v>
      </c>
      <c r="AO13" s="38">
        <f t="shared" si="20"/>
        <v>358990.66034999996</v>
      </c>
      <c r="AP13" s="38">
        <f t="shared" si="21"/>
        <v>20150.0107278</v>
      </c>
      <c r="AQ13" s="38">
        <f t="shared" si="22"/>
        <v>3339.2827184999996</v>
      </c>
      <c r="AR13" s="55"/>
      <c r="AS13" s="38">
        <f>C13*0.21612/100</f>
        <v>9844.266</v>
      </c>
      <c r="AT13" s="38">
        <f t="shared" si="23"/>
        <v>526.2522</v>
      </c>
      <c r="AU13" s="38">
        <f t="shared" si="24"/>
        <v>10370.5182</v>
      </c>
      <c r="AV13" s="38">
        <f t="shared" si="25"/>
        <v>582.0932856</v>
      </c>
      <c r="AW13" s="38">
        <f t="shared" si="26"/>
        <v>96.46516199999999</v>
      </c>
      <c r="AX13" s="55"/>
      <c r="AY13" s="38">
        <f>C13*0.01906/100</f>
        <v>868.183</v>
      </c>
      <c r="AZ13" s="38">
        <f t="shared" si="27"/>
        <v>46.411100000000005</v>
      </c>
      <c r="BA13" s="38">
        <f t="shared" si="28"/>
        <v>914.5941</v>
      </c>
      <c r="BB13" s="38">
        <f t="shared" si="29"/>
        <v>51.3358228</v>
      </c>
      <c r="BC13" s="38">
        <f t="shared" si="30"/>
        <v>8.507431</v>
      </c>
      <c r="BD13" s="55"/>
      <c r="BE13" s="38">
        <f>C13*0.01369/100</f>
        <v>623.5795</v>
      </c>
      <c r="BF13" s="38">
        <f t="shared" si="31"/>
        <v>33.335150000000006</v>
      </c>
      <c r="BG13" s="38">
        <f t="shared" si="32"/>
        <v>656.91465</v>
      </c>
      <c r="BH13" s="38">
        <f t="shared" si="33"/>
        <v>36.8723722</v>
      </c>
      <c r="BI13" s="38">
        <f t="shared" si="34"/>
        <v>6.1105315</v>
      </c>
      <c r="BJ13" s="55"/>
      <c r="BK13" s="38">
        <f>C13*0.23757/100</f>
        <v>10821.3135</v>
      </c>
      <c r="BL13" s="38">
        <f t="shared" si="35"/>
        <v>578.48295</v>
      </c>
      <c r="BM13" s="38">
        <f t="shared" si="36"/>
        <v>11399.79645</v>
      </c>
      <c r="BN13" s="38">
        <f t="shared" si="37"/>
        <v>639.8662866000001</v>
      </c>
      <c r="BO13" s="38">
        <f t="shared" si="38"/>
        <v>106.0393695</v>
      </c>
      <c r="BP13" s="55"/>
      <c r="BQ13" s="38">
        <f>C13*5.91225/100</f>
        <v>269302.9875</v>
      </c>
      <c r="BR13" s="38">
        <f t="shared" si="39"/>
        <v>14396.32875</v>
      </c>
      <c r="BS13" s="38">
        <f t="shared" si="40"/>
        <v>283699.31625</v>
      </c>
      <c r="BT13" s="38">
        <f t="shared" si="41"/>
        <v>15923.935905</v>
      </c>
      <c r="BU13" s="38">
        <f t="shared" si="42"/>
        <v>2638.9327875</v>
      </c>
      <c r="BV13" s="55"/>
      <c r="BW13" s="38">
        <f>C13*1.80534/100</f>
        <v>82233.23700000001</v>
      </c>
      <c r="BX13" s="38">
        <f t="shared" si="43"/>
        <v>4396.0028999999995</v>
      </c>
      <c r="BY13" s="38">
        <f t="shared" si="44"/>
        <v>86629.23990000002</v>
      </c>
      <c r="BZ13" s="38">
        <f t="shared" si="45"/>
        <v>4862.466649200001</v>
      </c>
      <c r="CA13" s="38">
        <f t="shared" si="46"/>
        <v>805.8135090000001</v>
      </c>
      <c r="CB13" s="55"/>
      <c r="CC13" s="38">
        <f>C13*5.15053/100</f>
        <v>234606.6415</v>
      </c>
      <c r="CD13" s="38">
        <f t="shared" si="47"/>
        <v>12541.54055</v>
      </c>
      <c r="CE13" s="38">
        <f t="shared" si="48"/>
        <v>247148.18205</v>
      </c>
      <c r="CF13" s="38">
        <f t="shared" si="49"/>
        <v>13872.334491399999</v>
      </c>
      <c r="CG13" s="38">
        <f t="shared" si="50"/>
        <v>2298.9390654999997</v>
      </c>
      <c r="CH13" s="55"/>
      <c r="CI13" s="38">
        <f>C13*14.16042/100</f>
        <v>645007.131</v>
      </c>
      <c r="CJ13" s="38">
        <f t="shared" si="51"/>
        <v>34480.6227</v>
      </c>
      <c r="CK13" s="38">
        <f t="shared" si="52"/>
        <v>679487.7537</v>
      </c>
      <c r="CL13" s="38">
        <f t="shared" si="53"/>
        <v>38139.3920196</v>
      </c>
      <c r="CM13" s="38">
        <f t="shared" si="54"/>
        <v>6320.5034670000005</v>
      </c>
      <c r="CN13" s="38"/>
      <c r="CO13" s="38">
        <f>C13*6.15602/100</f>
        <v>280406.71099999995</v>
      </c>
      <c r="CP13" s="38">
        <f t="shared" si="55"/>
        <v>14989.908699999998</v>
      </c>
      <c r="CQ13" s="38">
        <f t="shared" si="56"/>
        <v>295396.6196999999</v>
      </c>
      <c r="CR13" s="38">
        <f t="shared" si="57"/>
        <v>16580.5011476</v>
      </c>
      <c r="CS13" s="38">
        <f t="shared" si="58"/>
        <v>2747.739527</v>
      </c>
      <c r="CT13" s="55"/>
      <c r="CU13" s="38">
        <f>C13*5.37414/100</f>
        <v>244792.077</v>
      </c>
      <c r="CV13" s="38">
        <f t="shared" si="59"/>
        <v>13086.030899999998</v>
      </c>
      <c r="CW13" s="38">
        <f t="shared" si="60"/>
        <v>257878.1079</v>
      </c>
      <c r="CX13" s="38">
        <f t="shared" si="61"/>
        <v>14474.6011932</v>
      </c>
      <c r="CY13" s="38">
        <f t="shared" si="62"/>
        <v>2398.747389</v>
      </c>
      <c r="CZ13" s="55"/>
      <c r="DA13" s="80">
        <f>C13*0.69717/100</f>
        <v>31756.093499999995</v>
      </c>
      <c r="DB13" s="80">
        <f t="shared" si="63"/>
        <v>1697.6089499999998</v>
      </c>
      <c r="DC13" s="80">
        <f t="shared" si="64"/>
        <v>33453.70245</v>
      </c>
      <c r="DD13" s="38">
        <f t="shared" si="65"/>
        <v>1877.7437346</v>
      </c>
      <c r="DE13" s="38">
        <f t="shared" si="66"/>
        <v>311.1818295</v>
      </c>
      <c r="DF13" s="55"/>
      <c r="DG13" s="38">
        <f>C13*0.02011/100</f>
        <v>916.0105</v>
      </c>
      <c r="DH13" s="38">
        <f t="shared" si="67"/>
        <v>48.96785</v>
      </c>
      <c r="DI13" s="38">
        <f t="shared" si="68"/>
        <v>964.97835</v>
      </c>
      <c r="DJ13" s="38">
        <f t="shared" si="69"/>
        <v>54.1638718</v>
      </c>
      <c r="DK13" s="38">
        <f t="shared" si="70"/>
        <v>8.9760985</v>
      </c>
      <c r="DL13" s="55"/>
      <c r="DM13" s="38">
        <f>C13*4.70981/100</f>
        <v>214531.8455</v>
      </c>
      <c r="DN13" s="38">
        <f t="shared" si="71"/>
        <v>11468.38735</v>
      </c>
      <c r="DO13" s="38">
        <f t="shared" si="72"/>
        <v>226000.23285</v>
      </c>
      <c r="DP13" s="38">
        <f t="shared" si="73"/>
        <v>12685.308057799999</v>
      </c>
      <c r="DQ13" s="38">
        <f t="shared" si="74"/>
        <v>2102.2236935</v>
      </c>
      <c r="DR13" s="55"/>
      <c r="DS13" s="38">
        <f>C13*0.28727/100</f>
        <v>13085.148500000001</v>
      </c>
      <c r="DT13" s="38">
        <f t="shared" si="75"/>
        <v>699.5024500000001</v>
      </c>
      <c r="DU13" s="38">
        <f t="shared" si="76"/>
        <v>13784.650950000001</v>
      </c>
      <c r="DV13" s="38">
        <f t="shared" si="77"/>
        <v>773.7272726</v>
      </c>
      <c r="DW13" s="38">
        <f t="shared" si="78"/>
        <v>128.22296450000002</v>
      </c>
      <c r="DX13" s="55"/>
      <c r="DY13" s="38">
        <f>C13*4.87421/100</f>
        <v>222020.26549999998</v>
      </c>
      <c r="DZ13" s="38">
        <f t="shared" si="79"/>
        <v>11868.70135</v>
      </c>
      <c r="EA13" s="38">
        <f t="shared" si="80"/>
        <v>233888.96684999997</v>
      </c>
      <c r="EB13" s="38">
        <f t="shared" si="81"/>
        <v>13128.099729799998</v>
      </c>
      <c r="EC13" s="38">
        <f t="shared" si="82"/>
        <v>2175.6036335</v>
      </c>
      <c r="ED13" s="55"/>
      <c r="EE13" s="38">
        <f>C13*0.60754/100</f>
        <v>27673.446999999996</v>
      </c>
      <c r="EF13" s="38">
        <f t="shared" si="83"/>
        <v>1479.3599</v>
      </c>
      <c r="EG13" s="38">
        <f t="shared" si="84"/>
        <v>29152.806899999996</v>
      </c>
      <c r="EH13" s="38">
        <f t="shared" si="85"/>
        <v>1636.3360852</v>
      </c>
      <c r="EI13" s="38">
        <f t="shared" si="86"/>
        <v>271.175479</v>
      </c>
      <c r="EJ13" s="55"/>
      <c r="EK13" s="38">
        <f>C13*0.26185/100</f>
        <v>11927.267500000002</v>
      </c>
      <c r="EL13" s="38">
        <f t="shared" si="87"/>
        <v>637.6047500000001</v>
      </c>
      <c r="EM13" s="38">
        <f t="shared" si="88"/>
        <v>12564.872250000002</v>
      </c>
      <c r="EN13" s="38">
        <f t="shared" si="89"/>
        <v>705.261553</v>
      </c>
      <c r="EO13" s="38">
        <f t="shared" si="90"/>
        <v>116.87674750000001</v>
      </c>
      <c r="EP13" s="55"/>
      <c r="EQ13" s="38"/>
      <c r="ER13" s="38"/>
      <c r="ES13" s="38"/>
      <c r="ET13" s="38"/>
      <c r="EU13" s="38"/>
      <c r="EV13" s="55"/>
      <c r="EW13" s="55">
        <f t="shared" si="91"/>
        <v>3961.9390000000003</v>
      </c>
      <c r="EX13" s="55">
        <f t="shared" si="91"/>
        <v>211.7963</v>
      </c>
      <c r="EY13" s="38">
        <f t="shared" si="92"/>
        <v>4173.7353</v>
      </c>
      <c r="EZ13" s="38">
        <f t="shared" si="93"/>
        <v>234.2701924</v>
      </c>
      <c r="FA13" s="38">
        <f t="shared" si="94"/>
        <v>38.823523</v>
      </c>
      <c r="FB13" s="55"/>
      <c r="FC13" s="38">
        <f t="shared" si="95"/>
        <v>8884.5275</v>
      </c>
      <c r="FD13" s="38">
        <f t="shared" si="95"/>
        <v>474.94675</v>
      </c>
      <c r="FE13" s="38">
        <f t="shared" si="96"/>
        <v>9359.47425</v>
      </c>
      <c r="FF13" s="38">
        <f t="shared" si="97"/>
        <v>525.343769</v>
      </c>
      <c r="FG13" s="38">
        <f t="shared" si="98"/>
        <v>87.0605675</v>
      </c>
      <c r="FH13" s="55"/>
      <c r="FI13" s="55"/>
      <c r="FJ13" s="55"/>
      <c r="FK13" s="55"/>
      <c r="FL13" s="55"/>
      <c r="FM13" s="55"/>
      <c r="FN13" s="55"/>
      <c r="FO13" s="55"/>
      <c r="FP13" s="55"/>
      <c r="FQ13" s="55"/>
    </row>
    <row r="14" spans="1:173" s="57" customFormat="1" ht="12.75">
      <c r="A14" s="56">
        <v>44105</v>
      </c>
      <c r="C14" s="55"/>
      <c r="D14" s="55">
        <v>129625</v>
      </c>
      <c r="E14" s="41">
        <f t="shared" si="0"/>
        <v>129625</v>
      </c>
      <c r="F14" s="41">
        <v>269338</v>
      </c>
      <c r="G14" s="41">
        <v>44635</v>
      </c>
      <c r="H14" s="55"/>
      <c r="I14" s="41">
        <f t="shared" si="1"/>
        <v>0</v>
      </c>
      <c r="J14" s="47">
        <f t="shared" si="1"/>
        <v>365.5813875</v>
      </c>
      <c r="K14" s="41">
        <f t="shared" si="2"/>
        <v>365.5813875</v>
      </c>
      <c r="L14" s="41">
        <f t="shared" si="3"/>
        <v>759.6139614</v>
      </c>
      <c r="M14" s="41">
        <f t="shared" si="3"/>
        <v>125.88409050000001</v>
      </c>
      <c r="O14" s="38"/>
      <c r="P14" s="38">
        <f t="shared" si="4"/>
        <v>129259.41861250004</v>
      </c>
      <c r="Q14" s="38">
        <f t="shared" si="5"/>
        <v>129259.41861250004</v>
      </c>
      <c r="R14" s="38">
        <f t="shared" si="6"/>
        <v>268578.38603860006</v>
      </c>
      <c r="S14" s="38">
        <f t="shared" si="6"/>
        <v>44509.11590949998</v>
      </c>
      <c r="U14" s="55"/>
      <c r="V14" s="55">
        <f t="shared" si="7"/>
        <v>19508.640275</v>
      </c>
      <c r="W14" s="38">
        <f t="shared" si="8"/>
        <v>19508.640275</v>
      </c>
      <c r="X14" s="38">
        <f t="shared" si="9"/>
        <v>40535.530602800005</v>
      </c>
      <c r="Y14" s="38">
        <f t="shared" si="10"/>
        <v>6717.594281000001</v>
      </c>
      <c r="Z14" s="55"/>
      <c r="AA14" s="38"/>
      <c r="AB14" s="38">
        <f t="shared" si="11"/>
        <v>21940.120100000004</v>
      </c>
      <c r="AC14" s="38">
        <f t="shared" si="12"/>
        <v>21940.120100000004</v>
      </c>
      <c r="AD14" s="38">
        <f t="shared" si="13"/>
        <v>45587.7189392</v>
      </c>
      <c r="AE14" s="38">
        <f t="shared" si="14"/>
        <v>7554.8486840000005</v>
      </c>
      <c r="AF14" s="55"/>
      <c r="AG14" s="38"/>
      <c r="AH14" s="38">
        <f t="shared" si="15"/>
        <v>12648.366775</v>
      </c>
      <c r="AI14" s="38">
        <f t="shared" si="16"/>
        <v>12648.366775</v>
      </c>
      <c r="AJ14" s="38">
        <f t="shared" si="17"/>
        <v>26281.086290799998</v>
      </c>
      <c r="AK14" s="38">
        <f t="shared" si="18"/>
        <v>4355.331541</v>
      </c>
      <c r="AL14" s="55"/>
      <c r="AM14" s="38"/>
      <c r="AN14" s="38">
        <f t="shared" si="19"/>
        <v>9697.6480875</v>
      </c>
      <c r="AO14" s="38">
        <f t="shared" si="20"/>
        <v>9697.6480875</v>
      </c>
      <c r="AP14" s="38">
        <f t="shared" si="21"/>
        <v>20150.0107278</v>
      </c>
      <c r="AQ14" s="38">
        <f t="shared" si="22"/>
        <v>3339.2827184999996</v>
      </c>
      <c r="AR14" s="55"/>
      <c r="AS14" s="38"/>
      <c r="AT14" s="38">
        <f t="shared" si="23"/>
        <v>280.14555</v>
      </c>
      <c r="AU14" s="38">
        <f t="shared" si="24"/>
        <v>280.14555</v>
      </c>
      <c r="AV14" s="38">
        <f t="shared" si="25"/>
        <v>582.0932856</v>
      </c>
      <c r="AW14" s="38">
        <f t="shared" si="26"/>
        <v>96.46516199999999</v>
      </c>
      <c r="AX14" s="55"/>
      <c r="AY14" s="38"/>
      <c r="AZ14" s="38">
        <f t="shared" si="27"/>
        <v>24.706525000000003</v>
      </c>
      <c r="BA14" s="38">
        <f t="shared" si="28"/>
        <v>24.706525000000003</v>
      </c>
      <c r="BB14" s="38">
        <f t="shared" si="29"/>
        <v>51.3358228</v>
      </c>
      <c r="BC14" s="38">
        <f t="shared" si="30"/>
        <v>8.507431</v>
      </c>
      <c r="BD14" s="55"/>
      <c r="BE14" s="38"/>
      <c r="BF14" s="38">
        <f t="shared" si="31"/>
        <v>17.7456625</v>
      </c>
      <c r="BG14" s="38">
        <f t="shared" si="32"/>
        <v>17.7456625</v>
      </c>
      <c r="BH14" s="38">
        <f t="shared" si="33"/>
        <v>36.8723722</v>
      </c>
      <c r="BI14" s="38">
        <f t="shared" si="34"/>
        <v>6.1105315</v>
      </c>
      <c r="BJ14" s="55"/>
      <c r="BK14" s="38"/>
      <c r="BL14" s="38">
        <f t="shared" si="35"/>
        <v>307.9501125</v>
      </c>
      <c r="BM14" s="38">
        <f t="shared" si="36"/>
        <v>307.9501125</v>
      </c>
      <c r="BN14" s="38">
        <f t="shared" si="37"/>
        <v>639.8662866000001</v>
      </c>
      <c r="BO14" s="38">
        <f t="shared" si="38"/>
        <v>106.0393695</v>
      </c>
      <c r="BP14" s="55"/>
      <c r="BQ14" s="38"/>
      <c r="BR14" s="38">
        <f t="shared" si="39"/>
        <v>7663.7540625</v>
      </c>
      <c r="BS14" s="38">
        <f t="shared" si="40"/>
        <v>7663.7540625</v>
      </c>
      <c r="BT14" s="38">
        <f t="shared" si="41"/>
        <v>15923.935905</v>
      </c>
      <c r="BU14" s="38">
        <f t="shared" si="42"/>
        <v>2638.9327875</v>
      </c>
      <c r="BV14" s="55"/>
      <c r="BW14" s="38"/>
      <c r="BX14" s="38">
        <f t="shared" si="43"/>
        <v>2340.1719749999997</v>
      </c>
      <c r="BY14" s="38">
        <f t="shared" si="44"/>
        <v>2340.1719749999997</v>
      </c>
      <c r="BZ14" s="38">
        <f t="shared" si="45"/>
        <v>4862.466649200001</v>
      </c>
      <c r="CA14" s="38">
        <f t="shared" si="46"/>
        <v>805.8135090000001</v>
      </c>
      <c r="CB14" s="55"/>
      <c r="CC14" s="38"/>
      <c r="CD14" s="38">
        <f t="shared" si="47"/>
        <v>6676.3745125</v>
      </c>
      <c r="CE14" s="38">
        <f t="shared" si="48"/>
        <v>6676.3745125</v>
      </c>
      <c r="CF14" s="38">
        <f t="shared" si="49"/>
        <v>13872.334491399999</v>
      </c>
      <c r="CG14" s="38">
        <f t="shared" si="50"/>
        <v>2298.9390654999997</v>
      </c>
      <c r="CH14" s="55"/>
      <c r="CI14" s="38"/>
      <c r="CJ14" s="38">
        <f t="shared" si="51"/>
        <v>18355.444425</v>
      </c>
      <c r="CK14" s="38">
        <f t="shared" si="52"/>
        <v>18355.444425</v>
      </c>
      <c r="CL14" s="38">
        <f t="shared" si="53"/>
        <v>38139.3920196</v>
      </c>
      <c r="CM14" s="38">
        <f t="shared" si="54"/>
        <v>6320.5034670000005</v>
      </c>
      <c r="CN14" s="38"/>
      <c r="CO14" s="38"/>
      <c r="CP14" s="38">
        <f t="shared" si="55"/>
        <v>7979.740925</v>
      </c>
      <c r="CQ14" s="38">
        <f t="shared" si="56"/>
        <v>7979.740925</v>
      </c>
      <c r="CR14" s="38">
        <f t="shared" si="57"/>
        <v>16580.5011476</v>
      </c>
      <c r="CS14" s="38">
        <f t="shared" si="58"/>
        <v>2747.739527</v>
      </c>
      <c r="CT14" s="55"/>
      <c r="CU14" s="38"/>
      <c r="CV14" s="38">
        <f t="shared" si="59"/>
        <v>6966.228975</v>
      </c>
      <c r="CW14" s="38">
        <f t="shared" si="60"/>
        <v>6966.228975</v>
      </c>
      <c r="CX14" s="38">
        <f t="shared" si="61"/>
        <v>14474.6011932</v>
      </c>
      <c r="CY14" s="38">
        <f t="shared" si="62"/>
        <v>2398.747389</v>
      </c>
      <c r="CZ14" s="55"/>
      <c r="DA14" s="80"/>
      <c r="DB14" s="80">
        <f t="shared" si="63"/>
        <v>903.7066124999999</v>
      </c>
      <c r="DC14" s="80">
        <f t="shared" si="64"/>
        <v>903.7066124999999</v>
      </c>
      <c r="DD14" s="38">
        <f t="shared" si="65"/>
        <v>1877.7437346</v>
      </c>
      <c r="DE14" s="38">
        <f t="shared" si="66"/>
        <v>311.1818295</v>
      </c>
      <c r="DF14" s="55"/>
      <c r="DG14" s="38"/>
      <c r="DH14" s="38">
        <f t="shared" si="67"/>
        <v>26.0675875</v>
      </c>
      <c r="DI14" s="38">
        <f t="shared" si="68"/>
        <v>26.0675875</v>
      </c>
      <c r="DJ14" s="38">
        <f t="shared" si="69"/>
        <v>54.1638718</v>
      </c>
      <c r="DK14" s="38">
        <f t="shared" si="70"/>
        <v>8.9760985</v>
      </c>
      <c r="DL14" s="55"/>
      <c r="DM14" s="38"/>
      <c r="DN14" s="38">
        <f t="shared" si="71"/>
        <v>6105.0912124999995</v>
      </c>
      <c r="DO14" s="38">
        <f t="shared" si="72"/>
        <v>6105.0912124999995</v>
      </c>
      <c r="DP14" s="38">
        <f t="shared" si="73"/>
        <v>12685.308057799999</v>
      </c>
      <c r="DQ14" s="38">
        <f t="shared" si="74"/>
        <v>2102.2236935</v>
      </c>
      <c r="DR14" s="55"/>
      <c r="DS14" s="38"/>
      <c r="DT14" s="38">
        <f t="shared" si="75"/>
        <v>372.37373750000006</v>
      </c>
      <c r="DU14" s="38">
        <f t="shared" si="76"/>
        <v>372.37373750000006</v>
      </c>
      <c r="DV14" s="38">
        <f t="shared" si="77"/>
        <v>773.7272726</v>
      </c>
      <c r="DW14" s="38">
        <f t="shared" si="78"/>
        <v>128.22296450000002</v>
      </c>
      <c r="DX14" s="55"/>
      <c r="DY14" s="38"/>
      <c r="DZ14" s="38">
        <f t="shared" si="79"/>
        <v>6318.1947125</v>
      </c>
      <c r="EA14" s="38">
        <f t="shared" si="80"/>
        <v>6318.1947125</v>
      </c>
      <c r="EB14" s="38">
        <f t="shared" si="81"/>
        <v>13128.099729799998</v>
      </c>
      <c r="EC14" s="38">
        <f t="shared" si="82"/>
        <v>2175.6036335</v>
      </c>
      <c r="ED14" s="55"/>
      <c r="EE14" s="38"/>
      <c r="EF14" s="38">
        <f t="shared" si="83"/>
        <v>787.523725</v>
      </c>
      <c r="EG14" s="38">
        <f t="shared" si="84"/>
        <v>787.523725</v>
      </c>
      <c r="EH14" s="38">
        <f t="shared" si="85"/>
        <v>1636.3360852</v>
      </c>
      <c r="EI14" s="38">
        <f t="shared" si="86"/>
        <v>271.175479</v>
      </c>
      <c r="EJ14" s="55"/>
      <c r="EK14" s="38"/>
      <c r="EL14" s="38">
        <f t="shared" si="87"/>
        <v>339.4230625</v>
      </c>
      <c r="EM14" s="38">
        <f t="shared" si="88"/>
        <v>339.4230625</v>
      </c>
      <c r="EN14" s="38">
        <f t="shared" si="89"/>
        <v>705.261553</v>
      </c>
      <c r="EO14" s="38">
        <f t="shared" si="90"/>
        <v>116.87674750000001</v>
      </c>
      <c r="EP14" s="55"/>
      <c r="EQ14" s="38"/>
      <c r="ER14" s="38"/>
      <c r="ES14" s="38"/>
      <c r="ET14" s="38"/>
      <c r="EU14" s="38"/>
      <c r="EV14" s="55"/>
      <c r="EW14" s="55">
        <f t="shared" si="91"/>
        <v>0</v>
      </c>
      <c r="EX14" s="55">
        <f t="shared" si="91"/>
        <v>112.74782499999999</v>
      </c>
      <c r="EY14" s="38">
        <f t="shared" si="92"/>
        <v>112.74782499999999</v>
      </c>
      <c r="EZ14" s="38">
        <f t="shared" si="93"/>
        <v>234.2701924</v>
      </c>
      <c r="FA14" s="38">
        <f t="shared" si="94"/>
        <v>38.823523</v>
      </c>
      <c r="FB14" s="55"/>
      <c r="FC14" s="38">
        <f t="shared" si="95"/>
        <v>0</v>
      </c>
      <c r="FD14" s="38">
        <f t="shared" si="95"/>
        <v>252.8335625</v>
      </c>
      <c r="FE14" s="38">
        <f t="shared" si="96"/>
        <v>252.8335625</v>
      </c>
      <c r="FF14" s="38">
        <f t="shared" si="97"/>
        <v>525.343769</v>
      </c>
      <c r="FG14" s="38">
        <f t="shared" si="98"/>
        <v>87.0605675</v>
      </c>
      <c r="FH14" s="55"/>
      <c r="FI14" s="55"/>
      <c r="FJ14" s="55"/>
      <c r="FK14" s="55"/>
      <c r="FL14" s="55"/>
      <c r="FM14" s="55"/>
      <c r="FN14" s="55"/>
      <c r="FO14" s="55"/>
      <c r="FP14" s="55"/>
      <c r="FQ14" s="55"/>
    </row>
    <row r="15" spans="1:173" s="57" customFormat="1" ht="12.75">
      <c r="A15" s="56">
        <v>44287</v>
      </c>
      <c r="C15" s="55">
        <v>5185000</v>
      </c>
      <c r="D15" s="55">
        <v>129625</v>
      </c>
      <c r="E15" s="41">
        <f t="shared" si="0"/>
        <v>5314625</v>
      </c>
      <c r="F15" s="41">
        <v>269338</v>
      </c>
      <c r="G15" s="41">
        <v>44635</v>
      </c>
      <c r="H15" s="55"/>
      <c r="I15" s="41">
        <f t="shared" si="1"/>
        <v>14623.2555</v>
      </c>
      <c r="J15" s="47">
        <f t="shared" si="1"/>
        <v>365.5813875</v>
      </c>
      <c r="K15" s="41">
        <f t="shared" si="2"/>
        <v>14988.8368875</v>
      </c>
      <c r="L15" s="41">
        <f t="shared" si="3"/>
        <v>759.6139614</v>
      </c>
      <c r="M15" s="41">
        <f t="shared" si="3"/>
        <v>125.88409050000001</v>
      </c>
      <c r="O15" s="38">
        <f t="shared" si="99"/>
        <v>5170376.7445</v>
      </c>
      <c r="P15" s="38">
        <f t="shared" si="4"/>
        <v>129259.41861250004</v>
      </c>
      <c r="Q15" s="38">
        <f t="shared" si="5"/>
        <v>5299636.1631125</v>
      </c>
      <c r="R15" s="38">
        <f t="shared" si="6"/>
        <v>268578.38603860006</v>
      </c>
      <c r="S15" s="38">
        <f t="shared" si="6"/>
        <v>44509.11590949998</v>
      </c>
      <c r="U15" s="55">
        <f>C15*15.05006/100</f>
        <v>780345.6109999999</v>
      </c>
      <c r="V15" s="55">
        <f t="shared" si="7"/>
        <v>19508.640275</v>
      </c>
      <c r="W15" s="38">
        <f t="shared" si="8"/>
        <v>799854.2512749999</v>
      </c>
      <c r="X15" s="38">
        <f t="shared" si="9"/>
        <v>40535.530602800005</v>
      </c>
      <c r="Y15" s="38">
        <f t="shared" si="10"/>
        <v>6717.594281000001</v>
      </c>
      <c r="Z15" s="55"/>
      <c r="AA15" s="38">
        <f>C15*16.92584/100</f>
        <v>877604.804</v>
      </c>
      <c r="AB15" s="38">
        <f t="shared" si="11"/>
        <v>21940.120100000004</v>
      </c>
      <c r="AC15" s="38">
        <f t="shared" si="12"/>
        <v>899544.9241000001</v>
      </c>
      <c r="AD15" s="38">
        <f t="shared" si="13"/>
        <v>45587.7189392</v>
      </c>
      <c r="AE15" s="38">
        <f t="shared" si="14"/>
        <v>7554.8486840000005</v>
      </c>
      <c r="AF15" s="55"/>
      <c r="AG15" s="38">
        <f>C15*9.75766/100</f>
        <v>505934.6709999999</v>
      </c>
      <c r="AH15" s="38">
        <f t="shared" si="15"/>
        <v>12648.366775</v>
      </c>
      <c r="AI15" s="38">
        <f t="shared" si="16"/>
        <v>518583.0377749999</v>
      </c>
      <c r="AJ15" s="38">
        <f t="shared" si="17"/>
        <v>26281.086290799998</v>
      </c>
      <c r="AK15" s="38">
        <f t="shared" si="18"/>
        <v>4355.331541</v>
      </c>
      <c r="AL15" s="55"/>
      <c r="AM15" s="38">
        <f>C15*7.48131/100</f>
        <v>387905.92350000003</v>
      </c>
      <c r="AN15" s="38">
        <f t="shared" si="19"/>
        <v>9697.6480875</v>
      </c>
      <c r="AO15" s="38">
        <f t="shared" si="20"/>
        <v>397603.57158750005</v>
      </c>
      <c r="AP15" s="38">
        <f t="shared" si="21"/>
        <v>20150.0107278</v>
      </c>
      <c r="AQ15" s="38">
        <f t="shared" si="22"/>
        <v>3339.2827184999996</v>
      </c>
      <c r="AR15" s="55"/>
      <c r="AS15" s="38">
        <f>C15*0.21612/100</f>
        <v>11205.822</v>
      </c>
      <c r="AT15" s="38">
        <f t="shared" si="23"/>
        <v>280.14555</v>
      </c>
      <c r="AU15" s="38">
        <f t="shared" si="24"/>
        <v>11485.96755</v>
      </c>
      <c r="AV15" s="38">
        <f t="shared" si="25"/>
        <v>582.0932856</v>
      </c>
      <c r="AW15" s="38">
        <f t="shared" si="26"/>
        <v>96.46516199999999</v>
      </c>
      <c r="AX15" s="55"/>
      <c r="AY15" s="38">
        <f>C15*0.01906/100</f>
        <v>988.2610000000001</v>
      </c>
      <c r="AZ15" s="38">
        <f t="shared" si="27"/>
        <v>24.706525000000003</v>
      </c>
      <c r="BA15" s="38">
        <f t="shared" si="28"/>
        <v>1012.9675250000001</v>
      </c>
      <c r="BB15" s="38">
        <f t="shared" si="29"/>
        <v>51.3358228</v>
      </c>
      <c r="BC15" s="38">
        <f t="shared" si="30"/>
        <v>8.507431</v>
      </c>
      <c r="BD15" s="55"/>
      <c r="BE15" s="38">
        <f>C15*0.01369/100</f>
        <v>709.8265000000001</v>
      </c>
      <c r="BF15" s="38">
        <f t="shared" si="31"/>
        <v>17.7456625</v>
      </c>
      <c r="BG15" s="38">
        <f t="shared" si="32"/>
        <v>727.5721625000001</v>
      </c>
      <c r="BH15" s="38">
        <f t="shared" si="33"/>
        <v>36.8723722</v>
      </c>
      <c r="BI15" s="38">
        <f t="shared" si="34"/>
        <v>6.1105315</v>
      </c>
      <c r="BJ15" s="55"/>
      <c r="BK15" s="38">
        <f>C15*0.23757/100</f>
        <v>12318.0045</v>
      </c>
      <c r="BL15" s="38">
        <f t="shared" si="35"/>
        <v>307.9501125</v>
      </c>
      <c r="BM15" s="38">
        <f t="shared" si="36"/>
        <v>12625.9546125</v>
      </c>
      <c r="BN15" s="38">
        <f t="shared" si="37"/>
        <v>639.8662866000001</v>
      </c>
      <c r="BO15" s="38">
        <f t="shared" si="38"/>
        <v>106.0393695</v>
      </c>
      <c r="BP15" s="55"/>
      <c r="BQ15" s="38">
        <f>C15*5.91225/100</f>
        <v>306550.1625</v>
      </c>
      <c r="BR15" s="38">
        <f t="shared" si="39"/>
        <v>7663.7540625</v>
      </c>
      <c r="BS15" s="38">
        <f t="shared" si="40"/>
        <v>314213.9165625</v>
      </c>
      <c r="BT15" s="38">
        <f t="shared" si="41"/>
        <v>15923.935905</v>
      </c>
      <c r="BU15" s="38">
        <f t="shared" si="42"/>
        <v>2638.9327875</v>
      </c>
      <c r="BV15" s="55"/>
      <c r="BW15" s="38">
        <f>C15*1.80534/100</f>
        <v>93606.879</v>
      </c>
      <c r="BX15" s="38">
        <f t="shared" si="43"/>
        <v>2340.1719749999997</v>
      </c>
      <c r="BY15" s="38">
        <f t="shared" si="44"/>
        <v>95947.050975</v>
      </c>
      <c r="BZ15" s="38">
        <f t="shared" si="45"/>
        <v>4862.466649200001</v>
      </c>
      <c r="CA15" s="38">
        <f t="shared" si="46"/>
        <v>805.8135090000001</v>
      </c>
      <c r="CB15" s="55"/>
      <c r="CC15" s="38">
        <f>C15*5.15053/100</f>
        <v>267054.9805</v>
      </c>
      <c r="CD15" s="38">
        <f t="shared" si="47"/>
        <v>6676.3745125</v>
      </c>
      <c r="CE15" s="38">
        <f t="shared" si="48"/>
        <v>273731.3550125</v>
      </c>
      <c r="CF15" s="38">
        <f t="shared" si="49"/>
        <v>13872.334491399999</v>
      </c>
      <c r="CG15" s="38">
        <f t="shared" si="50"/>
        <v>2298.9390654999997</v>
      </c>
      <c r="CH15" s="55"/>
      <c r="CI15" s="38">
        <f>C15*14.16042/100</f>
        <v>734217.777</v>
      </c>
      <c r="CJ15" s="38">
        <f t="shared" si="51"/>
        <v>18355.444425</v>
      </c>
      <c r="CK15" s="38">
        <f t="shared" si="52"/>
        <v>752573.221425</v>
      </c>
      <c r="CL15" s="38">
        <f t="shared" si="53"/>
        <v>38139.3920196</v>
      </c>
      <c r="CM15" s="38">
        <f t="shared" si="54"/>
        <v>6320.5034670000005</v>
      </c>
      <c r="CN15" s="38"/>
      <c r="CO15" s="38">
        <f>C15*6.15602/100</f>
        <v>319189.637</v>
      </c>
      <c r="CP15" s="38">
        <f t="shared" si="55"/>
        <v>7979.740925</v>
      </c>
      <c r="CQ15" s="38">
        <f t="shared" si="56"/>
        <v>327169.377925</v>
      </c>
      <c r="CR15" s="38">
        <f t="shared" si="57"/>
        <v>16580.5011476</v>
      </c>
      <c r="CS15" s="38">
        <f t="shared" si="58"/>
        <v>2747.739527</v>
      </c>
      <c r="CT15" s="55"/>
      <c r="CU15" s="38">
        <f>C15*5.37414/100</f>
        <v>278649.159</v>
      </c>
      <c r="CV15" s="38">
        <f t="shared" si="59"/>
        <v>6966.228975</v>
      </c>
      <c r="CW15" s="38">
        <f t="shared" si="60"/>
        <v>285615.38797499996</v>
      </c>
      <c r="CX15" s="38">
        <f t="shared" si="61"/>
        <v>14474.6011932</v>
      </c>
      <c r="CY15" s="38">
        <f t="shared" si="62"/>
        <v>2398.747389</v>
      </c>
      <c r="CZ15" s="55"/>
      <c r="DA15" s="80">
        <f>C15*0.69717/100</f>
        <v>36148.2645</v>
      </c>
      <c r="DB15" s="80">
        <f t="shared" si="63"/>
        <v>903.7066124999999</v>
      </c>
      <c r="DC15" s="80">
        <f t="shared" si="64"/>
        <v>37051.971112499996</v>
      </c>
      <c r="DD15" s="38">
        <f t="shared" si="65"/>
        <v>1877.7437346</v>
      </c>
      <c r="DE15" s="38">
        <f t="shared" si="66"/>
        <v>311.1818295</v>
      </c>
      <c r="DF15" s="55"/>
      <c r="DG15" s="38">
        <f>C15*0.02011/100</f>
        <v>1042.7034999999998</v>
      </c>
      <c r="DH15" s="38">
        <f t="shared" si="67"/>
        <v>26.0675875</v>
      </c>
      <c r="DI15" s="38">
        <f t="shared" si="68"/>
        <v>1068.7710874999998</v>
      </c>
      <c r="DJ15" s="38">
        <f t="shared" si="69"/>
        <v>54.1638718</v>
      </c>
      <c r="DK15" s="38">
        <f t="shared" si="70"/>
        <v>8.9760985</v>
      </c>
      <c r="DL15" s="55"/>
      <c r="DM15" s="38">
        <f>C15*4.70981/100</f>
        <v>244203.6485</v>
      </c>
      <c r="DN15" s="38">
        <f t="shared" si="71"/>
        <v>6105.0912124999995</v>
      </c>
      <c r="DO15" s="38">
        <f t="shared" si="72"/>
        <v>250308.7397125</v>
      </c>
      <c r="DP15" s="38">
        <f t="shared" si="73"/>
        <v>12685.308057799999</v>
      </c>
      <c r="DQ15" s="38">
        <f t="shared" si="74"/>
        <v>2102.2236935</v>
      </c>
      <c r="DR15" s="55"/>
      <c r="DS15" s="38">
        <f>C15*0.28727/100</f>
        <v>14894.949500000002</v>
      </c>
      <c r="DT15" s="38">
        <f t="shared" si="75"/>
        <v>372.37373750000006</v>
      </c>
      <c r="DU15" s="38">
        <f t="shared" si="76"/>
        <v>15267.323237500003</v>
      </c>
      <c r="DV15" s="38">
        <f t="shared" si="77"/>
        <v>773.7272726</v>
      </c>
      <c r="DW15" s="38">
        <f t="shared" si="78"/>
        <v>128.22296450000002</v>
      </c>
      <c r="DX15" s="55"/>
      <c r="DY15" s="38">
        <f>C15*4.87421/100</f>
        <v>252727.78849999997</v>
      </c>
      <c r="DZ15" s="38">
        <f t="shared" si="79"/>
        <v>6318.1947125</v>
      </c>
      <c r="EA15" s="38">
        <f t="shared" si="80"/>
        <v>259045.98321249997</v>
      </c>
      <c r="EB15" s="38">
        <f t="shared" si="81"/>
        <v>13128.099729799998</v>
      </c>
      <c r="EC15" s="38">
        <f t="shared" si="82"/>
        <v>2175.6036335</v>
      </c>
      <c r="ED15" s="55"/>
      <c r="EE15" s="38">
        <f>C15*0.60754/100</f>
        <v>31500.949</v>
      </c>
      <c r="EF15" s="38">
        <f t="shared" si="83"/>
        <v>787.523725</v>
      </c>
      <c r="EG15" s="38">
        <f t="shared" si="84"/>
        <v>32288.472725</v>
      </c>
      <c r="EH15" s="38">
        <f t="shared" si="85"/>
        <v>1636.3360852</v>
      </c>
      <c r="EI15" s="38">
        <f t="shared" si="86"/>
        <v>271.175479</v>
      </c>
      <c r="EJ15" s="55"/>
      <c r="EK15" s="38">
        <f>C15*0.26185/100</f>
        <v>13576.922500000002</v>
      </c>
      <c r="EL15" s="38">
        <f t="shared" si="87"/>
        <v>339.4230625</v>
      </c>
      <c r="EM15" s="38">
        <f t="shared" si="88"/>
        <v>13916.345562500002</v>
      </c>
      <c r="EN15" s="38">
        <f t="shared" si="89"/>
        <v>705.261553</v>
      </c>
      <c r="EO15" s="38">
        <f t="shared" si="90"/>
        <v>116.87674750000001</v>
      </c>
      <c r="EP15" s="55"/>
      <c r="EQ15" s="38"/>
      <c r="ER15" s="38"/>
      <c r="ES15" s="38"/>
      <c r="ET15" s="38"/>
      <c r="EU15" s="38"/>
      <c r="EV15" s="55"/>
      <c r="EW15" s="55">
        <f t="shared" si="91"/>
        <v>4509.913</v>
      </c>
      <c r="EX15" s="55">
        <f t="shared" si="91"/>
        <v>112.74782499999999</v>
      </c>
      <c r="EY15" s="38">
        <f t="shared" si="92"/>
        <v>4622.660825</v>
      </c>
      <c r="EZ15" s="38">
        <f t="shared" si="93"/>
        <v>234.2701924</v>
      </c>
      <c r="FA15" s="38">
        <f t="shared" si="94"/>
        <v>38.823523</v>
      </c>
      <c r="FB15" s="55"/>
      <c r="FC15" s="38">
        <f t="shared" si="95"/>
        <v>10113.3425</v>
      </c>
      <c r="FD15" s="38">
        <f t="shared" si="95"/>
        <v>252.8335625</v>
      </c>
      <c r="FE15" s="38">
        <f t="shared" si="96"/>
        <v>10366.1760625</v>
      </c>
      <c r="FF15" s="38">
        <f t="shared" si="97"/>
        <v>525.343769</v>
      </c>
      <c r="FG15" s="38">
        <f t="shared" si="98"/>
        <v>87.0605675</v>
      </c>
      <c r="FH15" s="55"/>
      <c r="FI15" s="55"/>
      <c r="FJ15" s="55"/>
      <c r="FK15" s="55"/>
      <c r="FL15" s="55"/>
      <c r="FM15" s="55"/>
      <c r="FN15" s="55"/>
      <c r="FO15" s="55"/>
      <c r="FP15" s="55"/>
      <c r="FQ15" s="55"/>
    </row>
    <row r="16" spans="3:173" ht="12.75">
      <c r="C16" s="47"/>
      <c r="D16" s="47"/>
      <c r="E16" s="47"/>
      <c r="F16" s="47"/>
      <c r="G16" s="47"/>
      <c r="I16" s="47"/>
      <c r="J16" s="47"/>
      <c r="K16" s="47"/>
      <c r="L16" s="47"/>
      <c r="M16" s="47"/>
      <c r="U16" s="55"/>
      <c r="V16" s="55"/>
      <c r="W16" s="55"/>
      <c r="X16" s="55"/>
      <c r="Y16" s="55"/>
      <c r="Z16" s="38"/>
      <c r="AA16" s="38"/>
      <c r="AB16" s="38"/>
      <c r="AC16" s="38"/>
      <c r="AD16" s="38"/>
      <c r="AE16" s="38"/>
      <c r="AF16" s="38"/>
      <c r="AG16" s="55"/>
      <c r="AH16" s="55"/>
      <c r="AI16" s="55"/>
      <c r="AJ16" s="55"/>
      <c r="AK16" s="55"/>
      <c r="AL16" s="38"/>
      <c r="AM16" s="55"/>
      <c r="AN16" s="55"/>
      <c r="AO16" s="55"/>
      <c r="AP16" s="55"/>
      <c r="AQ16" s="55"/>
      <c r="AR16" s="38"/>
      <c r="AS16" s="55"/>
      <c r="AT16" s="55"/>
      <c r="AU16" s="55"/>
      <c r="AV16" s="55"/>
      <c r="AW16" s="55"/>
      <c r="AX16" s="38"/>
      <c r="AY16" s="55"/>
      <c r="AZ16" s="55"/>
      <c r="BA16" s="55"/>
      <c r="BB16" s="55"/>
      <c r="BC16" s="55"/>
      <c r="BD16" s="38"/>
      <c r="BE16" s="55"/>
      <c r="BF16" s="55"/>
      <c r="BG16" s="55"/>
      <c r="BH16" s="55"/>
      <c r="BI16" s="55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55"/>
      <c r="CV16" s="55"/>
      <c r="CW16" s="55"/>
      <c r="CX16" s="55"/>
      <c r="CY16" s="55"/>
      <c r="CZ16" s="55"/>
      <c r="DA16" s="81"/>
      <c r="DB16" s="81"/>
      <c r="DC16" s="81"/>
      <c r="DD16" s="81"/>
      <c r="DE16" s="81"/>
      <c r="DF16" s="55"/>
      <c r="DG16" s="55"/>
      <c r="DH16" s="55"/>
      <c r="DI16" s="55"/>
      <c r="DJ16" s="55"/>
      <c r="DK16" s="55"/>
      <c r="DL16" s="38"/>
      <c r="DM16" s="38"/>
      <c r="DN16" s="38"/>
      <c r="DO16" s="38"/>
      <c r="DP16" s="38" t="s">
        <v>82</v>
      </c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55"/>
      <c r="ER16" s="55"/>
      <c r="ES16" s="55"/>
      <c r="ET16" s="55"/>
      <c r="EU16" s="55"/>
      <c r="EV16" s="38"/>
      <c r="EW16" s="55"/>
      <c r="EX16" s="55"/>
      <c r="EY16" s="55"/>
      <c r="EZ16" s="55"/>
      <c r="FA16" s="55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</row>
    <row r="17" spans="1:173" ht="13.5" thickBot="1">
      <c r="A17" s="36" t="s">
        <v>4</v>
      </c>
      <c r="C17" s="54">
        <f>SUM(C8:C15)</f>
        <v>18830000</v>
      </c>
      <c r="D17" s="54">
        <f>SUM(D8:D15)</f>
        <v>2531303</v>
      </c>
      <c r="E17" s="54">
        <f>SUM(E8:E15)</f>
        <v>21361303</v>
      </c>
      <c r="F17" s="54">
        <f>SUM(F8:F15)</f>
        <v>2154701</v>
      </c>
      <c r="G17" s="54">
        <f>SUM(G8:G15)</f>
        <v>357078</v>
      </c>
      <c r="I17" s="54">
        <f>SUM(I8:I15)</f>
        <v>53106.249</v>
      </c>
      <c r="J17" s="54">
        <f>SUM(J8:J15)</f>
        <v>7139.033850900001</v>
      </c>
      <c r="K17" s="54">
        <f>SUM(K8:K15)</f>
        <v>60245.28285090001</v>
      </c>
      <c r="L17" s="54">
        <f>SUM(L8:L15)</f>
        <v>6076.9032303</v>
      </c>
      <c r="M17" s="54">
        <f>SUM(M8:M15)</f>
        <v>1007.0670834</v>
      </c>
      <c r="O17" s="54">
        <f>SUM(O8:O15)</f>
        <v>18776893.751</v>
      </c>
      <c r="P17" s="54">
        <f>SUM(P8:P15)</f>
        <v>2524163.9661491006</v>
      </c>
      <c r="Q17" s="54">
        <f>SUM(Q8:Q15)</f>
        <v>21301057.7171491</v>
      </c>
      <c r="R17" s="54">
        <f>SUM(R8:R15)</f>
        <v>2148624.0967697003</v>
      </c>
      <c r="S17" s="54">
        <f>SUM(S8:S15)</f>
        <v>356070.9329165999</v>
      </c>
      <c r="U17" s="54">
        <f>SUM(U8:U15)</f>
        <v>2833926.298</v>
      </c>
      <c r="V17" s="54">
        <f>SUM(V8:V15)</f>
        <v>380962.62028180005</v>
      </c>
      <c r="W17" s="54">
        <f>SUM(W8:W15)</f>
        <v>3214888.9182818</v>
      </c>
      <c r="X17" s="54">
        <f>SUM(X8:X16)</f>
        <v>324283.79332060006</v>
      </c>
      <c r="Y17" s="54">
        <f>SUM(Y8:Y16)</f>
        <v>53740.453246799996</v>
      </c>
      <c r="Z17" s="38"/>
      <c r="AA17" s="54">
        <f>SUM(AA8:AA15)</f>
        <v>3187135.6720000003</v>
      </c>
      <c r="AB17" s="54">
        <f>SUM(AB8:AB15)</f>
        <v>428444.29569520004</v>
      </c>
      <c r="AC17" s="54">
        <f>SUM(AC8:AC15)</f>
        <v>3615579.9676952</v>
      </c>
      <c r="AD17" s="54">
        <f>SUM(AD8:AD15)</f>
        <v>364701.24373839993</v>
      </c>
      <c r="AE17" s="54">
        <f>SUM(AE8:AE15)</f>
        <v>60438.450955199994</v>
      </c>
      <c r="AF17" s="38"/>
      <c r="AG17" s="54">
        <f>SUM(AG8:AG15)</f>
        <v>1837367.3779999998</v>
      </c>
      <c r="AH17" s="54">
        <f>SUM(AH8:AH15)</f>
        <v>246995.9403098</v>
      </c>
      <c r="AI17" s="54">
        <f>SUM(AI8:AI15)</f>
        <v>2084363.3183097998</v>
      </c>
      <c r="AJ17" s="54">
        <f>SUM(AJ8:AJ15)</f>
        <v>210248.3975966</v>
      </c>
      <c r="AK17" s="54">
        <f>SUM(AK8:AK15)</f>
        <v>34842.4571748</v>
      </c>
      <c r="AL17" s="38"/>
      <c r="AM17" s="54">
        <f>SUM(AM8:AM15)</f>
        <v>1408730.673</v>
      </c>
      <c r="AN17" s="54">
        <f>SUM(AN8:AN15)</f>
        <v>189374.62446930003</v>
      </c>
      <c r="AO17" s="54">
        <f>SUM(AO8:AO15)</f>
        <v>1598105.2974692998</v>
      </c>
      <c r="AP17" s="54">
        <f>SUM(AP8:AP15)</f>
        <v>161199.86138309998</v>
      </c>
      <c r="AQ17" s="54">
        <f>SUM(AQ8:AQ15)</f>
        <v>26714.112121799993</v>
      </c>
      <c r="AR17" s="38"/>
      <c r="AS17" s="54">
        <f>SUM(AS8:AS15)</f>
        <v>40695.396</v>
      </c>
      <c r="AT17" s="54">
        <f>SUM(AT8:AT15)</f>
        <v>5470.652043600001</v>
      </c>
      <c r="AU17" s="54">
        <f>SUM(AU8:AU15)</f>
        <v>46166.0480436</v>
      </c>
      <c r="AV17" s="54">
        <f>SUM(AV8:AV15)</f>
        <v>4656.739801199999</v>
      </c>
      <c r="AW17" s="54">
        <f>SUM(AW8:AW15)</f>
        <v>771.7169735999998</v>
      </c>
      <c r="AX17" s="38"/>
      <c r="AY17" s="54">
        <f>SUM(AY8:AY15)</f>
        <v>3588.998</v>
      </c>
      <c r="AZ17" s="54">
        <f>SUM(AZ8:AZ15)</f>
        <v>482.4663518</v>
      </c>
      <c r="BA17" s="54">
        <f>SUM(BA8:BA15)</f>
        <v>4071.4643518</v>
      </c>
      <c r="BB17" s="54">
        <f>SUM(BB8:BB15)</f>
        <v>410.6860106000001</v>
      </c>
      <c r="BC17" s="54">
        <f>SUM(BC8:BC15)</f>
        <v>68.0590668</v>
      </c>
      <c r="BD17" s="38"/>
      <c r="BE17" s="54">
        <f>SUM(BE8:BE15)</f>
        <v>2577.827</v>
      </c>
      <c r="BF17" s="54">
        <f>SUM(BF8:BF15)</f>
        <v>346.53538069999996</v>
      </c>
      <c r="BG17" s="54">
        <f>SUM(BG8:BG15)</f>
        <v>2924.3623807000004</v>
      </c>
      <c r="BH17" s="54">
        <f>SUM(BH8:BH15)</f>
        <v>294.97856690000003</v>
      </c>
      <c r="BI17" s="54">
        <f>SUM(BI8:BI15)</f>
        <v>48.8839782</v>
      </c>
      <c r="BJ17" s="38"/>
      <c r="BK17" s="54">
        <f>SUM(BK8:BK15)</f>
        <v>44734.431</v>
      </c>
      <c r="BL17" s="54">
        <f>SUM(BL8:BL15)</f>
        <v>6013.616537099999</v>
      </c>
      <c r="BM17" s="54">
        <f>SUM(BM8:BM15)</f>
        <v>50748.0475371</v>
      </c>
      <c r="BN17" s="54">
        <f>SUM(BN8:BN15)</f>
        <v>5118.923165700001</v>
      </c>
      <c r="BO17" s="54">
        <f>SUM(BO8:BO15)</f>
        <v>848.3102046000001</v>
      </c>
      <c r="BP17" s="38"/>
      <c r="BQ17" s="54">
        <f>SUM(BQ8:BQ15)</f>
        <v>1113276.6749999998</v>
      </c>
      <c r="BR17" s="54">
        <f>SUM(BR8:BR15)</f>
        <v>149656.9616175</v>
      </c>
      <c r="BS17" s="54">
        <f>SUM(BS8:BS15)</f>
        <v>1262933.6366175</v>
      </c>
      <c r="BT17" s="54">
        <f>SUM(BT8:BT15)</f>
        <v>127391.30987250002</v>
      </c>
      <c r="BU17" s="54">
        <f>SUM(BU8:BU15)</f>
        <v>21111.344055</v>
      </c>
      <c r="BV17" s="38"/>
      <c r="BW17" s="54">
        <f>SUM(BW8:BW15)</f>
        <v>339945.52200000006</v>
      </c>
      <c r="BX17" s="54">
        <f>SUM(BX8:BX15)</f>
        <v>45698.625580199994</v>
      </c>
      <c r="BY17" s="54">
        <f>SUM(BY8:BY15)</f>
        <v>385644.14758020005</v>
      </c>
      <c r="BZ17" s="54">
        <f>SUM(BZ8:BZ15)</f>
        <v>38899.6790334</v>
      </c>
      <c r="CA17" s="54">
        <f>SUM(CA8:CA15)</f>
        <v>6446.4719652</v>
      </c>
      <c r="CB17" s="38"/>
      <c r="CC17" s="54">
        <f>SUM(CC8:CC15)</f>
        <v>969844.7990000001</v>
      </c>
      <c r="CD17" s="54">
        <f>SUM(CD8:CD15)</f>
        <v>130375.5204059</v>
      </c>
      <c r="CE17" s="54">
        <f>SUM(CE8:CE15)</f>
        <v>1100220.3194059</v>
      </c>
      <c r="CF17" s="54">
        <f>SUM(CF8:CF15)</f>
        <v>110978.52141530001</v>
      </c>
      <c r="CG17" s="54">
        <f>SUM(CG8:CG15)</f>
        <v>18391.409513399994</v>
      </c>
      <c r="CH17" s="38"/>
      <c r="CI17" s="54">
        <f>SUM(CI8:CI15)</f>
        <v>2666407.086</v>
      </c>
      <c r="CJ17" s="54">
        <f>SUM(CJ8:CJ15)</f>
        <v>358443.13627260004</v>
      </c>
      <c r="CK17" s="54">
        <f>SUM(CK8:CK15)</f>
        <v>3024850.2222726</v>
      </c>
      <c r="CL17" s="54">
        <f>SUM(CL8:CL15)</f>
        <v>305114.7113442</v>
      </c>
      <c r="CM17" s="54">
        <f>SUM(CM8:CM15)</f>
        <v>50563.744527600014</v>
      </c>
      <c r="CN17" s="47"/>
      <c r="CO17" s="54">
        <f>SUM(CO8:CO15)</f>
        <v>1159178.566</v>
      </c>
      <c r="CP17" s="54">
        <f>SUM(CP8:CP15)</f>
        <v>155827.51894059996</v>
      </c>
      <c r="CQ17" s="54">
        <f>SUM(CQ8:CQ15)</f>
        <v>1315006.0849406</v>
      </c>
      <c r="CR17" s="54">
        <f>SUM(CR8:CR15)</f>
        <v>132643.82450020002</v>
      </c>
      <c r="CS17" s="54">
        <f>SUM(CS8:CS15)</f>
        <v>21981.793095600002</v>
      </c>
      <c r="CT17" s="38"/>
      <c r="CU17" s="54">
        <f>SUM(CU8:CU15)</f>
        <v>1011950.5619999999</v>
      </c>
      <c r="CV17" s="54">
        <f>SUM(CV8:CV15)</f>
        <v>136035.7670442</v>
      </c>
      <c r="CW17" s="54">
        <f>SUM(CW8:CW15)</f>
        <v>1147986.3290441998</v>
      </c>
      <c r="CX17" s="54">
        <f>SUM(CX8:CX15)</f>
        <v>115796.64832139999</v>
      </c>
      <c r="CY17" s="54">
        <f>SUM(CY8:CY15)</f>
        <v>19189.8716292</v>
      </c>
      <c r="CZ17" s="47"/>
      <c r="DA17" s="82">
        <f>SUM(DA8:DA15)</f>
        <v>131277.11099999998</v>
      </c>
      <c r="DB17" s="82">
        <f>SUM(DB8:DB15)</f>
        <v>17647.485125099996</v>
      </c>
      <c r="DC17" s="82">
        <f>SUM(DC8:DC15)</f>
        <v>148924.59612509998</v>
      </c>
      <c r="DD17" s="82">
        <f>SUM(DD8:DD15)</f>
        <v>15021.928961700001</v>
      </c>
      <c r="DE17" s="82">
        <f>SUM(DE8:DE15)</f>
        <v>2489.4406925999997</v>
      </c>
      <c r="DF17" s="47"/>
      <c r="DG17" s="54">
        <f>SUM(DG8:DG15)</f>
        <v>3786.7129999999997</v>
      </c>
      <c r="DH17" s="54">
        <f>SUM(DH8:DH15)</f>
        <v>509.04503329999994</v>
      </c>
      <c r="DI17" s="54">
        <f>SUM(DI8:DI15)</f>
        <v>4295.7580333</v>
      </c>
      <c r="DJ17" s="54">
        <f>SUM(DJ8:DJ15)</f>
        <v>433.31037109999994</v>
      </c>
      <c r="DK17" s="54">
        <f>SUM(DK8:DK15)</f>
        <v>71.8083858</v>
      </c>
      <c r="DL17" s="38"/>
      <c r="DM17" s="54">
        <f>SUM(DM8:DM15)</f>
        <v>886857.2229999999</v>
      </c>
      <c r="DN17" s="54">
        <f>SUM(DN8:DN15)</f>
        <v>119219.56182430002</v>
      </c>
      <c r="DO17" s="54">
        <f>SUM(DO8:DO15)</f>
        <v>1006076.7848243</v>
      </c>
      <c r="DP17" s="54">
        <f>SUM(DP8:DP15)</f>
        <v>101482.32316809999</v>
      </c>
      <c r="DQ17" s="54">
        <f>SUM(DQ8:DQ15)</f>
        <v>16817.6953518</v>
      </c>
      <c r="DR17" s="38"/>
      <c r="DS17" s="54">
        <f>SUM(DS8:DS15)</f>
        <v>54092.941000000006</v>
      </c>
      <c r="DT17" s="54">
        <f>SUM(DT8:DT15)</f>
        <v>7271.6741281</v>
      </c>
      <c r="DU17" s="54">
        <f>SUM(DU8:DU15)</f>
        <v>61364.615128100006</v>
      </c>
      <c r="DV17" s="54">
        <f>SUM(DV8:DV15)</f>
        <v>6189.8095627</v>
      </c>
      <c r="DW17" s="54">
        <f>SUM(DW8:DW15)</f>
        <v>1025.7779706000001</v>
      </c>
      <c r="DX17" s="38"/>
      <c r="DY17" s="54">
        <f>SUM(DY8:DY15)</f>
        <v>917813.743</v>
      </c>
      <c r="DZ17" s="54">
        <f>SUM(DZ8:DZ15)</f>
        <v>123381.0239563</v>
      </c>
      <c r="EA17" s="54">
        <f>SUM(EA8:EA15)</f>
        <v>1041194.7669562999</v>
      </c>
      <c r="EB17" s="54">
        <f>SUM(EB8:EB15)</f>
        <v>105024.65161209999</v>
      </c>
      <c r="EC17" s="54">
        <f>SUM(EC8:EC15)</f>
        <v>17404.731583799996</v>
      </c>
      <c r="ED17" s="38"/>
      <c r="EE17" s="54">
        <f>SUM(EE8:EE15)</f>
        <v>114399.782</v>
      </c>
      <c r="EF17" s="54">
        <f>SUM(EF8:EF15)</f>
        <v>15378.678246199997</v>
      </c>
      <c r="EG17" s="54">
        <f>SUM(EG8:EG15)</f>
        <v>129778.46024619999</v>
      </c>
      <c r="EH17" s="54">
        <f>SUM(EH8:EH15)</f>
        <v>13090.670455400003</v>
      </c>
      <c r="EI17" s="54">
        <f>SUM(EI8:EI15)</f>
        <v>2169.3916811999998</v>
      </c>
      <c r="EJ17" s="38"/>
      <c r="EK17" s="54">
        <f>SUM(EK8:EK15)</f>
        <v>49306.35500000001</v>
      </c>
      <c r="EL17" s="54">
        <f>SUM(EL8:EL15)</f>
        <v>6628.216905500001</v>
      </c>
      <c r="EM17" s="54">
        <f>SUM(EM8:EM15)</f>
        <v>55934.57190550001</v>
      </c>
      <c r="EN17" s="54">
        <f>SUM(EN8:EN15)</f>
        <v>5642.084568500001</v>
      </c>
      <c r="EO17" s="54">
        <f>SUM(EO8:EO15)</f>
        <v>935.008743</v>
      </c>
      <c r="EP17" s="38"/>
      <c r="EQ17" s="54">
        <f>SUM(EQ8:EQ15)</f>
        <v>0</v>
      </c>
      <c r="ER17" s="54">
        <f>SUM(ER8:ER15)</f>
        <v>0</v>
      </c>
      <c r="ES17" s="54">
        <f>SUM(ES8:ES15)</f>
        <v>0</v>
      </c>
      <c r="ET17" s="47"/>
      <c r="EU17" s="47"/>
      <c r="EV17" s="38"/>
      <c r="EW17" s="54">
        <f>SUM(EW8:EW16)</f>
        <v>16378.333999999999</v>
      </c>
      <c r="EX17" s="54">
        <f>SUM(EX8:EX16)</f>
        <v>2201.7273493999996</v>
      </c>
      <c r="EY17" s="54">
        <f>SUM(EY8:EY16)</f>
        <v>18580.061349400003</v>
      </c>
      <c r="EZ17" s="54">
        <f>SUM(EZ8:EZ16)</f>
        <v>1874.1589298000001</v>
      </c>
      <c r="FA17" s="54">
        <f>SUM(FA8:FA16)</f>
        <v>310.5864444</v>
      </c>
      <c r="FB17" s="38"/>
      <c r="FC17" s="54">
        <f>SUM(FC8:FC16)</f>
        <v>36727.915</v>
      </c>
      <c r="FD17" s="54">
        <f>SUM(FD8:FD16)</f>
        <v>4937.3065015</v>
      </c>
      <c r="FE17" s="54">
        <f>SUM(FE8:FE16)</f>
        <v>41665.2215015</v>
      </c>
      <c r="FF17" s="54">
        <f>SUM(FF8:FF16)</f>
        <v>4202.7443005000005</v>
      </c>
      <c r="FG17" s="54">
        <f>SUM(FG8:FG16)</f>
        <v>696.4806390000001</v>
      </c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pans="105:109" ht="13.5" thickTop="1">
      <c r="DA18" s="83"/>
      <c r="DB18" s="83"/>
      <c r="DC18" s="83"/>
      <c r="DD18" s="83"/>
      <c r="DE18" s="83"/>
    </row>
    <row r="19" spans="3:109" ht="12.75">
      <c r="C19" s="41">
        <f>I17+O17</f>
        <v>18830000</v>
      </c>
      <c r="D19" s="41">
        <f>J17+P17</f>
        <v>2531303.0000000005</v>
      </c>
      <c r="F19" s="41">
        <f>L17+R17</f>
        <v>2154701.0000000005</v>
      </c>
      <c r="G19" s="41">
        <f>M17+S17</f>
        <v>357077.9999999999</v>
      </c>
      <c r="U19" s="23">
        <f>SUM(U8:U16)</f>
        <v>2833926.298</v>
      </c>
      <c r="AA19" s="23">
        <f>SUM(AA8:AA16)</f>
        <v>3187135.6720000003</v>
      </c>
      <c r="DA19" s="83"/>
      <c r="DB19" s="83"/>
      <c r="DC19" s="83"/>
      <c r="DD19" s="83"/>
      <c r="DE19" s="83"/>
    </row>
    <row r="20" spans="105:109" ht="12.75">
      <c r="DA20" s="83"/>
      <c r="DB20" s="83"/>
      <c r="DC20" s="83"/>
      <c r="DD20" s="83"/>
      <c r="DE20" s="83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2017-01-11T19:57:44Z</cp:lastPrinted>
  <dcterms:created xsi:type="dcterms:W3CDTF">1998-02-23T20:58:01Z</dcterms:created>
  <dcterms:modified xsi:type="dcterms:W3CDTF">2018-01-10T20:05:14Z</dcterms:modified>
  <cp:category/>
  <cp:version/>
  <cp:contentType/>
  <cp:contentStatus/>
</cp:coreProperties>
</file>