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08" activeTab="5"/>
  </bookViews>
  <sheets>
    <sheet name="2009D" sheetId="1" r:id="rId1"/>
    <sheet name="2009D Academic" sheetId="2" r:id="rId2"/>
    <sheet name="2010C" sheetId="3" r:id="rId3"/>
    <sheet name="2010C Academic" sheetId="4" r:id="rId4"/>
    <sheet name="2011B" sheetId="5" r:id="rId5"/>
    <sheet name="2011B Academic" sheetId="6" r:id="rId6"/>
    <sheet name="Percentage" sheetId="7" r:id="rId7"/>
  </sheets>
  <definedNames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<sst xmlns="http://schemas.openxmlformats.org/spreadsheetml/2006/main" count="1903" uniqueCount="185">
  <si>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</si>
  <si>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</si>
  <si>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</si>
  <si>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</si>
  <si>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</si>
  <si>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</si>
  <si>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</si>
  <si>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</si>
  <si>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</si>
  <si>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</si>
  <si>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</si>
  <si>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</si>
  <si>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</si>
  <si>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</si>
  <si>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</si>
  <si>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</si>
  <si>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</si>
  <si>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</si>
  <si>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</si>
  <si>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</si>
  <si>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</si>
  <si>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</si>
  <si>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</si>
  <si>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</si>
  <si>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</si>
  <si>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</si>
  <si>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</si>
  <si>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</si>
  <si>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</si>
  <si>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</si>
  <si>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</si>
  <si>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</si>
  <si>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</si>
  <si>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</si>
  <si>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</si>
  <si>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</si>
  <si>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</si>
  <si>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</si>
  <si>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</si>
  <si>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</si>
  <si>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</si>
  <si>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</si>
  <si>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</si>
  <si>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</si>
  <si>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</si>
  <si>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</si>
  <si>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</si>
  <si>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</si>
  <si>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</si>
  <si>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</si>
  <si>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</si>
  <si>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</si>
  <si>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</si>
  <si>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</si>
  <si>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</si>
  <si>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</si>
  <si>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</si>
  <si>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</si>
  <si>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</si>
  <si>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</si>
  <si>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</si>
  <si>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</si>
  <si>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</si>
  <si>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</si>
  <si>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</si>
  <si>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</si>
  <si>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</si>
  <si>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</si>
  <si>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</si>
  <si>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</si>
  <si>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</si>
  <si>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</si>
  <si>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</si>
  <si>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</si>
  <si>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</si>
  <si>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</si>
  <si>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</si>
  <si>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</si>
  <si>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</si>
  <si>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</si>
  <si>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</si>
  <si>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</si>
  <si>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</si>
  <si>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</si>
  <si>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</si>
  <si>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</si>
  <si>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</si>
  <si>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</si>
  <si>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</si>
  <si>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</si>
  <si>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</si>
  <si>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</si>
  <si>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</si>
  <si>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</si>
  <si>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</si>
  <si>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</si>
  <si>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</si>
  <si>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</si>
  <si>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</si>
  <si>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</si>
  <si>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</si>
  <si>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</si>
  <si>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</si>
  <si>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</si>
  <si>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</si>
  <si>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</si>
  <si>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</si>
  <si>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</si>
  <si>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</si>
  <si>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</si>
  <si>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</si>
  <si>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</si>
  <si>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</si>
  <si>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</si>
  <si>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</si>
  <si>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</si>
  <si>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</si>
  <si>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</si>
  <si>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</si>
  <si>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</si>
  <si>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</si>
  <si>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</si>
  <si>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</si>
  <si>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</si>
  <si>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</si>
  <si>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</si>
  <si>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</si>
  <si>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</si>
  <si>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</si>
  <si>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</si>
  <si>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</si>
  <si>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</si>
  <si>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</si>
  <si>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</si>
  <si>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</si>
  <si>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</si>
  <si>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</si>
  <si>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</si>
  <si>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</si>
  <si>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</si>
  <si>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</si>
  <si>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</si>
  <si>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</si>
  <si>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</si>
  <si>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</si>
  <si>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</si>
  <si>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</si>
  <si>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</si>
  <si>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</si>
  <si>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</si>
  <si>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</si>
  <si>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</si>
  <si>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</si>
  <si>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</si>
  <si>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</si>
  <si>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</si>
  <si>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</si>
  <si>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</si>
  <si>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</si>
  <si>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</si>
  <si>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</si>
  <si>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</si>
  <si>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</si>
  <si>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</si>
  <si>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</si>
  <si>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</si>
  <si>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</si>
  <si>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</si>
  <si>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</si>
  <si>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</si>
  <si>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</si>
  <si>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</si>
  <si>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>Distribution of Debt Services after 2009D Bond Issue</t>
  </si>
  <si>
    <t xml:space="preserve">            2003 Series A Bond Funded Projects</t>
  </si>
  <si>
    <t>Revised 2003A debt after 2009D</t>
  </si>
  <si>
    <t>2003A Refinanced on 2009D</t>
  </si>
  <si>
    <t xml:space="preserve">Amort of </t>
  </si>
  <si>
    <t xml:space="preserve">  USM (Paid off by UMUC) (Auxiliary)</t>
  </si>
  <si>
    <t>Distribution of Debt Services after 2010C Bond Issue</t>
  </si>
  <si>
    <t>Revised 2003A debt after 2010C</t>
  </si>
  <si>
    <t>2003A Refinanced on 2010C</t>
  </si>
  <si>
    <t>Distribution of Debt Services after 2011B Bond Issue</t>
  </si>
  <si>
    <t>Revised 2003A debt after 2011B</t>
  </si>
  <si>
    <t>2003A Refinanced on 2011B</t>
  </si>
  <si>
    <t>Gain on Refunding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</si>
</sst>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0" xfId="0" applyNumberFormat="1" applyFill="1" applyBorder="1" applyAlignment="1">
      <alignment horizontal="centerContinuous"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0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33" borderId="10" xfId="0" applyNumberFormat="1" applyFill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17" xfId="0" applyNumberFormat="1" applyBorder="1" applyAlignment="1">
      <alignment horizontal="center"/>
    </xf>
    <xf numFmtId="38" fontId="41" fillId="0" borderId="18" xfId="0" applyNumberFormat="1" applyFont="1" applyBorder="1" applyAlignment="1">
      <alignment horizontal="center"/>
    </xf>
    <xf numFmtId="38" fontId="4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5" t="s">
        <v>171</v>
      </c>
      <c r="H1"/>
      <c r="I1"/>
      <c r="J1"/>
      <c r="L1" s="45"/>
      <c r="M1" s="45"/>
      <c r="N1"/>
      <c r="Q1" s="45" t="s">
        <v>171</v>
      </c>
      <c r="T1"/>
      <c r="AA1" s="45"/>
      <c r="AD1" s="20"/>
      <c r="AE1" s="20"/>
      <c r="AF1" s="45" t="s">
        <v>171</v>
      </c>
      <c r="AG1" s="20"/>
      <c r="AH1" s="20"/>
      <c r="AI1" s="20"/>
      <c r="AJ1" s="20"/>
      <c r="AK1" s="20"/>
      <c r="AL1" s="20"/>
      <c r="AM1" s="20"/>
      <c r="AN1" s="20"/>
      <c r="AO1" s="45"/>
      <c r="AP1" s="20"/>
      <c r="AQ1" s="20"/>
      <c r="AT1" s="45" t="s">
        <v>171</v>
      </c>
      <c r="BD1" s="45"/>
      <c r="BH1" s="45" t="s">
        <v>171</v>
      </c>
      <c r="BI1" s="45"/>
      <c r="BR1" s="45"/>
      <c r="BW1" s="45" t="s">
        <v>171</v>
      </c>
      <c r="CF1" s="45"/>
      <c r="CG1" s="45"/>
      <c r="CK1" s="45" t="s">
        <v>171</v>
      </c>
      <c r="CU1" s="45"/>
      <c r="CZ1" s="45" t="s">
        <v>171</v>
      </c>
      <c r="DI1" s="45"/>
      <c r="DN1" s="92" t="s">
        <v>171</v>
      </c>
      <c r="DX1" s="45"/>
      <c r="EA1" s="45" t="s">
        <v>171</v>
      </c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 t="s">
        <v>172</v>
      </c>
      <c r="H2"/>
      <c r="I2"/>
      <c r="J2"/>
      <c r="L2" s="45"/>
      <c r="M2" s="45"/>
      <c r="N2"/>
      <c r="Q2" s="43" t="s">
        <v>172</v>
      </c>
      <c r="T2"/>
      <c r="AA2" s="45"/>
      <c r="AD2" s="20"/>
      <c r="AE2" s="20"/>
      <c r="AF2" s="43" t="s">
        <v>172</v>
      </c>
      <c r="AG2" s="20"/>
      <c r="AH2" s="20"/>
      <c r="AI2" s="20"/>
      <c r="AJ2" s="20"/>
      <c r="AK2" s="20"/>
      <c r="AL2" s="20"/>
      <c r="AM2" s="20"/>
      <c r="AN2" s="20"/>
      <c r="AO2" s="45"/>
      <c r="AP2" s="20"/>
      <c r="AQ2" s="20"/>
      <c r="AT2" s="43" t="s">
        <v>172</v>
      </c>
      <c r="BD2" s="45"/>
      <c r="BH2" s="43" t="s">
        <v>172</v>
      </c>
      <c r="BI2" s="43"/>
      <c r="BR2" s="45"/>
      <c r="BW2" s="43" t="s">
        <v>172</v>
      </c>
      <c r="CF2" s="45"/>
      <c r="CG2" s="45"/>
      <c r="CK2" s="43" t="s">
        <v>172</v>
      </c>
      <c r="CU2" s="45"/>
      <c r="CZ2" s="43" t="s">
        <v>172</v>
      </c>
      <c r="DI2" s="45"/>
      <c r="DN2" s="93" t="s">
        <v>172</v>
      </c>
      <c r="DX2" s="45"/>
      <c r="EA2" s="43" t="s">
        <v>172</v>
      </c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5" t="s">
        <v>173</v>
      </c>
      <c r="H3"/>
      <c r="I3" s="12"/>
      <c r="J3"/>
      <c r="L3" s="45"/>
      <c r="M3" s="45"/>
      <c r="N3"/>
      <c r="Q3" s="45" t="s">
        <v>173</v>
      </c>
      <c r="T3"/>
      <c r="AA3" s="45"/>
      <c r="AD3" s="20"/>
      <c r="AE3" s="20"/>
      <c r="AF3" s="45" t="s">
        <v>173</v>
      </c>
      <c r="AG3" s="20"/>
      <c r="AH3" s="20"/>
      <c r="AI3" s="20"/>
      <c r="AJ3" s="20"/>
      <c r="AK3" s="20"/>
      <c r="AL3" s="20"/>
      <c r="AM3" s="20"/>
      <c r="AN3" s="20"/>
      <c r="AO3" s="45"/>
      <c r="AP3" s="20"/>
      <c r="AQ3" s="20"/>
      <c r="AT3" s="45" t="s">
        <v>173</v>
      </c>
      <c r="BD3" s="45"/>
      <c r="BH3" s="45" t="s">
        <v>173</v>
      </c>
      <c r="BI3" s="45"/>
      <c r="BR3" s="45"/>
      <c r="BW3" s="45" t="s">
        <v>173</v>
      </c>
      <c r="CF3" s="45"/>
      <c r="CG3" s="45"/>
      <c r="CK3" s="45" t="s">
        <v>173</v>
      </c>
      <c r="CU3" s="45"/>
      <c r="CZ3" s="45" t="s">
        <v>173</v>
      </c>
      <c r="DI3" s="45"/>
      <c r="DN3" s="92" t="s">
        <v>173</v>
      </c>
      <c r="DX3" s="45"/>
      <c r="EA3" s="45" t="s">
        <v>173</v>
      </c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174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175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ht="12.75">
      <c r="A8" s="19">
        <v>43009</v>
      </c>
      <c r="C8" s="77"/>
      <c r="D8" s="77">
        <v>85050</v>
      </c>
      <c r="E8" s="77">
        <f aca="true" t="shared" si="0" ref="E8:E21">C8+D8</f>
        <v>85050</v>
      </c>
      <c r="F8" s="77">
        <v>61306</v>
      </c>
      <c r="G8" s="77">
        <v>25821</v>
      </c>
      <c r="H8" s="78"/>
      <c r="I8" s="79">
        <f>'2009D Academic'!I8</f>
        <v>0</v>
      </c>
      <c r="J8" s="79">
        <f>'2009D Academic'!J8</f>
        <v>46167.342795000004</v>
      </c>
      <c r="K8" s="79">
        <f>I8+J8</f>
        <v>46167.342795000004</v>
      </c>
      <c r="L8" s="79">
        <f>'2009D Academic'!L8</f>
        <v>33278.484625400015</v>
      </c>
      <c r="M8" s="79">
        <f>'2009D Academic'!M8</f>
        <v>14016.3075639</v>
      </c>
      <c r="N8" s="78"/>
      <c r="O8" s="78">
        <f aca="true" t="shared" si="1" ref="O8:O21">U8+AA8+AG8+AM8+AS8+AY8+BE8+BK8+BQ8+BW8+CC8+CI8+CO8+CU8+DA8+DG8+DM8+DS8+DY8+EE8+EK8+EQ8+EW8+FC8</f>
        <v>0</v>
      </c>
      <c r="P8" s="80">
        <f aca="true" t="shared" si="2" ref="P8:P21">V8+AB8+AH8+AN8+AT8+AZ8+BF8+BL8+BR8+BX8+CD8+CJ8+CP8+CV8+DB8+DH8+DN8+DT8+DZ8+EF8+EL8+ER8+EX8+FD8</f>
        <v>38882.65720499998</v>
      </c>
      <c r="Q8" s="78">
        <f aca="true" t="shared" si="3" ref="Q8:Q21">O8+P8</f>
        <v>38882.65720499998</v>
      </c>
      <c r="R8" s="78">
        <f aca="true" t="shared" si="4" ref="R8:S21">X8+AD8+AJ8+AP8+AV8+BB8+BH8+BN8+BT8+BZ8+CF8+CL8+CR8+CX8+DD8+DJ8+DP8+DV8+EB8+EH8+EN8+ET8+EZ8+FF8+FL8</f>
        <v>28027.515374600007</v>
      </c>
      <c r="S8" s="78">
        <f t="shared" si="4"/>
        <v>11804.692436099998</v>
      </c>
      <c r="T8" s="78"/>
      <c r="U8" s="78"/>
      <c r="V8" s="77">
        <f aca="true" t="shared" si="5" ref="V8:V21">D8*8.1724/100</f>
        <v>6950.6262</v>
      </c>
      <c r="W8" s="78">
        <f aca="true" t="shared" si="6" ref="W8:W21">U8+V8</f>
        <v>6950.6262</v>
      </c>
      <c r="X8" s="78">
        <f aca="true" t="shared" si="7" ref="X8:X21">V$6*$F8</f>
        <v>5010.171544000001</v>
      </c>
      <c r="Y8" s="77">
        <f aca="true" t="shared" si="8" ref="Y8:Y21">V$6*$G8</f>
        <v>2110.195404</v>
      </c>
      <c r="Z8" s="78"/>
      <c r="AA8" s="78"/>
      <c r="AB8" s="78">
        <f aca="true" t="shared" si="9" ref="AB8:AB21">D8*5.95646/100</f>
        <v>5065.96923</v>
      </c>
      <c r="AC8" s="78">
        <f aca="true" t="shared" si="10" ref="AC8:AC21">AA8+AB8</f>
        <v>5065.96923</v>
      </c>
      <c r="AD8" s="78">
        <f aca="true" t="shared" si="11" ref="AD8:AD21">AB$6*$F8</f>
        <v>3651.6673676</v>
      </c>
      <c r="AE8" s="77">
        <f aca="true" t="shared" si="12" ref="AE8:AE21">AB$6*$G8</f>
        <v>1538.0175366</v>
      </c>
      <c r="AF8" s="78"/>
      <c r="AG8" s="78"/>
      <c r="AH8" s="78">
        <f aca="true" t="shared" si="13" ref="AH8:AH21">D8*3.15804/100</f>
        <v>2685.9130200000004</v>
      </c>
      <c r="AI8" s="78">
        <f aca="true" t="shared" si="14" ref="AI8:AI21">AG8+AH8</f>
        <v>2685.9130200000004</v>
      </c>
      <c r="AJ8" s="78">
        <f aca="true" t="shared" si="15" ref="AJ8:AJ21">AH$6*$F8</f>
        <v>1936.0680024</v>
      </c>
      <c r="AK8" s="77">
        <f aca="true" t="shared" si="16" ref="AK8:AK21">AH$6*$G8</f>
        <v>815.4375084000001</v>
      </c>
      <c r="AL8" s="78"/>
      <c r="AM8" s="78"/>
      <c r="AN8" s="78">
        <f aca="true" t="shared" si="17" ref="AN8:AN21">D8*2.2968/100</f>
        <v>1953.4284000000002</v>
      </c>
      <c r="AO8" s="78">
        <f aca="true" t="shared" si="18" ref="AO8:AO21">AM8+AN8</f>
        <v>1953.4284000000002</v>
      </c>
      <c r="AP8" s="78">
        <f aca="true" t="shared" si="19" ref="AP8:AP21">AN$6*$F8</f>
        <v>1408.076208</v>
      </c>
      <c r="AQ8" s="77">
        <f aca="true" t="shared" si="20" ref="AQ8:AQ21">AN$6*$G8</f>
        <v>593.056728</v>
      </c>
      <c r="AR8" s="78"/>
      <c r="AS8" s="78"/>
      <c r="AT8" s="78">
        <f aca="true" t="shared" si="21" ref="AT8:AT21">D8*0.26309/100</f>
        <v>223.75804499999998</v>
      </c>
      <c r="AU8" s="78">
        <f aca="true" t="shared" si="22" ref="AU8:AU21">AS8+AT8</f>
        <v>223.75804499999998</v>
      </c>
      <c r="AV8" s="78">
        <f aca="true" t="shared" si="23" ref="AV8:AV21">AT$6*$F8</f>
        <v>161.2899554</v>
      </c>
      <c r="AW8" s="77">
        <f aca="true" t="shared" si="24" ref="AW8:AW21">AT$6*$G8</f>
        <v>67.93246889999999</v>
      </c>
      <c r="AX8" s="78"/>
      <c r="AY8" s="78"/>
      <c r="AZ8" s="78">
        <f aca="true" t="shared" si="25" ref="AZ8:AZ21">D8*4.16229/100</f>
        <v>3540.027645</v>
      </c>
      <c r="BA8" s="78">
        <f aca="true" t="shared" si="26" ref="BA8:BA21">AY8+AZ8</f>
        <v>3540.027645</v>
      </c>
      <c r="BB8" s="78">
        <f aca="true" t="shared" si="27" ref="BB8:BB21">AZ$6*$F8</f>
        <v>2551.7335074</v>
      </c>
      <c r="BC8" s="77">
        <f aca="true" t="shared" si="28" ref="BC8:BC21">AZ$6*$G8</f>
        <v>1074.7449009</v>
      </c>
      <c r="BD8" s="78"/>
      <c r="BE8" s="78"/>
      <c r="BF8" s="78">
        <f aca="true" t="shared" si="29" ref="BF8:BF21">D8*0.45121/100</f>
        <v>383.754105</v>
      </c>
      <c r="BG8" s="78">
        <f aca="true" t="shared" si="30" ref="BG8:BG21">BE8+BF8</f>
        <v>383.754105</v>
      </c>
      <c r="BH8" s="78">
        <f aca="true" t="shared" si="31" ref="BH8:BH21">BF$6*$F8</f>
        <v>276.6188026</v>
      </c>
      <c r="BI8" s="77">
        <f aca="true" t="shared" si="32" ref="BI8:BI21">BF$6*$G8</f>
        <v>116.5069341</v>
      </c>
      <c r="BJ8" s="78"/>
      <c r="BK8" s="78"/>
      <c r="BL8" s="78">
        <f aca="true" t="shared" si="33" ref="BL8:BL21">D8*1.41147/100</f>
        <v>1200.455235</v>
      </c>
      <c r="BM8" s="78">
        <f aca="true" t="shared" si="34" ref="BM8:BM21">BK8+BL8</f>
        <v>1200.455235</v>
      </c>
      <c r="BN8" s="78">
        <f aca="true" t="shared" si="35" ref="BN8:BN21">BL$6*$F8</f>
        <v>865.3157982</v>
      </c>
      <c r="BO8" s="77">
        <f aca="true" t="shared" si="36" ref="BO8:BO21">BL$6*$G8</f>
        <v>364.45566870000005</v>
      </c>
      <c r="BP8" s="78"/>
      <c r="BQ8" s="78"/>
      <c r="BR8" s="78">
        <f aca="true" t="shared" si="37" ref="BR8:BR21">D8*0.71579/100</f>
        <v>608.779395</v>
      </c>
      <c r="BS8" s="78">
        <f aca="true" t="shared" si="38" ref="BS8:BS21">BQ8+BR8</f>
        <v>608.779395</v>
      </c>
      <c r="BT8" s="78">
        <f aca="true" t="shared" si="39" ref="BT8:BT21">BR$6*$F8</f>
        <v>438.8222174</v>
      </c>
      <c r="BU8" s="77">
        <f aca="true" t="shared" si="40" ref="BU8:BU21">BR$6*$G8</f>
        <v>184.8241359</v>
      </c>
      <c r="BV8" s="78"/>
      <c r="BW8" s="78"/>
      <c r="BX8" s="78">
        <f aca="true" t="shared" si="41" ref="BX8:BX21">D8*0.13901/100</f>
        <v>118.228005</v>
      </c>
      <c r="BY8" s="78">
        <f aca="true" t="shared" si="42" ref="BY8:BY21">BW8+BX8</f>
        <v>118.228005</v>
      </c>
      <c r="BZ8" s="78">
        <f aca="true" t="shared" si="43" ref="BZ8:BZ21">BX$6*$F8</f>
        <v>85.2214706</v>
      </c>
      <c r="CA8" s="77">
        <f aca="true" t="shared" si="44" ref="CA8:CA21">BX$6*$G8</f>
        <v>35.8937721</v>
      </c>
      <c r="CB8" s="78"/>
      <c r="CC8" s="78"/>
      <c r="CD8" s="78">
        <f aca="true" t="shared" si="45" ref="CD8:CD21">D8*0.55234/100</f>
        <v>469.76517000000007</v>
      </c>
      <c r="CE8" s="78">
        <f aca="true" t="shared" si="46" ref="CE8:CE21">CC8+CD8</f>
        <v>469.76517000000007</v>
      </c>
      <c r="CF8" s="78">
        <f aca="true" t="shared" si="47" ref="CF8:CF21">CD$6*$F8</f>
        <v>338.6175604</v>
      </c>
      <c r="CG8" s="77">
        <f aca="true" t="shared" si="48" ref="CG8:CG21">CD$6*$G8</f>
        <v>142.6197114</v>
      </c>
      <c r="CH8" s="78"/>
      <c r="CI8" s="78"/>
      <c r="CJ8" s="78">
        <f aca="true" t="shared" si="49" ref="CJ8:CJ21">D8*1.34713/100</f>
        <v>1145.7340649999999</v>
      </c>
      <c r="CK8" s="78">
        <f aca="true" t="shared" si="50" ref="CK8:CK21">CI8+CJ8</f>
        <v>1145.7340649999999</v>
      </c>
      <c r="CL8" s="78">
        <f aca="true" t="shared" si="51" ref="CL8:CL21">CJ$6*$F8</f>
        <v>825.8715178</v>
      </c>
      <c r="CM8" s="77">
        <f aca="true" t="shared" si="52" ref="CM8:CM21">CJ$6*$G8</f>
        <v>347.84243730000003</v>
      </c>
      <c r="CN8" s="78"/>
      <c r="CO8" s="78"/>
      <c r="CP8" s="78">
        <f aca="true" t="shared" si="53" ref="CP8:CP21">D8*3.01524/100</f>
        <v>2564.46162</v>
      </c>
      <c r="CQ8" s="78">
        <f aca="true" t="shared" si="54" ref="CQ8:CQ21">CO8+CP8</f>
        <v>2564.46162</v>
      </c>
      <c r="CR8" s="78">
        <f aca="true" t="shared" si="55" ref="CR8:CR21">CP$6*$F8</f>
        <v>1848.5230344</v>
      </c>
      <c r="CS8" s="77">
        <f aca="true" t="shared" si="56" ref="CS8:CS21">CP$6*$G8</f>
        <v>778.5651204</v>
      </c>
      <c r="CT8" s="78"/>
      <c r="CU8" s="78"/>
      <c r="CV8" s="78">
        <f aca="true" t="shared" si="57" ref="CV8:CV21">D8*0.45619/100</f>
        <v>387.98959499999995</v>
      </c>
      <c r="CW8" s="78">
        <f aca="true" t="shared" si="58" ref="CW8:CW21">CU8+CV8</f>
        <v>387.98959499999995</v>
      </c>
      <c r="CX8" s="78">
        <f aca="true" t="shared" si="59" ref="CX8:CX21">CV$6*$F8</f>
        <v>279.6718414</v>
      </c>
      <c r="CY8" s="77">
        <f aca="true" t="shared" si="60" ref="CY8:CY21">CV$6*$G8</f>
        <v>117.7928199</v>
      </c>
      <c r="CZ8" s="78"/>
      <c r="DA8" s="78"/>
      <c r="DB8" s="78">
        <f aca="true" t="shared" si="61" ref="DB8:DB21">D8*1.31079/100</f>
        <v>1114.826895</v>
      </c>
      <c r="DC8" s="78">
        <f aca="true" t="shared" si="62" ref="DC8:DC21">DA8+DB8</f>
        <v>1114.826895</v>
      </c>
      <c r="DD8" s="78">
        <f aca="true" t="shared" si="63" ref="DD8:DD21">DB$6*$F8</f>
        <v>803.5929174</v>
      </c>
      <c r="DE8" s="77">
        <f aca="true" t="shared" si="64" ref="DE8:DE21">DB$6*$G8</f>
        <v>338.4590859</v>
      </c>
      <c r="DF8" s="78"/>
      <c r="DG8" s="78"/>
      <c r="DH8" s="78">
        <f aca="true" t="shared" si="65" ref="DH8:DH21">D8*0.05051/100</f>
        <v>42.958755000000004</v>
      </c>
      <c r="DI8" s="78">
        <f aca="true" t="shared" si="66" ref="DI8:DI21">DG8+DH8</f>
        <v>42.958755000000004</v>
      </c>
      <c r="DJ8" s="78">
        <f aca="true" t="shared" si="67" ref="DJ8:DJ21">DH$6*$F8</f>
        <v>30.9656606</v>
      </c>
      <c r="DK8" s="77">
        <f aca="true" t="shared" si="68" ref="DK8:DK21">DH$6*$G8</f>
        <v>13.0421871</v>
      </c>
      <c r="DL8" s="78"/>
      <c r="DM8" s="90"/>
      <c r="DN8" s="90">
        <f aca="true" t="shared" si="69" ref="DN8:DN21">D8*2.76518/100</f>
        <v>2351.78559</v>
      </c>
      <c r="DO8" s="90">
        <f aca="true" t="shared" si="70" ref="DO8:DO21">DM8+DN8</f>
        <v>2351.78559</v>
      </c>
      <c r="DP8" s="90">
        <f aca="true" t="shared" si="71" ref="DP8:DP21">DN$6*$F8</f>
        <v>1695.2212508</v>
      </c>
      <c r="DQ8" s="94">
        <f aca="true" t="shared" si="72" ref="DQ8:DQ21">DN$6*$G8</f>
        <v>713.9971278</v>
      </c>
      <c r="DR8" s="78"/>
      <c r="DS8" s="78"/>
      <c r="DT8" s="78">
        <f aca="true" t="shared" si="73" ref="DT8:DT21">D8*0.43534/100</f>
        <v>370.25667</v>
      </c>
      <c r="DU8" s="78">
        <f aca="true" t="shared" si="74" ref="DU8:DU21">DS8+DT8</f>
        <v>370.25667</v>
      </c>
      <c r="DV8" s="78">
        <f aca="true" t="shared" si="75" ref="DV8:DV21">DT$6*$F8</f>
        <v>266.88954040000004</v>
      </c>
      <c r="DW8" s="77">
        <f aca="true" t="shared" si="76" ref="DW8:DW21">DT$6*$G8</f>
        <v>112.40914140000001</v>
      </c>
      <c r="DX8" s="78"/>
      <c r="DY8" s="78"/>
      <c r="DZ8" s="78">
        <f aca="true" t="shared" si="77" ref="DZ8:DZ21">D8*2.24029/100</f>
        <v>1905.3666449999998</v>
      </c>
      <c r="EA8" s="78">
        <f aca="true" t="shared" si="78" ref="EA8:EA21">DY8+DZ8</f>
        <v>1905.3666449999998</v>
      </c>
      <c r="EB8" s="78">
        <f aca="true" t="shared" si="79" ref="EB8:EB21">DZ$6*$F8</f>
        <v>1373.4321874</v>
      </c>
      <c r="EC8" s="77">
        <f aca="true" t="shared" si="80" ref="EC8:EC21">DZ$6*$G8</f>
        <v>578.4652809</v>
      </c>
      <c r="ED8" s="78"/>
      <c r="EE8" s="78"/>
      <c r="EF8" s="78">
        <f aca="true" t="shared" si="81" ref="EF8:EF21">D8*0.63958/100</f>
        <v>543.96279</v>
      </c>
      <c r="EG8" s="78">
        <f aca="true" t="shared" si="82" ref="EG8:EG21">EE8+EF8</f>
        <v>543.96279</v>
      </c>
      <c r="EH8" s="78">
        <f aca="true" t="shared" si="83" ref="EH8:EH21">EF$6*$F8</f>
        <v>392.1009148</v>
      </c>
      <c r="EI8" s="77">
        <f aca="true" t="shared" si="84" ref="EI8:EI21">EF$6*$G8</f>
        <v>165.1459518</v>
      </c>
      <c r="EJ8" s="78"/>
      <c r="EK8" s="78"/>
      <c r="EL8" s="78">
        <f aca="true" t="shared" si="85" ref="EL8:EL21">D8*0.00642/100</f>
        <v>5.460210000000001</v>
      </c>
      <c r="EM8" s="78">
        <f aca="true" t="shared" si="86" ref="EM8:EM21">EK8+EL8</f>
        <v>5.460210000000001</v>
      </c>
      <c r="EN8" s="78">
        <f aca="true" t="shared" si="87" ref="EN8:EN21">EL$6*$F8</f>
        <v>3.9358452</v>
      </c>
      <c r="EO8" s="77">
        <f aca="true" t="shared" si="88" ref="EO8:EO21">EL$6*$G8</f>
        <v>1.6577082</v>
      </c>
      <c r="EP8" s="78"/>
      <c r="EQ8" s="78"/>
      <c r="ER8" s="78">
        <f aca="true" t="shared" si="89" ref="ER8:ER21">D8*0.01192/100</f>
        <v>10.13796</v>
      </c>
      <c r="ES8" s="78">
        <f aca="true" t="shared" si="90" ref="ES8:ES21">EQ8+ER8</f>
        <v>10.13796</v>
      </c>
      <c r="ET8" s="78">
        <f aca="true" t="shared" si="91" ref="ET8:ET21">ER$6*$F8</f>
        <v>7.3076752</v>
      </c>
      <c r="EU8" s="77">
        <f aca="true" t="shared" si="92" ref="EU8:EU21">ER$6*$G8</f>
        <v>3.0778632</v>
      </c>
      <c r="EV8" s="78"/>
      <c r="EW8" s="78"/>
      <c r="EX8" s="78">
        <f aca="true" t="shared" si="93" ref="EX8:EX21">D8*2.15476/100</f>
        <v>1832.62338</v>
      </c>
      <c r="EY8" s="78">
        <f aca="true" t="shared" si="94" ref="EY8:EY21">EW8+EX8</f>
        <v>1832.62338</v>
      </c>
      <c r="EZ8" s="78">
        <f aca="true" t="shared" si="95" ref="EZ8:EZ21">EX$6*$F8</f>
        <v>1320.9971656</v>
      </c>
      <c r="FA8" s="77">
        <f aca="true" t="shared" si="96" ref="FA8:FA21">EX$6*$G8</f>
        <v>556.3805796</v>
      </c>
      <c r="FB8" s="78"/>
      <c r="FC8" s="78"/>
      <c r="FD8" s="78">
        <f aca="true" t="shared" si="97" ref="FD8:FD21">D8*4.00516/100</f>
        <v>3406.3885800000003</v>
      </c>
      <c r="FE8" s="78">
        <f aca="true" t="shared" si="98" ref="FE8:FE21">FC8+FD8</f>
        <v>3406.3885800000003</v>
      </c>
      <c r="FF8" s="78">
        <f aca="true" t="shared" si="99" ref="FF8:FF21">FD$6*$F8</f>
        <v>2455.4033896</v>
      </c>
      <c r="FG8" s="77">
        <f aca="true" t="shared" si="100" ref="FG8:FG21">FD$6*$G8</f>
        <v>1034.1723636</v>
      </c>
      <c r="FH8" s="78"/>
      <c r="FI8" s="80"/>
      <c r="FJ8" s="78"/>
      <c r="FK8" s="78"/>
      <c r="FL8" s="78"/>
      <c r="FM8" s="77">
        <f aca="true" t="shared" si="101" ref="FM8:FM21">FJ$6*$G8</f>
        <v>0</v>
      </c>
    </row>
    <row r="9" spans="1:169" s="52" customFormat="1" ht="12.75">
      <c r="A9" s="51">
        <v>43191</v>
      </c>
      <c r="C9" s="77">
        <v>0</v>
      </c>
      <c r="D9" s="77">
        <v>85050</v>
      </c>
      <c r="E9" s="77">
        <f t="shared" si="0"/>
        <v>85050</v>
      </c>
      <c r="F9" s="77">
        <v>61306</v>
      </c>
      <c r="G9" s="77">
        <v>25821</v>
      </c>
      <c r="H9" s="79"/>
      <c r="I9" s="79">
        <f>'2009D Academic'!I9</f>
        <v>0</v>
      </c>
      <c r="J9" s="79">
        <f>'2009D Academic'!J9</f>
        <v>46167.342795000004</v>
      </c>
      <c r="K9" s="79">
        <f>I9+J9</f>
        <v>46167.342795000004</v>
      </c>
      <c r="L9" s="79">
        <f>'2009D Academic'!L9</f>
        <v>33278.484625400015</v>
      </c>
      <c r="M9" s="79">
        <f>'2009D Academic'!M9</f>
        <v>14016.3075639</v>
      </c>
      <c r="N9" s="79"/>
      <c r="O9" s="78">
        <f t="shared" si="1"/>
        <v>0</v>
      </c>
      <c r="P9" s="80">
        <f t="shared" si="2"/>
        <v>38882.65720499998</v>
      </c>
      <c r="Q9" s="78">
        <f t="shared" si="3"/>
        <v>38882.65720499998</v>
      </c>
      <c r="R9" s="78">
        <f t="shared" si="4"/>
        <v>28027.515374600007</v>
      </c>
      <c r="S9" s="78">
        <f t="shared" si="4"/>
        <v>11804.692436099998</v>
      </c>
      <c r="T9" s="79"/>
      <c r="U9" s="78">
        <f aca="true" t="shared" si="102" ref="U9:U21">C9*8.1724/100</f>
        <v>0</v>
      </c>
      <c r="V9" s="77">
        <f t="shared" si="5"/>
        <v>6950.6262</v>
      </c>
      <c r="W9" s="78">
        <f t="shared" si="6"/>
        <v>6950.6262</v>
      </c>
      <c r="X9" s="78">
        <f t="shared" si="7"/>
        <v>5010.171544000001</v>
      </c>
      <c r="Y9" s="77">
        <f t="shared" si="8"/>
        <v>2110.195404</v>
      </c>
      <c r="Z9" s="79"/>
      <c r="AA9" s="78">
        <f aca="true" t="shared" si="103" ref="AA9:AA21">C9*5.95646/100</f>
        <v>0</v>
      </c>
      <c r="AB9" s="78">
        <f t="shared" si="9"/>
        <v>5065.96923</v>
      </c>
      <c r="AC9" s="78">
        <f t="shared" si="10"/>
        <v>5065.96923</v>
      </c>
      <c r="AD9" s="78">
        <f t="shared" si="11"/>
        <v>3651.6673676</v>
      </c>
      <c r="AE9" s="77">
        <f t="shared" si="12"/>
        <v>1538.0175366</v>
      </c>
      <c r="AF9" s="79"/>
      <c r="AG9" s="78">
        <f aca="true" t="shared" si="104" ref="AG9:AG21">C9*3.15804/100</f>
        <v>0</v>
      </c>
      <c r="AH9" s="78">
        <f t="shared" si="13"/>
        <v>2685.9130200000004</v>
      </c>
      <c r="AI9" s="78">
        <f t="shared" si="14"/>
        <v>2685.9130200000004</v>
      </c>
      <c r="AJ9" s="78">
        <f t="shared" si="15"/>
        <v>1936.0680024</v>
      </c>
      <c r="AK9" s="77">
        <f t="shared" si="16"/>
        <v>815.4375084000001</v>
      </c>
      <c r="AL9" s="79"/>
      <c r="AM9" s="78">
        <f aca="true" t="shared" si="105" ref="AM9:AM21">C9*2.2968/100</f>
        <v>0</v>
      </c>
      <c r="AN9" s="78">
        <f t="shared" si="17"/>
        <v>1953.4284000000002</v>
      </c>
      <c r="AO9" s="78">
        <f t="shared" si="18"/>
        <v>1953.4284000000002</v>
      </c>
      <c r="AP9" s="78">
        <f t="shared" si="19"/>
        <v>1408.076208</v>
      </c>
      <c r="AQ9" s="77">
        <f t="shared" si="20"/>
        <v>593.056728</v>
      </c>
      <c r="AR9" s="79"/>
      <c r="AS9" s="78">
        <f aca="true" t="shared" si="106" ref="AS9:AS21">C9*0.26309/100</f>
        <v>0</v>
      </c>
      <c r="AT9" s="78">
        <f t="shared" si="21"/>
        <v>223.75804499999998</v>
      </c>
      <c r="AU9" s="78">
        <f t="shared" si="22"/>
        <v>223.75804499999998</v>
      </c>
      <c r="AV9" s="78">
        <f t="shared" si="23"/>
        <v>161.2899554</v>
      </c>
      <c r="AW9" s="77">
        <f t="shared" si="24"/>
        <v>67.93246889999999</v>
      </c>
      <c r="AX9" s="79"/>
      <c r="AY9" s="78">
        <f aca="true" t="shared" si="107" ref="AY9:AY21">C9*4.16229/100</f>
        <v>0</v>
      </c>
      <c r="AZ9" s="78">
        <f t="shared" si="25"/>
        <v>3540.027645</v>
      </c>
      <c r="BA9" s="78">
        <f t="shared" si="26"/>
        <v>3540.027645</v>
      </c>
      <c r="BB9" s="78">
        <f t="shared" si="27"/>
        <v>2551.7335074</v>
      </c>
      <c r="BC9" s="77">
        <f t="shared" si="28"/>
        <v>1074.7449009</v>
      </c>
      <c r="BD9" s="79"/>
      <c r="BE9" s="78">
        <f aca="true" t="shared" si="108" ref="BE9:BE21">C9*0.45121/100</f>
        <v>0</v>
      </c>
      <c r="BF9" s="78">
        <f t="shared" si="29"/>
        <v>383.754105</v>
      </c>
      <c r="BG9" s="78">
        <f t="shared" si="30"/>
        <v>383.754105</v>
      </c>
      <c r="BH9" s="78">
        <f t="shared" si="31"/>
        <v>276.6188026</v>
      </c>
      <c r="BI9" s="77">
        <f t="shared" si="32"/>
        <v>116.5069341</v>
      </c>
      <c r="BJ9" s="79"/>
      <c r="BK9" s="78">
        <f aca="true" t="shared" si="109" ref="BK9:BK21">C9*1.41147/100</f>
        <v>0</v>
      </c>
      <c r="BL9" s="78">
        <f t="shared" si="33"/>
        <v>1200.455235</v>
      </c>
      <c r="BM9" s="78">
        <f t="shared" si="34"/>
        <v>1200.455235</v>
      </c>
      <c r="BN9" s="78">
        <f t="shared" si="35"/>
        <v>865.3157982</v>
      </c>
      <c r="BO9" s="77">
        <f t="shared" si="36"/>
        <v>364.45566870000005</v>
      </c>
      <c r="BP9" s="79"/>
      <c r="BQ9" s="78">
        <f aca="true" t="shared" si="110" ref="BQ9:BQ21">C9*0.71579/100</f>
        <v>0</v>
      </c>
      <c r="BR9" s="78">
        <f t="shared" si="37"/>
        <v>608.779395</v>
      </c>
      <c r="BS9" s="78">
        <f t="shared" si="38"/>
        <v>608.779395</v>
      </c>
      <c r="BT9" s="78">
        <f t="shared" si="39"/>
        <v>438.8222174</v>
      </c>
      <c r="BU9" s="77">
        <f t="shared" si="40"/>
        <v>184.8241359</v>
      </c>
      <c r="BV9" s="79"/>
      <c r="BW9" s="78">
        <f aca="true" t="shared" si="111" ref="BW9:BW21">C9*0.13901/100</f>
        <v>0</v>
      </c>
      <c r="BX9" s="78">
        <f t="shared" si="41"/>
        <v>118.228005</v>
      </c>
      <c r="BY9" s="78">
        <f t="shared" si="42"/>
        <v>118.228005</v>
      </c>
      <c r="BZ9" s="78">
        <f t="shared" si="43"/>
        <v>85.2214706</v>
      </c>
      <c r="CA9" s="77">
        <f t="shared" si="44"/>
        <v>35.8937721</v>
      </c>
      <c r="CB9" s="79"/>
      <c r="CC9" s="78">
        <f aca="true" t="shared" si="112" ref="CC9:CC21">C9*0.55234/100</f>
        <v>0</v>
      </c>
      <c r="CD9" s="78">
        <f t="shared" si="45"/>
        <v>469.76517000000007</v>
      </c>
      <c r="CE9" s="78">
        <f t="shared" si="46"/>
        <v>469.76517000000007</v>
      </c>
      <c r="CF9" s="78">
        <f t="shared" si="47"/>
        <v>338.6175604</v>
      </c>
      <c r="CG9" s="77">
        <f t="shared" si="48"/>
        <v>142.6197114</v>
      </c>
      <c r="CH9" s="79"/>
      <c r="CI9" s="78">
        <f aca="true" t="shared" si="113" ref="CI9:CI21">C9*1.34713/100</f>
        <v>0</v>
      </c>
      <c r="CJ9" s="78">
        <f t="shared" si="49"/>
        <v>1145.7340649999999</v>
      </c>
      <c r="CK9" s="78">
        <f t="shared" si="50"/>
        <v>1145.7340649999999</v>
      </c>
      <c r="CL9" s="78">
        <f t="shared" si="51"/>
        <v>825.8715178</v>
      </c>
      <c r="CM9" s="77">
        <f t="shared" si="52"/>
        <v>347.84243730000003</v>
      </c>
      <c r="CN9" s="79"/>
      <c r="CO9" s="78">
        <f aca="true" t="shared" si="114" ref="CO9:CO21">C9*3.01524/100</f>
        <v>0</v>
      </c>
      <c r="CP9" s="78">
        <f t="shared" si="53"/>
        <v>2564.46162</v>
      </c>
      <c r="CQ9" s="78">
        <f t="shared" si="54"/>
        <v>2564.46162</v>
      </c>
      <c r="CR9" s="78">
        <f t="shared" si="55"/>
        <v>1848.5230344</v>
      </c>
      <c r="CS9" s="77">
        <f t="shared" si="56"/>
        <v>778.5651204</v>
      </c>
      <c r="CT9" s="79"/>
      <c r="CU9" s="78">
        <f aca="true" t="shared" si="115" ref="CU9:CU21">C9*0.45619/100</f>
        <v>0</v>
      </c>
      <c r="CV9" s="78">
        <f t="shared" si="57"/>
        <v>387.98959499999995</v>
      </c>
      <c r="CW9" s="78">
        <f t="shared" si="58"/>
        <v>387.98959499999995</v>
      </c>
      <c r="CX9" s="78">
        <f t="shared" si="59"/>
        <v>279.6718414</v>
      </c>
      <c r="CY9" s="77">
        <f t="shared" si="60"/>
        <v>117.7928199</v>
      </c>
      <c r="CZ9" s="79"/>
      <c r="DA9" s="78">
        <f aca="true" t="shared" si="116" ref="DA9:DA21">C9*1.31079/100</f>
        <v>0</v>
      </c>
      <c r="DB9" s="78">
        <f t="shared" si="61"/>
        <v>1114.826895</v>
      </c>
      <c r="DC9" s="78">
        <f t="shared" si="62"/>
        <v>1114.826895</v>
      </c>
      <c r="DD9" s="78">
        <f t="shared" si="63"/>
        <v>803.5929174</v>
      </c>
      <c r="DE9" s="77">
        <f t="shared" si="64"/>
        <v>338.4590859</v>
      </c>
      <c r="DF9" s="79"/>
      <c r="DG9" s="78">
        <f aca="true" t="shared" si="117" ref="DG9:DG21">C9*0.05051/100</f>
        <v>0</v>
      </c>
      <c r="DH9" s="78">
        <f t="shared" si="65"/>
        <v>42.958755000000004</v>
      </c>
      <c r="DI9" s="78">
        <f t="shared" si="66"/>
        <v>42.958755000000004</v>
      </c>
      <c r="DJ9" s="78">
        <f t="shared" si="67"/>
        <v>30.9656606</v>
      </c>
      <c r="DK9" s="77">
        <f t="shared" si="68"/>
        <v>13.0421871</v>
      </c>
      <c r="DL9" s="79"/>
      <c r="DM9" s="90">
        <f aca="true" t="shared" si="118" ref="DM9:DM21">C9*2.76518/100</f>
        <v>0</v>
      </c>
      <c r="DN9" s="90">
        <f t="shared" si="69"/>
        <v>2351.78559</v>
      </c>
      <c r="DO9" s="90">
        <f t="shared" si="70"/>
        <v>2351.78559</v>
      </c>
      <c r="DP9" s="90">
        <f t="shared" si="71"/>
        <v>1695.2212508</v>
      </c>
      <c r="DQ9" s="94">
        <f t="shared" si="72"/>
        <v>713.9971278</v>
      </c>
      <c r="DR9" s="79"/>
      <c r="DS9" s="78">
        <f aca="true" t="shared" si="119" ref="DS9:DS21">C9*0.43534/100</f>
        <v>0</v>
      </c>
      <c r="DT9" s="78">
        <f t="shared" si="73"/>
        <v>370.25667</v>
      </c>
      <c r="DU9" s="78">
        <f t="shared" si="74"/>
        <v>370.25667</v>
      </c>
      <c r="DV9" s="78">
        <f t="shared" si="75"/>
        <v>266.88954040000004</v>
      </c>
      <c r="DW9" s="77">
        <f t="shared" si="76"/>
        <v>112.40914140000001</v>
      </c>
      <c r="DX9" s="79"/>
      <c r="DY9" s="78">
        <f aca="true" t="shared" si="120" ref="DY9:DY21">C9*2.24029/100</f>
        <v>0</v>
      </c>
      <c r="DZ9" s="78">
        <f t="shared" si="77"/>
        <v>1905.3666449999998</v>
      </c>
      <c r="EA9" s="78">
        <f t="shared" si="78"/>
        <v>1905.3666449999998</v>
      </c>
      <c r="EB9" s="78">
        <f t="shared" si="79"/>
        <v>1373.4321874</v>
      </c>
      <c r="EC9" s="77">
        <f t="shared" si="80"/>
        <v>578.4652809</v>
      </c>
      <c r="ED9" s="79"/>
      <c r="EE9" s="78">
        <f aca="true" t="shared" si="121" ref="EE9:EE21">C9*0.63958/100</f>
        <v>0</v>
      </c>
      <c r="EF9" s="78">
        <f t="shared" si="81"/>
        <v>543.96279</v>
      </c>
      <c r="EG9" s="78">
        <f t="shared" si="82"/>
        <v>543.96279</v>
      </c>
      <c r="EH9" s="78">
        <f t="shared" si="83"/>
        <v>392.1009148</v>
      </c>
      <c r="EI9" s="77">
        <f t="shared" si="84"/>
        <v>165.1459518</v>
      </c>
      <c r="EJ9" s="79"/>
      <c r="EK9" s="78">
        <f aca="true" t="shared" si="122" ref="EK9:EK21">C9*0.00642/100</f>
        <v>0</v>
      </c>
      <c r="EL9" s="78">
        <f t="shared" si="85"/>
        <v>5.460210000000001</v>
      </c>
      <c r="EM9" s="78">
        <f t="shared" si="86"/>
        <v>5.460210000000001</v>
      </c>
      <c r="EN9" s="78">
        <f t="shared" si="87"/>
        <v>3.9358452</v>
      </c>
      <c r="EO9" s="77">
        <f t="shared" si="88"/>
        <v>1.6577082</v>
      </c>
      <c r="EP9" s="79"/>
      <c r="EQ9" s="78">
        <f aca="true" t="shared" si="123" ref="EQ9:EQ21">C9*0.01192/100</f>
        <v>0</v>
      </c>
      <c r="ER9" s="78">
        <f t="shared" si="89"/>
        <v>10.13796</v>
      </c>
      <c r="ES9" s="78">
        <f t="shared" si="90"/>
        <v>10.13796</v>
      </c>
      <c r="ET9" s="78">
        <f t="shared" si="91"/>
        <v>7.3076752</v>
      </c>
      <c r="EU9" s="77">
        <f t="shared" si="92"/>
        <v>3.0778632</v>
      </c>
      <c r="EV9" s="79"/>
      <c r="EW9" s="78">
        <f aca="true" t="shared" si="124" ref="EW9:EW21">C9*2.15476/100</f>
        <v>0</v>
      </c>
      <c r="EX9" s="78">
        <f t="shared" si="93"/>
        <v>1832.62338</v>
      </c>
      <c r="EY9" s="78">
        <f t="shared" si="94"/>
        <v>1832.62338</v>
      </c>
      <c r="EZ9" s="78">
        <f t="shared" si="95"/>
        <v>1320.9971656</v>
      </c>
      <c r="FA9" s="77">
        <f t="shared" si="96"/>
        <v>556.3805796</v>
      </c>
      <c r="FB9" s="79"/>
      <c r="FC9" s="78">
        <f aca="true" t="shared" si="125" ref="FC9:FC21">C9*4.00516/100</f>
        <v>0</v>
      </c>
      <c r="FD9" s="78">
        <f t="shared" si="97"/>
        <v>3406.3885800000003</v>
      </c>
      <c r="FE9" s="78">
        <f t="shared" si="98"/>
        <v>3406.3885800000003</v>
      </c>
      <c r="FF9" s="78">
        <f t="shared" si="99"/>
        <v>2455.4033896</v>
      </c>
      <c r="FG9" s="77">
        <f t="shared" si="100"/>
        <v>1034.1723636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43374</v>
      </c>
      <c r="C10" s="77"/>
      <c r="D10" s="77">
        <v>85050</v>
      </c>
      <c r="E10" s="77">
        <f t="shared" si="0"/>
        <v>85050</v>
      </c>
      <c r="F10" s="77">
        <v>61306</v>
      </c>
      <c r="G10" s="77">
        <v>25821</v>
      </c>
      <c r="H10" s="79"/>
      <c r="I10" s="79">
        <f>'2009D Academic'!I10</f>
        <v>0</v>
      </c>
      <c r="J10" s="79">
        <f>'2009D Academic'!J10</f>
        <v>46167.342795000004</v>
      </c>
      <c r="K10" s="79">
        <f>I10+J10</f>
        <v>46167.342795000004</v>
      </c>
      <c r="L10" s="79">
        <f>'2009D Academic'!L10</f>
        <v>33278.484625400015</v>
      </c>
      <c r="M10" s="79">
        <f>'2009D Academic'!M10</f>
        <v>14016.3075639</v>
      </c>
      <c r="N10" s="79"/>
      <c r="O10" s="78">
        <f t="shared" si="1"/>
        <v>0</v>
      </c>
      <c r="P10" s="80">
        <f t="shared" si="2"/>
        <v>38882.65720499998</v>
      </c>
      <c r="Q10" s="78">
        <f t="shared" si="3"/>
        <v>38882.65720499998</v>
      </c>
      <c r="R10" s="78">
        <f t="shared" si="4"/>
        <v>28027.515374600007</v>
      </c>
      <c r="S10" s="78">
        <f t="shared" si="4"/>
        <v>11804.692436099998</v>
      </c>
      <c r="T10" s="79"/>
      <c r="U10" s="78"/>
      <c r="V10" s="77">
        <f t="shared" si="5"/>
        <v>6950.6262</v>
      </c>
      <c r="W10" s="78">
        <f t="shared" si="6"/>
        <v>6950.6262</v>
      </c>
      <c r="X10" s="78">
        <f t="shared" si="7"/>
        <v>5010.171544000001</v>
      </c>
      <c r="Y10" s="77">
        <f t="shared" si="8"/>
        <v>2110.195404</v>
      </c>
      <c r="Z10" s="79"/>
      <c r="AA10" s="78"/>
      <c r="AB10" s="78">
        <f t="shared" si="9"/>
        <v>5065.96923</v>
      </c>
      <c r="AC10" s="78">
        <f t="shared" si="10"/>
        <v>5065.96923</v>
      </c>
      <c r="AD10" s="78">
        <f t="shared" si="11"/>
        <v>3651.6673676</v>
      </c>
      <c r="AE10" s="77">
        <f t="shared" si="12"/>
        <v>1538.0175366</v>
      </c>
      <c r="AF10" s="79"/>
      <c r="AG10" s="78"/>
      <c r="AH10" s="78">
        <f t="shared" si="13"/>
        <v>2685.9130200000004</v>
      </c>
      <c r="AI10" s="78">
        <f t="shared" si="14"/>
        <v>2685.9130200000004</v>
      </c>
      <c r="AJ10" s="78">
        <f t="shared" si="15"/>
        <v>1936.0680024</v>
      </c>
      <c r="AK10" s="77">
        <f t="shared" si="16"/>
        <v>815.4375084000001</v>
      </c>
      <c r="AL10" s="79"/>
      <c r="AM10" s="78"/>
      <c r="AN10" s="78">
        <f t="shared" si="17"/>
        <v>1953.4284000000002</v>
      </c>
      <c r="AO10" s="78">
        <f t="shared" si="18"/>
        <v>1953.4284000000002</v>
      </c>
      <c r="AP10" s="78">
        <f t="shared" si="19"/>
        <v>1408.076208</v>
      </c>
      <c r="AQ10" s="77">
        <f t="shared" si="20"/>
        <v>593.056728</v>
      </c>
      <c r="AR10" s="79"/>
      <c r="AS10" s="78"/>
      <c r="AT10" s="78">
        <f t="shared" si="21"/>
        <v>223.75804499999998</v>
      </c>
      <c r="AU10" s="78">
        <f t="shared" si="22"/>
        <v>223.75804499999998</v>
      </c>
      <c r="AV10" s="78">
        <f t="shared" si="23"/>
        <v>161.2899554</v>
      </c>
      <c r="AW10" s="77">
        <f t="shared" si="24"/>
        <v>67.93246889999999</v>
      </c>
      <c r="AX10" s="79"/>
      <c r="AY10" s="78"/>
      <c r="AZ10" s="78">
        <f t="shared" si="25"/>
        <v>3540.027645</v>
      </c>
      <c r="BA10" s="78">
        <f t="shared" si="26"/>
        <v>3540.027645</v>
      </c>
      <c r="BB10" s="78">
        <f t="shared" si="27"/>
        <v>2551.7335074</v>
      </c>
      <c r="BC10" s="77">
        <f t="shared" si="28"/>
        <v>1074.7449009</v>
      </c>
      <c r="BD10" s="79"/>
      <c r="BE10" s="78"/>
      <c r="BF10" s="78">
        <f t="shared" si="29"/>
        <v>383.754105</v>
      </c>
      <c r="BG10" s="78">
        <f t="shared" si="30"/>
        <v>383.754105</v>
      </c>
      <c r="BH10" s="78">
        <f t="shared" si="31"/>
        <v>276.6188026</v>
      </c>
      <c r="BI10" s="77">
        <f t="shared" si="32"/>
        <v>116.5069341</v>
      </c>
      <c r="BJ10" s="79"/>
      <c r="BK10" s="78"/>
      <c r="BL10" s="78">
        <f t="shared" si="33"/>
        <v>1200.455235</v>
      </c>
      <c r="BM10" s="78">
        <f t="shared" si="34"/>
        <v>1200.455235</v>
      </c>
      <c r="BN10" s="78">
        <f t="shared" si="35"/>
        <v>865.3157982</v>
      </c>
      <c r="BO10" s="77">
        <f t="shared" si="36"/>
        <v>364.45566870000005</v>
      </c>
      <c r="BP10" s="79"/>
      <c r="BQ10" s="78"/>
      <c r="BR10" s="78">
        <f t="shared" si="37"/>
        <v>608.779395</v>
      </c>
      <c r="BS10" s="78">
        <f t="shared" si="38"/>
        <v>608.779395</v>
      </c>
      <c r="BT10" s="78">
        <f t="shared" si="39"/>
        <v>438.8222174</v>
      </c>
      <c r="BU10" s="77">
        <f t="shared" si="40"/>
        <v>184.8241359</v>
      </c>
      <c r="BV10" s="79"/>
      <c r="BW10" s="78"/>
      <c r="BX10" s="78">
        <f t="shared" si="41"/>
        <v>118.228005</v>
      </c>
      <c r="BY10" s="78">
        <f t="shared" si="42"/>
        <v>118.228005</v>
      </c>
      <c r="BZ10" s="78">
        <f t="shared" si="43"/>
        <v>85.2214706</v>
      </c>
      <c r="CA10" s="77">
        <f t="shared" si="44"/>
        <v>35.8937721</v>
      </c>
      <c r="CB10" s="79"/>
      <c r="CC10" s="78"/>
      <c r="CD10" s="78">
        <f t="shared" si="45"/>
        <v>469.76517000000007</v>
      </c>
      <c r="CE10" s="78">
        <f t="shared" si="46"/>
        <v>469.76517000000007</v>
      </c>
      <c r="CF10" s="78">
        <f t="shared" si="47"/>
        <v>338.6175604</v>
      </c>
      <c r="CG10" s="77">
        <f t="shared" si="48"/>
        <v>142.6197114</v>
      </c>
      <c r="CH10" s="79"/>
      <c r="CI10" s="78"/>
      <c r="CJ10" s="78">
        <f t="shared" si="49"/>
        <v>1145.7340649999999</v>
      </c>
      <c r="CK10" s="78">
        <f t="shared" si="50"/>
        <v>1145.7340649999999</v>
      </c>
      <c r="CL10" s="78">
        <f t="shared" si="51"/>
        <v>825.8715178</v>
      </c>
      <c r="CM10" s="77">
        <f t="shared" si="52"/>
        <v>347.84243730000003</v>
      </c>
      <c r="CN10" s="79"/>
      <c r="CO10" s="78"/>
      <c r="CP10" s="78">
        <f t="shared" si="53"/>
        <v>2564.46162</v>
      </c>
      <c r="CQ10" s="78">
        <f t="shared" si="54"/>
        <v>2564.46162</v>
      </c>
      <c r="CR10" s="78">
        <f t="shared" si="55"/>
        <v>1848.5230344</v>
      </c>
      <c r="CS10" s="77">
        <f t="shared" si="56"/>
        <v>778.5651204</v>
      </c>
      <c r="CT10" s="79"/>
      <c r="CU10" s="78"/>
      <c r="CV10" s="78">
        <f t="shared" si="57"/>
        <v>387.98959499999995</v>
      </c>
      <c r="CW10" s="78">
        <f t="shared" si="58"/>
        <v>387.98959499999995</v>
      </c>
      <c r="CX10" s="78">
        <f t="shared" si="59"/>
        <v>279.6718414</v>
      </c>
      <c r="CY10" s="77">
        <f t="shared" si="60"/>
        <v>117.7928199</v>
      </c>
      <c r="CZ10" s="79"/>
      <c r="DA10" s="78"/>
      <c r="DB10" s="78">
        <f t="shared" si="61"/>
        <v>1114.826895</v>
      </c>
      <c r="DC10" s="78">
        <f t="shared" si="62"/>
        <v>1114.826895</v>
      </c>
      <c r="DD10" s="78">
        <f t="shared" si="63"/>
        <v>803.5929174</v>
      </c>
      <c r="DE10" s="77">
        <f t="shared" si="64"/>
        <v>338.4590859</v>
      </c>
      <c r="DF10" s="79"/>
      <c r="DG10" s="78"/>
      <c r="DH10" s="78">
        <f t="shared" si="65"/>
        <v>42.958755000000004</v>
      </c>
      <c r="DI10" s="78">
        <f t="shared" si="66"/>
        <v>42.958755000000004</v>
      </c>
      <c r="DJ10" s="78">
        <f t="shared" si="67"/>
        <v>30.9656606</v>
      </c>
      <c r="DK10" s="77">
        <f t="shared" si="68"/>
        <v>13.0421871</v>
      </c>
      <c r="DL10" s="79"/>
      <c r="DM10" s="90"/>
      <c r="DN10" s="90">
        <f t="shared" si="69"/>
        <v>2351.78559</v>
      </c>
      <c r="DO10" s="90">
        <f t="shared" si="70"/>
        <v>2351.78559</v>
      </c>
      <c r="DP10" s="90">
        <f t="shared" si="71"/>
        <v>1695.2212508</v>
      </c>
      <c r="DQ10" s="94">
        <f t="shared" si="72"/>
        <v>713.9971278</v>
      </c>
      <c r="DR10" s="79"/>
      <c r="DS10" s="78"/>
      <c r="DT10" s="78">
        <f t="shared" si="73"/>
        <v>370.25667</v>
      </c>
      <c r="DU10" s="78">
        <f t="shared" si="74"/>
        <v>370.25667</v>
      </c>
      <c r="DV10" s="78">
        <f t="shared" si="75"/>
        <v>266.88954040000004</v>
      </c>
      <c r="DW10" s="77">
        <f t="shared" si="76"/>
        <v>112.40914140000001</v>
      </c>
      <c r="DX10" s="79"/>
      <c r="DY10" s="78"/>
      <c r="DZ10" s="78">
        <f t="shared" si="77"/>
        <v>1905.3666449999998</v>
      </c>
      <c r="EA10" s="78">
        <f t="shared" si="78"/>
        <v>1905.3666449999998</v>
      </c>
      <c r="EB10" s="78">
        <f t="shared" si="79"/>
        <v>1373.4321874</v>
      </c>
      <c r="EC10" s="77">
        <f t="shared" si="80"/>
        <v>578.4652809</v>
      </c>
      <c r="ED10" s="79"/>
      <c r="EE10" s="78"/>
      <c r="EF10" s="78">
        <f t="shared" si="81"/>
        <v>543.96279</v>
      </c>
      <c r="EG10" s="78">
        <f t="shared" si="82"/>
        <v>543.96279</v>
      </c>
      <c r="EH10" s="78">
        <f t="shared" si="83"/>
        <v>392.1009148</v>
      </c>
      <c r="EI10" s="77">
        <f t="shared" si="84"/>
        <v>165.1459518</v>
      </c>
      <c r="EJ10" s="79"/>
      <c r="EK10" s="78"/>
      <c r="EL10" s="78">
        <f t="shared" si="85"/>
        <v>5.460210000000001</v>
      </c>
      <c r="EM10" s="78">
        <f t="shared" si="86"/>
        <v>5.460210000000001</v>
      </c>
      <c r="EN10" s="78">
        <f t="shared" si="87"/>
        <v>3.9358452</v>
      </c>
      <c r="EO10" s="77">
        <f t="shared" si="88"/>
        <v>1.6577082</v>
      </c>
      <c r="EP10" s="79"/>
      <c r="EQ10" s="78"/>
      <c r="ER10" s="78">
        <f t="shared" si="89"/>
        <v>10.13796</v>
      </c>
      <c r="ES10" s="78">
        <f t="shared" si="90"/>
        <v>10.13796</v>
      </c>
      <c r="ET10" s="78">
        <f t="shared" si="91"/>
        <v>7.3076752</v>
      </c>
      <c r="EU10" s="77">
        <f t="shared" si="92"/>
        <v>3.0778632</v>
      </c>
      <c r="EV10" s="79"/>
      <c r="EW10" s="78"/>
      <c r="EX10" s="78">
        <f t="shared" si="93"/>
        <v>1832.62338</v>
      </c>
      <c r="EY10" s="78">
        <f t="shared" si="94"/>
        <v>1832.62338</v>
      </c>
      <c r="EZ10" s="78">
        <f t="shared" si="95"/>
        <v>1320.9971656</v>
      </c>
      <c r="FA10" s="77">
        <f t="shared" si="96"/>
        <v>556.3805796</v>
      </c>
      <c r="FB10" s="79"/>
      <c r="FC10" s="78"/>
      <c r="FD10" s="78">
        <f t="shared" si="97"/>
        <v>3406.3885800000003</v>
      </c>
      <c r="FE10" s="78">
        <f t="shared" si="98"/>
        <v>3406.3885800000003</v>
      </c>
      <c r="FF10" s="78">
        <f t="shared" si="99"/>
        <v>2455.4033896</v>
      </c>
      <c r="FG10" s="77">
        <f t="shared" si="100"/>
        <v>1034.1723636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43556</v>
      </c>
      <c r="C11" s="77">
        <v>5670000</v>
      </c>
      <c r="D11" s="77">
        <v>85050</v>
      </c>
      <c r="E11" s="77">
        <f t="shared" si="0"/>
        <v>5755050</v>
      </c>
      <c r="F11" s="77">
        <v>61297</v>
      </c>
      <c r="G11" s="77">
        <v>25813</v>
      </c>
      <c r="H11" s="79"/>
      <c r="I11" s="79">
        <f>'2009D Academic'!I11</f>
        <v>3077822.8529999997</v>
      </c>
      <c r="J11" s="79">
        <f>'2009D Academic'!J11</f>
        <v>46167.342795000004</v>
      </c>
      <c r="K11" s="79">
        <f>I11+J11</f>
        <v>3123990.1957949996</v>
      </c>
      <c r="L11" s="79">
        <f>'2009D Academic'!L11</f>
        <v>33273.5991923</v>
      </c>
      <c r="M11" s="79">
        <f>'2009D Academic'!M11</f>
        <v>14011.964956700001</v>
      </c>
      <c r="N11" s="79"/>
      <c r="O11" s="78">
        <f t="shared" si="1"/>
        <v>2592177.1470000003</v>
      </c>
      <c r="P11" s="80">
        <f t="shared" si="2"/>
        <v>38882.65720499998</v>
      </c>
      <c r="Q11" s="78">
        <f t="shared" si="3"/>
        <v>2631059.8042050004</v>
      </c>
      <c r="R11" s="78">
        <f t="shared" si="4"/>
        <v>28023.4008077</v>
      </c>
      <c r="S11" s="78">
        <f t="shared" si="4"/>
        <v>11801.035043300002</v>
      </c>
      <c r="T11" s="79"/>
      <c r="U11" s="78">
        <f t="shared" si="102"/>
        <v>463375.08</v>
      </c>
      <c r="V11" s="77">
        <f t="shared" si="5"/>
        <v>6950.6262</v>
      </c>
      <c r="W11" s="78">
        <f t="shared" si="6"/>
        <v>470325.7062</v>
      </c>
      <c r="X11" s="78">
        <f t="shared" si="7"/>
        <v>5009.436028</v>
      </c>
      <c r="Y11" s="77">
        <f t="shared" si="8"/>
        <v>2109.541612</v>
      </c>
      <c r="Z11" s="79"/>
      <c r="AA11" s="78">
        <f t="shared" si="103"/>
        <v>337731.28199999995</v>
      </c>
      <c r="AB11" s="78">
        <f t="shared" si="9"/>
        <v>5065.96923</v>
      </c>
      <c r="AC11" s="78">
        <f t="shared" si="10"/>
        <v>342797.25122999994</v>
      </c>
      <c r="AD11" s="78">
        <f t="shared" si="11"/>
        <v>3651.1312862</v>
      </c>
      <c r="AE11" s="77">
        <f t="shared" si="12"/>
        <v>1537.5410198</v>
      </c>
      <c r="AF11" s="79"/>
      <c r="AG11" s="78">
        <f t="shared" si="104"/>
        <v>179060.86800000002</v>
      </c>
      <c r="AH11" s="78">
        <f t="shared" si="13"/>
        <v>2685.9130200000004</v>
      </c>
      <c r="AI11" s="78">
        <f t="shared" si="14"/>
        <v>181746.78102000002</v>
      </c>
      <c r="AJ11" s="78">
        <f t="shared" si="15"/>
        <v>1935.7837788000002</v>
      </c>
      <c r="AK11" s="77">
        <f t="shared" si="16"/>
        <v>815.1848652</v>
      </c>
      <c r="AL11" s="79"/>
      <c r="AM11" s="78">
        <f t="shared" si="105"/>
        <v>130228.56000000001</v>
      </c>
      <c r="AN11" s="78">
        <f t="shared" si="17"/>
        <v>1953.4284000000002</v>
      </c>
      <c r="AO11" s="78">
        <f t="shared" si="18"/>
        <v>132181.9884</v>
      </c>
      <c r="AP11" s="78">
        <f t="shared" si="19"/>
        <v>1407.869496</v>
      </c>
      <c r="AQ11" s="77">
        <f t="shared" si="20"/>
        <v>592.872984</v>
      </c>
      <c r="AR11" s="79"/>
      <c r="AS11" s="78">
        <f t="shared" si="106"/>
        <v>14917.203000000001</v>
      </c>
      <c r="AT11" s="78">
        <f t="shared" si="21"/>
        <v>223.75804499999998</v>
      </c>
      <c r="AU11" s="78">
        <f t="shared" si="22"/>
        <v>15140.961045000002</v>
      </c>
      <c r="AV11" s="78">
        <f t="shared" si="23"/>
        <v>161.26627729999998</v>
      </c>
      <c r="AW11" s="77">
        <f t="shared" si="24"/>
        <v>67.91142169999999</v>
      </c>
      <c r="AX11" s="79"/>
      <c r="AY11" s="78">
        <f t="shared" si="107"/>
        <v>236001.84299999996</v>
      </c>
      <c r="AZ11" s="78">
        <f t="shared" si="25"/>
        <v>3540.027645</v>
      </c>
      <c r="BA11" s="78">
        <f t="shared" si="26"/>
        <v>239541.87064499996</v>
      </c>
      <c r="BB11" s="78">
        <f t="shared" si="27"/>
        <v>2551.3589012999996</v>
      </c>
      <c r="BC11" s="77">
        <f t="shared" si="28"/>
        <v>1074.4119177</v>
      </c>
      <c r="BD11" s="79"/>
      <c r="BE11" s="78">
        <f t="shared" si="108"/>
        <v>25583.607000000004</v>
      </c>
      <c r="BF11" s="78">
        <f t="shared" si="29"/>
        <v>383.754105</v>
      </c>
      <c r="BG11" s="78">
        <f t="shared" si="30"/>
        <v>25967.361105000004</v>
      </c>
      <c r="BH11" s="78">
        <f t="shared" si="31"/>
        <v>276.5781937</v>
      </c>
      <c r="BI11" s="77">
        <f t="shared" si="32"/>
        <v>116.4708373</v>
      </c>
      <c r="BJ11" s="79"/>
      <c r="BK11" s="78">
        <f t="shared" si="109"/>
        <v>80030.349</v>
      </c>
      <c r="BL11" s="78">
        <f t="shared" si="33"/>
        <v>1200.455235</v>
      </c>
      <c r="BM11" s="78">
        <f t="shared" si="34"/>
        <v>81230.804235</v>
      </c>
      <c r="BN11" s="78">
        <f t="shared" si="35"/>
        <v>865.1887659</v>
      </c>
      <c r="BO11" s="77">
        <f t="shared" si="36"/>
        <v>364.34275110000004</v>
      </c>
      <c r="BP11" s="79"/>
      <c r="BQ11" s="78">
        <f t="shared" si="110"/>
        <v>40585.293000000005</v>
      </c>
      <c r="BR11" s="78">
        <f t="shared" si="37"/>
        <v>608.779395</v>
      </c>
      <c r="BS11" s="78">
        <f t="shared" si="38"/>
        <v>41194.072395</v>
      </c>
      <c r="BT11" s="78">
        <f t="shared" si="39"/>
        <v>438.7577963</v>
      </c>
      <c r="BU11" s="77">
        <f t="shared" si="40"/>
        <v>184.7668727</v>
      </c>
      <c r="BV11" s="79"/>
      <c r="BW11" s="78">
        <f t="shared" si="111"/>
        <v>7881.866999999999</v>
      </c>
      <c r="BX11" s="78">
        <f t="shared" si="41"/>
        <v>118.228005</v>
      </c>
      <c r="BY11" s="78">
        <f t="shared" si="42"/>
        <v>8000.095004999999</v>
      </c>
      <c r="BZ11" s="78">
        <f t="shared" si="43"/>
        <v>85.2089597</v>
      </c>
      <c r="CA11" s="77">
        <f t="shared" si="44"/>
        <v>35.8826513</v>
      </c>
      <c r="CB11" s="79"/>
      <c r="CC11" s="78">
        <f t="shared" si="112"/>
        <v>31317.678000000004</v>
      </c>
      <c r="CD11" s="78">
        <f t="shared" si="45"/>
        <v>469.76517000000007</v>
      </c>
      <c r="CE11" s="78">
        <f t="shared" si="46"/>
        <v>31787.443170000002</v>
      </c>
      <c r="CF11" s="78">
        <f t="shared" si="47"/>
        <v>338.56784980000003</v>
      </c>
      <c r="CG11" s="77">
        <f t="shared" si="48"/>
        <v>142.57552420000002</v>
      </c>
      <c r="CH11" s="79"/>
      <c r="CI11" s="78">
        <f t="shared" si="113"/>
        <v>76382.271</v>
      </c>
      <c r="CJ11" s="78">
        <f t="shared" si="49"/>
        <v>1145.7340649999999</v>
      </c>
      <c r="CK11" s="78">
        <f t="shared" si="50"/>
        <v>77528.00506499999</v>
      </c>
      <c r="CL11" s="78">
        <f t="shared" si="51"/>
        <v>825.7502761000001</v>
      </c>
      <c r="CM11" s="77">
        <f t="shared" si="52"/>
        <v>347.7346669</v>
      </c>
      <c r="CN11" s="79"/>
      <c r="CO11" s="78">
        <f t="shared" si="114"/>
        <v>170964.108</v>
      </c>
      <c r="CP11" s="78">
        <f t="shared" si="53"/>
        <v>2564.46162</v>
      </c>
      <c r="CQ11" s="78">
        <f t="shared" si="54"/>
        <v>173528.56962</v>
      </c>
      <c r="CR11" s="78">
        <f t="shared" si="55"/>
        <v>1848.2516627999998</v>
      </c>
      <c r="CS11" s="77">
        <f t="shared" si="56"/>
        <v>778.3239012</v>
      </c>
      <c r="CT11" s="79"/>
      <c r="CU11" s="78">
        <f t="shared" si="115"/>
        <v>25865.972999999998</v>
      </c>
      <c r="CV11" s="78">
        <f t="shared" si="57"/>
        <v>387.98959499999995</v>
      </c>
      <c r="CW11" s="78">
        <f t="shared" si="58"/>
        <v>26253.962594999997</v>
      </c>
      <c r="CX11" s="78">
        <f t="shared" si="59"/>
        <v>279.6307843</v>
      </c>
      <c r="CY11" s="77">
        <f t="shared" si="60"/>
        <v>117.7563247</v>
      </c>
      <c r="CZ11" s="79"/>
      <c r="DA11" s="78">
        <f t="shared" si="116"/>
        <v>74321.793</v>
      </c>
      <c r="DB11" s="78">
        <f t="shared" si="61"/>
        <v>1114.826895</v>
      </c>
      <c r="DC11" s="78">
        <f t="shared" si="62"/>
        <v>75436.61989500001</v>
      </c>
      <c r="DD11" s="78">
        <f t="shared" si="63"/>
        <v>803.4749463</v>
      </c>
      <c r="DE11" s="77">
        <f t="shared" si="64"/>
        <v>338.35422270000004</v>
      </c>
      <c r="DF11" s="79"/>
      <c r="DG11" s="78">
        <f t="shared" si="117"/>
        <v>2863.917</v>
      </c>
      <c r="DH11" s="78">
        <f t="shared" si="65"/>
        <v>42.958755000000004</v>
      </c>
      <c r="DI11" s="78">
        <f t="shared" si="66"/>
        <v>2906.875755</v>
      </c>
      <c r="DJ11" s="78">
        <f t="shared" si="67"/>
        <v>30.9611147</v>
      </c>
      <c r="DK11" s="77">
        <f t="shared" si="68"/>
        <v>13.0381463</v>
      </c>
      <c r="DL11" s="79"/>
      <c r="DM11" s="90">
        <f t="shared" si="118"/>
        <v>156785.706</v>
      </c>
      <c r="DN11" s="90">
        <f t="shared" si="69"/>
        <v>2351.78559</v>
      </c>
      <c r="DO11" s="90">
        <f t="shared" si="70"/>
        <v>159137.49159000002</v>
      </c>
      <c r="DP11" s="90">
        <f t="shared" si="71"/>
        <v>1694.9723846</v>
      </c>
      <c r="DQ11" s="94">
        <f t="shared" si="72"/>
        <v>713.7759134</v>
      </c>
      <c r="DR11" s="79"/>
      <c r="DS11" s="78">
        <f t="shared" si="119"/>
        <v>24683.778</v>
      </c>
      <c r="DT11" s="78">
        <f t="shared" si="73"/>
        <v>370.25667</v>
      </c>
      <c r="DU11" s="78">
        <f t="shared" si="74"/>
        <v>25054.034669999997</v>
      </c>
      <c r="DV11" s="78">
        <f t="shared" si="75"/>
        <v>266.85035980000004</v>
      </c>
      <c r="DW11" s="77">
        <f t="shared" si="76"/>
        <v>112.37431420000001</v>
      </c>
      <c r="DX11" s="79"/>
      <c r="DY11" s="78">
        <f t="shared" si="120"/>
        <v>127024.44299999998</v>
      </c>
      <c r="DZ11" s="78">
        <f t="shared" si="77"/>
        <v>1905.3666449999998</v>
      </c>
      <c r="EA11" s="78">
        <f t="shared" si="78"/>
        <v>128929.80964499999</v>
      </c>
      <c r="EB11" s="78">
        <f t="shared" si="79"/>
        <v>1373.2305613</v>
      </c>
      <c r="EC11" s="77">
        <f t="shared" si="80"/>
        <v>578.2860577</v>
      </c>
      <c r="ED11" s="79"/>
      <c r="EE11" s="78">
        <f t="shared" si="121"/>
        <v>36264.186</v>
      </c>
      <c r="EF11" s="78">
        <f t="shared" si="81"/>
        <v>543.96279</v>
      </c>
      <c r="EG11" s="78">
        <f t="shared" si="82"/>
        <v>36808.14879</v>
      </c>
      <c r="EH11" s="78">
        <f t="shared" si="83"/>
        <v>392.0433526</v>
      </c>
      <c r="EI11" s="77">
        <f t="shared" si="84"/>
        <v>165.0947854</v>
      </c>
      <c r="EJ11" s="79"/>
      <c r="EK11" s="78">
        <f t="shared" si="122"/>
        <v>364.014</v>
      </c>
      <c r="EL11" s="78">
        <f t="shared" si="85"/>
        <v>5.460210000000001</v>
      </c>
      <c r="EM11" s="78">
        <f t="shared" si="86"/>
        <v>369.47421</v>
      </c>
      <c r="EN11" s="78">
        <f t="shared" si="87"/>
        <v>3.9352674000000003</v>
      </c>
      <c r="EO11" s="77">
        <f t="shared" si="88"/>
        <v>1.6571946</v>
      </c>
      <c r="EP11" s="79"/>
      <c r="EQ11" s="78">
        <f t="shared" si="123"/>
        <v>675.8639999999999</v>
      </c>
      <c r="ER11" s="78">
        <f t="shared" si="89"/>
        <v>10.13796</v>
      </c>
      <c r="ES11" s="78">
        <f t="shared" si="90"/>
        <v>686.0019599999999</v>
      </c>
      <c r="ET11" s="78">
        <f t="shared" si="91"/>
        <v>7.3066024</v>
      </c>
      <c r="EU11" s="77">
        <f t="shared" si="92"/>
        <v>3.0769096</v>
      </c>
      <c r="EV11" s="79"/>
      <c r="EW11" s="78">
        <f t="shared" si="124"/>
        <v>122174.89199999999</v>
      </c>
      <c r="EX11" s="78">
        <f t="shared" si="93"/>
        <v>1832.62338</v>
      </c>
      <c r="EY11" s="78">
        <f t="shared" si="94"/>
        <v>124007.51538</v>
      </c>
      <c r="EZ11" s="78">
        <f t="shared" si="95"/>
        <v>1320.8032372</v>
      </c>
      <c r="FA11" s="77">
        <f t="shared" si="96"/>
        <v>556.2081988</v>
      </c>
      <c r="FB11" s="79"/>
      <c r="FC11" s="78">
        <f t="shared" si="125"/>
        <v>227092.572</v>
      </c>
      <c r="FD11" s="78">
        <f t="shared" si="97"/>
        <v>3406.3885800000003</v>
      </c>
      <c r="FE11" s="78">
        <f t="shared" si="98"/>
        <v>230498.96057999998</v>
      </c>
      <c r="FF11" s="78">
        <f t="shared" si="99"/>
        <v>2455.0429252</v>
      </c>
      <c r="FG11" s="77">
        <f t="shared" si="100"/>
        <v>1033.8519508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 hidden="1">
      <c r="A12" s="51">
        <v>43739</v>
      </c>
      <c r="C12" s="77"/>
      <c r="D12" s="77"/>
      <c r="E12" s="77">
        <f t="shared" si="0"/>
        <v>0</v>
      </c>
      <c r="F12" s="77"/>
      <c r="G12" s="77"/>
      <c r="H12" s="79"/>
      <c r="I12" s="79"/>
      <c r="J12" s="79">
        <v>0</v>
      </c>
      <c r="K12" s="79">
        <f aca="true" t="shared" si="126" ref="K12:K21">I12+J12</f>
        <v>0</v>
      </c>
      <c r="L12" s="79">
        <v>0</v>
      </c>
      <c r="M12" s="77">
        <v>0</v>
      </c>
      <c r="N12" s="79"/>
      <c r="O12" s="78">
        <f t="shared" si="1"/>
        <v>0</v>
      </c>
      <c r="P12" s="80">
        <f t="shared" si="2"/>
        <v>0</v>
      </c>
      <c r="Q12" s="78">
        <f t="shared" si="3"/>
        <v>0</v>
      </c>
      <c r="R12" s="78">
        <f t="shared" si="4"/>
        <v>0</v>
      </c>
      <c r="S12" s="78">
        <f t="shared" si="4"/>
        <v>0</v>
      </c>
      <c r="T12" s="79"/>
      <c r="U12" s="78"/>
      <c r="V12" s="77">
        <f t="shared" si="5"/>
        <v>0</v>
      </c>
      <c r="W12" s="78">
        <f t="shared" si="6"/>
        <v>0</v>
      </c>
      <c r="X12" s="78">
        <f t="shared" si="7"/>
        <v>0</v>
      </c>
      <c r="Y12" s="77">
        <f t="shared" si="8"/>
        <v>0</v>
      </c>
      <c r="Z12" s="79"/>
      <c r="AA12" s="78"/>
      <c r="AB12" s="78">
        <f t="shared" si="9"/>
        <v>0</v>
      </c>
      <c r="AC12" s="78">
        <f t="shared" si="10"/>
        <v>0</v>
      </c>
      <c r="AD12" s="78">
        <f t="shared" si="11"/>
        <v>0</v>
      </c>
      <c r="AE12" s="77">
        <f t="shared" si="12"/>
        <v>0</v>
      </c>
      <c r="AF12" s="79"/>
      <c r="AG12" s="78"/>
      <c r="AH12" s="78">
        <f t="shared" si="13"/>
        <v>0</v>
      </c>
      <c r="AI12" s="78">
        <f t="shared" si="14"/>
        <v>0</v>
      </c>
      <c r="AJ12" s="78">
        <f t="shared" si="15"/>
        <v>0</v>
      </c>
      <c r="AK12" s="77">
        <f t="shared" si="16"/>
        <v>0</v>
      </c>
      <c r="AL12" s="79"/>
      <c r="AM12" s="78"/>
      <c r="AN12" s="78">
        <f t="shared" si="17"/>
        <v>0</v>
      </c>
      <c r="AO12" s="78">
        <f t="shared" si="18"/>
        <v>0</v>
      </c>
      <c r="AP12" s="78">
        <f t="shared" si="19"/>
        <v>0</v>
      </c>
      <c r="AQ12" s="77">
        <f t="shared" si="20"/>
        <v>0</v>
      </c>
      <c r="AR12" s="79"/>
      <c r="AS12" s="78"/>
      <c r="AT12" s="78">
        <f t="shared" si="21"/>
        <v>0</v>
      </c>
      <c r="AU12" s="78">
        <f t="shared" si="22"/>
        <v>0</v>
      </c>
      <c r="AV12" s="78">
        <f t="shared" si="23"/>
        <v>0</v>
      </c>
      <c r="AW12" s="77">
        <f t="shared" si="24"/>
        <v>0</v>
      </c>
      <c r="AX12" s="79"/>
      <c r="AY12" s="78"/>
      <c r="AZ12" s="78">
        <f t="shared" si="25"/>
        <v>0</v>
      </c>
      <c r="BA12" s="78">
        <f t="shared" si="26"/>
        <v>0</v>
      </c>
      <c r="BB12" s="78">
        <f t="shared" si="27"/>
        <v>0</v>
      </c>
      <c r="BC12" s="77">
        <f t="shared" si="28"/>
        <v>0</v>
      </c>
      <c r="BD12" s="79"/>
      <c r="BE12" s="78"/>
      <c r="BF12" s="78">
        <f t="shared" si="29"/>
        <v>0</v>
      </c>
      <c r="BG12" s="78">
        <f t="shared" si="30"/>
        <v>0</v>
      </c>
      <c r="BH12" s="78">
        <f t="shared" si="31"/>
        <v>0</v>
      </c>
      <c r="BI12" s="77">
        <f t="shared" si="32"/>
        <v>0</v>
      </c>
      <c r="BJ12" s="79"/>
      <c r="BK12" s="78"/>
      <c r="BL12" s="78">
        <f t="shared" si="33"/>
        <v>0</v>
      </c>
      <c r="BM12" s="78">
        <f t="shared" si="34"/>
        <v>0</v>
      </c>
      <c r="BN12" s="78">
        <f t="shared" si="35"/>
        <v>0</v>
      </c>
      <c r="BO12" s="77">
        <f t="shared" si="36"/>
        <v>0</v>
      </c>
      <c r="BP12" s="79"/>
      <c r="BQ12" s="78"/>
      <c r="BR12" s="78">
        <f t="shared" si="37"/>
        <v>0</v>
      </c>
      <c r="BS12" s="78">
        <f t="shared" si="38"/>
        <v>0</v>
      </c>
      <c r="BT12" s="78">
        <f t="shared" si="39"/>
        <v>0</v>
      </c>
      <c r="BU12" s="77">
        <f t="shared" si="40"/>
        <v>0</v>
      </c>
      <c r="BV12" s="79"/>
      <c r="BW12" s="78"/>
      <c r="BX12" s="78">
        <f t="shared" si="41"/>
        <v>0</v>
      </c>
      <c r="BY12" s="78">
        <f t="shared" si="42"/>
        <v>0</v>
      </c>
      <c r="BZ12" s="78">
        <f t="shared" si="43"/>
        <v>0</v>
      </c>
      <c r="CA12" s="77">
        <f t="shared" si="44"/>
        <v>0</v>
      </c>
      <c r="CB12" s="79"/>
      <c r="CC12" s="78"/>
      <c r="CD12" s="78">
        <f t="shared" si="45"/>
        <v>0</v>
      </c>
      <c r="CE12" s="78">
        <f t="shared" si="46"/>
        <v>0</v>
      </c>
      <c r="CF12" s="78">
        <f t="shared" si="47"/>
        <v>0</v>
      </c>
      <c r="CG12" s="77">
        <f t="shared" si="48"/>
        <v>0</v>
      </c>
      <c r="CH12" s="79"/>
      <c r="CI12" s="78"/>
      <c r="CJ12" s="78">
        <f t="shared" si="49"/>
        <v>0</v>
      </c>
      <c r="CK12" s="78">
        <f t="shared" si="50"/>
        <v>0</v>
      </c>
      <c r="CL12" s="78">
        <f t="shared" si="51"/>
        <v>0</v>
      </c>
      <c r="CM12" s="77">
        <f t="shared" si="52"/>
        <v>0</v>
      </c>
      <c r="CN12" s="79"/>
      <c r="CO12" s="78"/>
      <c r="CP12" s="78">
        <f t="shared" si="53"/>
        <v>0</v>
      </c>
      <c r="CQ12" s="78">
        <f t="shared" si="54"/>
        <v>0</v>
      </c>
      <c r="CR12" s="78">
        <f t="shared" si="55"/>
        <v>0</v>
      </c>
      <c r="CS12" s="77">
        <f t="shared" si="56"/>
        <v>0</v>
      </c>
      <c r="CT12" s="79"/>
      <c r="CU12" s="78"/>
      <c r="CV12" s="78">
        <f t="shared" si="57"/>
        <v>0</v>
      </c>
      <c r="CW12" s="78">
        <f t="shared" si="58"/>
        <v>0</v>
      </c>
      <c r="CX12" s="78">
        <f t="shared" si="59"/>
        <v>0</v>
      </c>
      <c r="CY12" s="77">
        <f t="shared" si="60"/>
        <v>0</v>
      </c>
      <c r="CZ12" s="79"/>
      <c r="DA12" s="78"/>
      <c r="DB12" s="78">
        <f t="shared" si="61"/>
        <v>0</v>
      </c>
      <c r="DC12" s="78">
        <f t="shared" si="62"/>
        <v>0</v>
      </c>
      <c r="DD12" s="78">
        <f t="shared" si="63"/>
        <v>0</v>
      </c>
      <c r="DE12" s="77">
        <f t="shared" si="64"/>
        <v>0</v>
      </c>
      <c r="DF12" s="79"/>
      <c r="DG12" s="78"/>
      <c r="DH12" s="78">
        <f t="shared" si="65"/>
        <v>0</v>
      </c>
      <c r="DI12" s="78">
        <f t="shared" si="66"/>
        <v>0</v>
      </c>
      <c r="DJ12" s="78">
        <f t="shared" si="67"/>
        <v>0</v>
      </c>
      <c r="DK12" s="77">
        <f t="shared" si="68"/>
        <v>0</v>
      </c>
      <c r="DL12" s="79"/>
      <c r="DM12" s="90"/>
      <c r="DN12" s="90">
        <f t="shared" si="69"/>
        <v>0</v>
      </c>
      <c r="DO12" s="90">
        <f t="shared" si="70"/>
        <v>0</v>
      </c>
      <c r="DP12" s="90">
        <f t="shared" si="71"/>
        <v>0</v>
      </c>
      <c r="DQ12" s="94">
        <f t="shared" si="72"/>
        <v>0</v>
      </c>
      <c r="DR12" s="79"/>
      <c r="DS12" s="78"/>
      <c r="DT12" s="78">
        <f t="shared" si="73"/>
        <v>0</v>
      </c>
      <c r="DU12" s="78">
        <f t="shared" si="74"/>
        <v>0</v>
      </c>
      <c r="DV12" s="78">
        <f t="shared" si="75"/>
        <v>0</v>
      </c>
      <c r="DW12" s="77">
        <f t="shared" si="76"/>
        <v>0</v>
      </c>
      <c r="DX12" s="79"/>
      <c r="DY12" s="78"/>
      <c r="DZ12" s="78">
        <f t="shared" si="77"/>
        <v>0</v>
      </c>
      <c r="EA12" s="78">
        <f t="shared" si="78"/>
        <v>0</v>
      </c>
      <c r="EB12" s="78">
        <f t="shared" si="79"/>
        <v>0</v>
      </c>
      <c r="EC12" s="77">
        <f t="shared" si="80"/>
        <v>0</v>
      </c>
      <c r="ED12" s="79"/>
      <c r="EE12" s="78"/>
      <c r="EF12" s="78">
        <f t="shared" si="81"/>
        <v>0</v>
      </c>
      <c r="EG12" s="78">
        <f t="shared" si="82"/>
        <v>0</v>
      </c>
      <c r="EH12" s="78">
        <f t="shared" si="83"/>
        <v>0</v>
      </c>
      <c r="EI12" s="77">
        <f t="shared" si="84"/>
        <v>0</v>
      </c>
      <c r="EJ12" s="79"/>
      <c r="EK12" s="78"/>
      <c r="EL12" s="78">
        <f t="shared" si="85"/>
        <v>0</v>
      </c>
      <c r="EM12" s="78">
        <f t="shared" si="86"/>
        <v>0</v>
      </c>
      <c r="EN12" s="78">
        <f t="shared" si="87"/>
        <v>0</v>
      </c>
      <c r="EO12" s="77">
        <f t="shared" si="88"/>
        <v>0</v>
      </c>
      <c r="EP12" s="79"/>
      <c r="EQ12" s="78"/>
      <c r="ER12" s="78">
        <f t="shared" si="89"/>
        <v>0</v>
      </c>
      <c r="ES12" s="78">
        <f t="shared" si="90"/>
        <v>0</v>
      </c>
      <c r="ET12" s="78">
        <f t="shared" si="91"/>
        <v>0</v>
      </c>
      <c r="EU12" s="77">
        <f t="shared" si="92"/>
        <v>0</v>
      </c>
      <c r="EV12" s="79"/>
      <c r="EW12" s="78"/>
      <c r="EX12" s="78">
        <f t="shared" si="93"/>
        <v>0</v>
      </c>
      <c r="EY12" s="78">
        <f t="shared" si="94"/>
        <v>0</v>
      </c>
      <c r="EZ12" s="78">
        <f t="shared" si="95"/>
        <v>0</v>
      </c>
      <c r="FA12" s="77">
        <f t="shared" si="96"/>
        <v>0</v>
      </c>
      <c r="FB12" s="79"/>
      <c r="FC12" s="78"/>
      <c r="FD12" s="78">
        <f t="shared" si="97"/>
        <v>0</v>
      </c>
      <c r="FE12" s="78">
        <f t="shared" si="98"/>
        <v>0</v>
      </c>
      <c r="FF12" s="78">
        <f t="shared" si="99"/>
        <v>0</v>
      </c>
      <c r="FG12" s="77">
        <f t="shared" si="100"/>
        <v>0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 hidden="1">
      <c r="A13" s="51">
        <v>43922</v>
      </c>
      <c r="C13" s="77"/>
      <c r="D13" s="77"/>
      <c r="E13" s="77">
        <f t="shared" si="0"/>
        <v>0</v>
      </c>
      <c r="F13" s="77"/>
      <c r="G13" s="77"/>
      <c r="H13" s="79"/>
      <c r="I13" s="79">
        <v>0</v>
      </c>
      <c r="J13" s="79">
        <v>0</v>
      </c>
      <c r="K13" s="79">
        <f t="shared" si="126"/>
        <v>0</v>
      </c>
      <c r="L13" s="79">
        <v>0</v>
      </c>
      <c r="M13" s="77">
        <v>0</v>
      </c>
      <c r="N13" s="79"/>
      <c r="O13" s="78">
        <f t="shared" si="1"/>
        <v>0</v>
      </c>
      <c r="P13" s="80">
        <f t="shared" si="2"/>
        <v>0</v>
      </c>
      <c r="Q13" s="78">
        <f t="shared" si="3"/>
        <v>0</v>
      </c>
      <c r="R13" s="78">
        <f t="shared" si="4"/>
        <v>0</v>
      </c>
      <c r="S13" s="78">
        <f t="shared" si="4"/>
        <v>0</v>
      </c>
      <c r="T13" s="79"/>
      <c r="U13" s="78">
        <f t="shared" si="102"/>
        <v>0</v>
      </c>
      <c r="V13" s="77">
        <f t="shared" si="5"/>
        <v>0</v>
      </c>
      <c r="W13" s="78">
        <f t="shared" si="6"/>
        <v>0</v>
      </c>
      <c r="X13" s="78">
        <f t="shared" si="7"/>
        <v>0</v>
      </c>
      <c r="Y13" s="77">
        <f t="shared" si="8"/>
        <v>0</v>
      </c>
      <c r="Z13" s="79"/>
      <c r="AA13" s="78">
        <f t="shared" si="103"/>
        <v>0</v>
      </c>
      <c r="AB13" s="78">
        <f t="shared" si="9"/>
        <v>0</v>
      </c>
      <c r="AC13" s="78">
        <f t="shared" si="10"/>
        <v>0</v>
      </c>
      <c r="AD13" s="78">
        <f t="shared" si="11"/>
        <v>0</v>
      </c>
      <c r="AE13" s="77">
        <f t="shared" si="12"/>
        <v>0</v>
      </c>
      <c r="AF13" s="79"/>
      <c r="AG13" s="78">
        <f t="shared" si="104"/>
        <v>0</v>
      </c>
      <c r="AH13" s="78">
        <f t="shared" si="13"/>
        <v>0</v>
      </c>
      <c r="AI13" s="78">
        <f t="shared" si="14"/>
        <v>0</v>
      </c>
      <c r="AJ13" s="78">
        <f t="shared" si="15"/>
        <v>0</v>
      </c>
      <c r="AK13" s="77">
        <f t="shared" si="16"/>
        <v>0</v>
      </c>
      <c r="AL13" s="79"/>
      <c r="AM13" s="78">
        <f t="shared" si="105"/>
        <v>0</v>
      </c>
      <c r="AN13" s="78">
        <f t="shared" si="17"/>
        <v>0</v>
      </c>
      <c r="AO13" s="78">
        <f t="shared" si="18"/>
        <v>0</v>
      </c>
      <c r="AP13" s="78">
        <f t="shared" si="19"/>
        <v>0</v>
      </c>
      <c r="AQ13" s="77">
        <f t="shared" si="20"/>
        <v>0</v>
      </c>
      <c r="AR13" s="79"/>
      <c r="AS13" s="78">
        <f t="shared" si="106"/>
        <v>0</v>
      </c>
      <c r="AT13" s="78">
        <f t="shared" si="21"/>
        <v>0</v>
      </c>
      <c r="AU13" s="78">
        <f t="shared" si="22"/>
        <v>0</v>
      </c>
      <c r="AV13" s="78">
        <f t="shared" si="23"/>
        <v>0</v>
      </c>
      <c r="AW13" s="77">
        <f t="shared" si="24"/>
        <v>0</v>
      </c>
      <c r="AX13" s="79"/>
      <c r="AY13" s="78">
        <f t="shared" si="107"/>
        <v>0</v>
      </c>
      <c r="AZ13" s="78">
        <f t="shared" si="25"/>
        <v>0</v>
      </c>
      <c r="BA13" s="78">
        <f t="shared" si="26"/>
        <v>0</v>
      </c>
      <c r="BB13" s="78">
        <f t="shared" si="27"/>
        <v>0</v>
      </c>
      <c r="BC13" s="77">
        <f t="shared" si="28"/>
        <v>0</v>
      </c>
      <c r="BD13" s="79"/>
      <c r="BE13" s="78">
        <f t="shared" si="108"/>
        <v>0</v>
      </c>
      <c r="BF13" s="78">
        <f t="shared" si="29"/>
        <v>0</v>
      </c>
      <c r="BG13" s="78">
        <f t="shared" si="30"/>
        <v>0</v>
      </c>
      <c r="BH13" s="78">
        <f t="shared" si="31"/>
        <v>0</v>
      </c>
      <c r="BI13" s="77">
        <f t="shared" si="32"/>
        <v>0</v>
      </c>
      <c r="BJ13" s="79"/>
      <c r="BK13" s="78">
        <f t="shared" si="109"/>
        <v>0</v>
      </c>
      <c r="BL13" s="78">
        <f t="shared" si="33"/>
        <v>0</v>
      </c>
      <c r="BM13" s="78">
        <f t="shared" si="34"/>
        <v>0</v>
      </c>
      <c r="BN13" s="78">
        <f t="shared" si="35"/>
        <v>0</v>
      </c>
      <c r="BO13" s="77">
        <f t="shared" si="36"/>
        <v>0</v>
      </c>
      <c r="BP13" s="79"/>
      <c r="BQ13" s="78">
        <f t="shared" si="110"/>
        <v>0</v>
      </c>
      <c r="BR13" s="78">
        <f t="shared" si="37"/>
        <v>0</v>
      </c>
      <c r="BS13" s="78">
        <f t="shared" si="38"/>
        <v>0</v>
      </c>
      <c r="BT13" s="78">
        <f t="shared" si="39"/>
        <v>0</v>
      </c>
      <c r="BU13" s="77">
        <f t="shared" si="40"/>
        <v>0</v>
      </c>
      <c r="BV13" s="79"/>
      <c r="BW13" s="78">
        <f t="shared" si="111"/>
        <v>0</v>
      </c>
      <c r="BX13" s="78">
        <f t="shared" si="41"/>
        <v>0</v>
      </c>
      <c r="BY13" s="78">
        <f t="shared" si="42"/>
        <v>0</v>
      </c>
      <c r="BZ13" s="78">
        <f t="shared" si="43"/>
        <v>0</v>
      </c>
      <c r="CA13" s="77">
        <f t="shared" si="44"/>
        <v>0</v>
      </c>
      <c r="CB13" s="79"/>
      <c r="CC13" s="78">
        <f t="shared" si="112"/>
        <v>0</v>
      </c>
      <c r="CD13" s="78">
        <f t="shared" si="45"/>
        <v>0</v>
      </c>
      <c r="CE13" s="78">
        <f t="shared" si="46"/>
        <v>0</v>
      </c>
      <c r="CF13" s="78">
        <f t="shared" si="47"/>
        <v>0</v>
      </c>
      <c r="CG13" s="77">
        <f t="shared" si="48"/>
        <v>0</v>
      </c>
      <c r="CH13" s="79"/>
      <c r="CI13" s="78">
        <f t="shared" si="113"/>
        <v>0</v>
      </c>
      <c r="CJ13" s="78">
        <f t="shared" si="49"/>
        <v>0</v>
      </c>
      <c r="CK13" s="78">
        <f t="shared" si="50"/>
        <v>0</v>
      </c>
      <c r="CL13" s="78">
        <f t="shared" si="51"/>
        <v>0</v>
      </c>
      <c r="CM13" s="77">
        <f t="shared" si="52"/>
        <v>0</v>
      </c>
      <c r="CN13" s="79"/>
      <c r="CO13" s="78">
        <f t="shared" si="114"/>
        <v>0</v>
      </c>
      <c r="CP13" s="78">
        <f t="shared" si="53"/>
        <v>0</v>
      </c>
      <c r="CQ13" s="78">
        <f t="shared" si="54"/>
        <v>0</v>
      </c>
      <c r="CR13" s="78">
        <f t="shared" si="55"/>
        <v>0</v>
      </c>
      <c r="CS13" s="77">
        <f t="shared" si="56"/>
        <v>0</v>
      </c>
      <c r="CT13" s="79"/>
      <c r="CU13" s="78">
        <f t="shared" si="115"/>
        <v>0</v>
      </c>
      <c r="CV13" s="78">
        <f t="shared" si="57"/>
        <v>0</v>
      </c>
      <c r="CW13" s="78">
        <f t="shared" si="58"/>
        <v>0</v>
      </c>
      <c r="CX13" s="78">
        <f t="shared" si="59"/>
        <v>0</v>
      </c>
      <c r="CY13" s="77">
        <f t="shared" si="60"/>
        <v>0</v>
      </c>
      <c r="CZ13" s="79"/>
      <c r="DA13" s="78">
        <f t="shared" si="116"/>
        <v>0</v>
      </c>
      <c r="DB13" s="78">
        <f t="shared" si="61"/>
        <v>0</v>
      </c>
      <c r="DC13" s="78">
        <f t="shared" si="62"/>
        <v>0</v>
      </c>
      <c r="DD13" s="78">
        <f t="shared" si="63"/>
        <v>0</v>
      </c>
      <c r="DE13" s="77">
        <f t="shared" si="64"/>
        <v>0</v>
      </c>
      <c r="DF13" s="79"/>
      <c r="DG13" s="78">
        <f t="shared" si="117"/>
        <v>0</v>
      </c>
      <c r="DH13" s="78">
        <f t="shared" si="65"/>
        <v>0</v>
      </c>
      <c r="DI13" s="78">
        <f t="shared" si="66"/>
        <v>0</v>
      </c>
      <c r="DJ13" s="78">
        <f t="shared" si="67"/>
        <v>0</v>
      </c>
      <c r="DK13" s="77">
        <f t="shared" si="68"/>
        <v>0</v>
      </c>
      <c r="DL13" s="79"/>
      <c r="DM13" s="90">
        <f t="shared" si="118"/>
        <v>0</v>
      </c>
      <c r="DN13" s="90">
        <f t="shared" si="69"/>
        <v>0</v>
      </c>
      <c r="DO13" s="90">
        <f t="shared" si="70"/>
        <v>0</v>
      </c>
      <c r="DP13" s="90">
        <f t="shared" si="71"/>
        <v>0</v>
      </c>
      <c r="DQ13" s="94">
        <f t="shared" si="72"/>
        <v>0</v>
      </c>
      <c r="DR13" s="79"/>
      <c r="DS13" s="78">
        <f t="shared" si="119"/>
        <v>0</v>
      </c>
      <c r="DT13" s="78">
        <f t="shared" si="73"/>
        <v>0</v>
      </c>
      <c r="DU13" s="78">
        <f t="shared" si="74"/>
        <v>0</v>
      </c>
      <c r="DV13" s="78">
        <f t="shared" si="75"/>
        <v>0</v>
      </c>
      <c r="DW13" s="77">
        <f t="shared" si="76"/>
        <v>0</v>
      </c>
      <c r="DX13" s="79"/>
      <c r="DY13" s="78">
        <f t="shared" si="120"/>
        <v>0</v>
      </c>
      <c r="DZ13" s="78">
        <f t="shared" si="77"/>
        <v>0</v>
      </c>
      <c r="EA13" s="78">
        <f t="shared" si="78"/>
        <v>0</v>
      </c>
      <c r="EB13" s="78">
        <f t="shared" si="79"/>
        <v>0</v>
      </c>
      <c r="EC13" s="77">
        <f t="shared" si="80"/>
        <v>0</v>
      </c>
      <c r="ED13" s="79"/>
      <c r="EE13" s="78">
        <f t="shared" si="121"/>
        <v>0</v>
      </c>
      <c r="EF13" s="78">
        <f t="shared" si="81"/>
        <v>0</v>
      </c>
      <c r="EG13" s="78">
        <f t="shared" si="82"/>
        <v>0</v>
      </c>
      <c r="EH13" s="78">
        <f t="shared" si="83"/>
        <v>0</v>
      </c>
      <c r="EI13" s="77">
        <f t="shared" si="84"/>
        <v>0</v>
      </c>
      <c r="EJ13" s="79"/>
      <c r="EK13" s="78">
        <f t="shared" si="122"/>
        <v>0</v>
      </c>
      <c r="EL13" s="78">
        <f t="shared" si="85"/>
        <v>0</v>
      </c>
      <c r="EM13" s="78">
        <f t="shared" si="86"/>
        <v>0</v>
      </c>
      <c r="EN13" s="78">
        <f t="shared" si="87"/>
        <v>0</v>
      </c>
      <c r="EO13" s="77">
        <f t="shared" si="88"/>
        <v>0</v>
      </c>
      <c r="EP13" s="79"/>
      <c r="EQ13" s="78">
        <f t="shared" si="123"/>
        <v>0</v>
      </c>
      <c r="ER13" s="78">
        <f t="shared" si="89"/>
        <v>0</v>
      </c>
      <c r="ES13" s="78">
        <f t="shared" si="90"/>
        <v>0</v>
      </c>
      <c r="ET13" s="78">
        <f t="shared" si="91"/>
        <v>0</v>
      </c>
      <c r="EU13" s="77">
        <f t="shared" si="92"/>
        <v>0</v>
      </c>
      <c r="EV13" s="79"/>
      <c r="EW13" s="78">
        <f t="shared" si="124"/>
        <v>0</v>
      </c>
      <c r="EX13" s="78">
        <f t="shared" si="93"/>
        <v>0</v>
      </c>
      <c r="EY13" s="78">
        <f t="shared" si="94"/>
        <v>0</v>
      </c>
      <c r="EZ13" s="78">
        <f t="shared" si="95"/>
        <v>0</v>
      </c>
      <c r="FA13" s="77">
        <f t="shared" si="96"/>
        <v>0</v>
      </c>
      <c r="FB13" s="79"/>
      <c r="FC13" s="78">
        <f t="shared" si="125"/>
        <v>0</v>
      </c>
      <c r="FD13" s="78">
        <f t="shared" si="97"/>
        <v>0</v>
      </c>
      <c r="FE13" s="78">
        <f t="shared" si="98"/>
        <v>0</v>
      </c>
      <c r="FF13" s="78">
        <f t="shared" si="99"/>
        <v>0</v>
      </c>
      <c r="FG13" s="77">
        <f t="shared" si="100"/>
        <v>0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 hidden="1">
      <c r="A14" s="51">
        <v>44105</v>
      </c>
      <c r="C14" s="77"/>
      <c r="D14" s="77"/>
      <c r="E14" s="77">
        <f t="shared" si="0"/>
        <v>0</v>
      </c>
      <c r="F14" s="77"/>
      <c r="G14" s="77"/>
      <c r="H14" s="79"/>
      <c r="I14" s="79"/>
      <c r="J14" s="79">
        <v>0</v>
      </c>
      <c r="K14" s="79">
        <f t="shared" si="126"/>
        <v>0</v>
      </c>
      <c r="L14" s="79">
        <v>0</v>
      </c>
      <c r="M14" s="77">
        <v>0</v>
      </c>
      <c r="N14" s="79"/>
      <c r="O14" s="78">
        <f t="shared" si="1"/>
        <v>0</v>
      </c>
      <c r="P14" s="80">
        <f t="shared" si="2"/>
        <v>0</v>
      </c>
      <c r="Q14" s="78">
        <f t="shared" si="3"/>
        <v>0</v>
      </c>
      <c r="R14" s="78">
        <f t="shared" si="4"/>
        <v>0</v>
      </c>
      <c r="S14" s="78">
        <f t="shared" si="4"/>
        <v>0</v>
      </c>
      <c r="T14" s="79"/>
      <c r="U14" s="78"/>
      <c r="V14" s="77">
        <f t="shared" si="5"/>
        <v>0</v>
      </c>
      <c r="W14" s="78">
        <f t="shared" si="6"/>
        <v>0</v>
      </c>
      <c r="X14" s="78">
        <f t="shared" si="7"/>
        <v>0</v>
      </c>
      <c r="Y14" s="77">
        <f t="shared" si="8"/>
        <v>0</v>
      </c>
      <c r="Z14" s="79"/>
      <c r="AA14" s="78"/>
      <c r="AB14" s="78">
        <f t="shared" si="9"/>
        <v>0</v>
      </c>
      <c r="AC14" s="78">
        <f t="shared" si="10"/>
        <v>0</v>
      </c>
      <c r="AD14" s="78">
        <f t="shared" si="11"/>
        <v>0</v>
      </c>
      <c r="AE14" s="77">
        <f t="shared" si="12"/>
        <v>0</v>
      </c>
      <c r="AF14" s="79"/>
      <c r="AG14" s="78"/>
      <c r="AH14" s="78">
        <f t="shared" si="13"/>
        <v>0</v>
      </c>
      <c r="AI14" s="78">
        <f t="shared" si="14"/>
        <v>0</v>
      </c>
      <c r="AJ14" s="78">
        <f t="shared" si="15"/>
        <v>0</v>
      </c>
      <c r="AK14" s="77">
        <f t="shared" si="16"/>
        <v>0</v>
      </c>
      <c r="AL14" s="79"/>
      <c r="AM14" s="78"/>
      <c r="AN14" s="78">
        <f t="shared" si="17"/>
        <v>0</v>
      </c>
      <c r="AO14" s="78">
        <f t="shared" si="18"/>
        <v>0</v>
      </c>
      <c r="AP14" s="78">
        <f t="shared" si="19"/>
        <v>0</v>
      </c>
      <c r="AQ14" s="77">
        <f t="shared" si="20"/>
        <v>0</v>
      </c>
      <c r="AR14" s="79"/>
      <c r="AS14" s="78"/>
      <c r="AT14" s="78">
        <f t="shared" si="21"/>
        <v>0</v>
      </c>
      <c r="AU14" s="78">
        <f t="shared" si="22"/>
        <v>0</v>
      </c>
      <c r="AV14" s="78">
        <f t="shared" si="23"/>
        <v>0</v>
      </c>
      <c r="AW14" s="77">
        <f t="shared" si="24"/>
        <v>0</v>
      </c>
      <c r="AX14" s="79"/>
      <c r="AY14" s="78"/>
      <c r="AZ14" s="78">
        <f t="shared" si="25"/>
        <v>0</v>
      </c>
      <c r="BA14" s="78">
        <f t="shared" si="26"/>
        <v>0</v>
      </c>
      <c r="BB14" s="78">
        <f t="shared" si="27"/>
        <v>0</v>
      </c>
      <c r="BC14" s="77">
        <f t="shared" si="28"/>
        <v>0</v>
      </c>
      <c r="BD14" s="79"/>
      <c r="BE14" s="78"/>
      <c r="BF14" s="78">
        <f t="shared" si="29"/>
        <v>0</v>
      </c>
      <c r="BG14" s="78">
        <f t="shared" si="30"/>
        <v>0</v>
      </c>
      <c r="BH14" s="78">
        <f t="shared" si="31"/>
        <v>0</v>
      </c>
      <c r="BI14" s="77">
        <f t="shared" si="32"/>
        <v>0</v>
      </c>
      <c r="BJ14" s="79"/>
      <c r="BK14" s="78"/>
      <c r="BL14" s="78">
        <f t="shared" si="33"/>
        <v>0</v>
      </c>
      <c r="BM14" s="78">
        <f t="shared" si="34"/>
        <v>0</v>
      </c>
      <c r="BN14" s="78">
        <f t="shared" si="35"/>
        <v>0</v>
      </c>
      <c r="BO14" s="77">
        <f t="shared" si="36"/>
        <v>0</v>
      </c>
      <c r="BP14" s="79"/>
      <c r="BQ14" s="78"/>
      <c r="BR14" s="78">
        <f t="shared" si="37"/>
        <v>0</v>
      </c>
      <c r="BS14" s="78">
        <f t="shared" si="38"/>
        <v>0</v>
      </c>
      <c r="BT14" s="78">
        <f t="shared" si="39"/>
        <v>0</v>
      </c>
      <c r="BU14" s="77">
        <f t="shared" si="40"/>
        <v>0</v>
      </c>
      <c r="BV14" s="79"/>
      <c r="BW14" s="78"/>
      <c r="BX14" s="78">
        <f t="shared" si="41"/>
        <v>0</v>
      </c>
      <c r="BY14" s="78">
        <f t="shared" si="42"/>
        <v>0</v>
      </c>
      <c r="BZ14" s="78">
        <f t="shared" si="43"/>
        <v>0</v>
      </c>
      <c r="CA14" s="77">
        <f t="shared" si="44"/>
        <v>0</v>
      </c>
      <c r="CB14" s="79"/>
      <c r="CC14" s="78"/>
      <c r="CD14" s="78">
        <f t="shared" si="45"/>
        <v>0</v>
      </c>
      <c r="CE14" s="78">
        <f t="shared" si="46"/>
        <v>0</v>
      </c>
      <c r="CF14" s="78">
        <f t="shared" si="47"/>
        <v>0</v>
      </c>
      <c r="CG14" s="77">
        <f t="shared" si="48"/>
        <v>0</v>
      </c>
      <c r="CH14" s="79"/>
      <c r="CI14" s="78"/>
      <c r="CJ14" s="78">
        <f t="shared" si="49"/>
        <v>0</v>
      </c>
      <c r="CK14" s="78">
        <f t="shared" si="50"/>
        <v>0</v>
      </c>
      <c r="CL14" s="78">
        <f t="shared" si="51"/>
        <v>0</v>
      </c>
      <c r="CM14" s="77">
        <f t="shared" si="52"/>
        <v>0</v>
      </c>
      <c r="CN14" s="79"/>
      <c r="CO14" s="78"/>
      <c r="CP14" s="78">
        <f t="shared" si="53"/>
        <v>0</v>
      </c>
      <c r="CQ14" s="78">
        <f t="shared" si="54"/>
        <v>0</v>
      </c>
      <c r="CR14" s="78">
        <f t="shared" si="55"/>
        <v>0</v>
      </c>
      <c r="CS14" s="77">
        <f t="shared" si="56"/>
        <v>0</v>
      </c>
      <c r="CT14" s="79"/>
      <c r="CU14" s="78"/>
      <c r="CV14" s="78">
        <f t="shared" si="57"/>
        <v>0</v>
      </c>
      <c r="CW14" s="78">
        <f t="shared" si="58"/>
        <v>0</v>
      </c>
      <c r="CX14" s="78">
        <f t="shared" si="59"/>
        <v>0</v>
      </c>
      <c r="CY14" s="77">
        <f t="shared" si="60"/>
        <v>0</v>
      </c>
      <c r="CZ14" s="79"/>
      <c r="DA14" s="78"/>
      <c r="DB14" s="78">
        <f t="shared" si="61"/>
        <v>0</v>
      </c>
      <c r="DC14" s="78">
        <f t="shared" si="62"/>
        <v>0</v>
      </c>
      <c r="DD14" s="78">
        <f t="shared" si="63"/>
        <v>0</v>
      </c>
      <c r="DE14" s="77">
        <f t="shared" si="64"/>
        <v>0</v>
      </c>
      <c r="DF14" s="79"/>
      <c r="DG14" s="78"/>
      <c r="DH14" s="78">
        <f t="shared" si="65"/>
        <v>0</v>
      </c>
      <c r="DI14" s="78">
        <f t="shared" si="66"/>
        <v>0</v>
      </c>
      <c r="DJ14" s="78">
        <f t="shared" si="67"/>
        <v>0</v>
      </c>
      <c r="DK14" s="77">
        <f t="shared" si="68"/>
        <v>0</v>
      </c>
      <c r="DL14" s="79"/>
      <c r="DM14" s="90"/>
      <c r="DN14" s="90">
        <f t="shared" si="69"/>
        <v>0</v>
      </c>
      <c r="DO14" s="90">
        <f t="shared" si="70"/>
        <v>0</v>
      </c>
      <c r="DP14" s="90">
        <f t="shared" si="71"/>
        <v>0</v>
      </c>
      <c r="DQ14" s="94">
        <f t="shared" si="72"/>
        <v>0</v>
      </c>
      <c r="DR14" s="79"/>
      <c r="DS14" s="78"/>
      <c r="DT14" s="78">
        <f t="shared" si="73"/>
        <v>0</v>
      </c>
      <c r="DU14" s="78">
        <f t="shared" si="74"/>
        <v>0</v>
      </c>
      <c r="DV14" s="78">
        <f t="shared" si="75"/>
        <v>0</v>
      </c>
      <c r="DW14" s="77">
        <f t="shared" si="76"/>
        <v>0</v>
      </c>
      <c r="DX14" s="79"/>
      <c r="DY14" s="78"/>
      <c r="DZ14" s="78">
        <f t="shared" si="77"/>
        <v>0</v>
      </c>
      <c r="EA14" s="78">
        <f t="shared" si="78"/>
        <v>0</v>
      </c>
      <c r="EB14" s="78">
        <f t="shared" si="79"/>
        <v>0</v>
      </c>
      <c r="EC14" s="77">
        <f t="shared" si="80"/>
        <v>0</v>
      </c>
      <c r="ED14" s="79"/>
      <c r="EE14" s="78"/>
      <c r="EF14" s="78">
        <f t="shared" si="81"/>
        <v>0</v>
      </c>
      <c r="EG14" s="78">
        <f t="shared" si="82"/>
        <v>0</v>
      </c>
      <c r="EH14" s="78">
        <f t="shared" si="83"/>
        <v>0</v>
      </c>
      <c r="EI14" s="77">
        <f t="shared" si="84"/>
        <v>0</v>
      </c>
      <c r="EJ14" s="79"/>
      <c r="EK14" s="78"/>
      <c r="EL14" s="78">
        <f t="shared" si="85"/>
        <v>0</v>
      </c>
      <c r="EM14" s="78">
        <f t="shared" si="86"/>
        <v>0</v>
      </c>
      <c r="EN14" s="78">
        <f t="shared" si="87"/>
        <v>0</v>
      </c>
      <c r="EO14" s="77">
        <f t="shared" si="88"/>
        <v>0</v>
      </c>
      <c r="EP14" s="79"/>
      <c r="EQ14" s="78"/>
      <c r="ER14" s="78">
        <f t="shared" si="89"/>
        <v>0</v>
      </c>
      <c r="ES14" s="78">
        <f t="shared" si="90"/>
        <v>0</v>
      </c>
      <c r="ET14" s="78">
        <f t="shared" si="91"/>
        <v>0</v>
      </c>
      <c r="EU14" s="77">
        <f t="shared" si="92"/>
        <v>0</v>
      </c>
      <c r="EV14" s="79"/>
      <c r="EW14" s="78"/>
      <c r="EX14" s="78">
        <f t="shared" si="93"/>
        <v>0</v>
      </c>
      <c r="EY14" s="78">
        <f t="shared" si="94"/>
        <v>0</v>
      </c>
      <c r="EZ14" s="78">
        <f t="shared" si="95"/>
        <v>0</v>
      </c>
      <c r="FA14" s="77">
        <f t="shared" si="96"/>
        <v>0</v>
      </c>
      <c r="FB14" s="79"/>
      <c r="FC14" s="78"/>
      <c r="FD14" s="78">
        <f t="shared" si="97"/>
        <v>0</v>
      </c>
      <c r="FE14" s="78">
        <f t="shared" si="98"/>
        <v>0</v>
      </c>
      <c r="FF14" s="78">
        <f t="shared" si="99"/>
        <v>0</v>
      </c>
      <c r="FG14" s="77">
        <f t="shared" si="100"/>
        <v>0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 hidden="1">
      <c r="A15" s="51">
        <v>44287</v>
      </c>
      <c r="C15" s="77"/>
      <c r="D15" s="77"/>
      <c r="E15" s="77">
        <f t="shared" si="0"/>
        <v>0</v>
      </c>
      <c r="F15" s="77"/>
      <c r="G15" s="77"/>
      <c r="H15" s="79"/>
      <c r="I15" s="79">
        <v>0</v>
      </c>
      <c r="J15" s="79">
        <v>0</v>
      </c>
      <c r="K15" s="79">
        <f t="shared" si="126"/>
        <v>0</v>
      </c>
      <c r="L15" s="79">
        <v>0</v>
      </c>
      <c r="M15" s="77">
        <v>0</v>
      </c>
      <c r="N15" s="79"/>
      <c r="O15" s="78">
        <f t="shared" si="1"/>
        <v>0</v>
      </c>
      <c r="P15" s="80">
        <f t="shared" si="2"/>
        <v>0</v>
      </c>
      <c r="Q15" s="78">
        <f t="shared" si="3"/>
        <v>0</v>
      </c>
      <c r="R15" s="78">
        <f t="shared" si="4"/>
        <v>0</v>
      </c>
      <c r="S15" s="78">
        <f t="shared" si="4"/>
        <v>0</v>
      </c>
      <c r="T15" s="79"/>
      <c r="U15" s="78">
        <f t="shared" si="102"/>
        <v>0</v>
      </c>
      <c r="V15" s="77">
        <f t="shared" si="5"/>
        <v>0</v>
      </c>
      <c r="W15" s="78">
        <f t="shared" si="6"/>
        <v>0</v>
      </c>
      <c r="X15" s="78">
        <f t="shared" si="7"/>
        <v>0</v>
      </c>
      <c r="Y15" s="77">
        <f t="shared" si="8"/>
        <v>0</v>
      </c>
      <c r="Z15" s="79"/>
      <c r="AA15" s="78">
        <f t="shared" si="103"/>
        <v>0</v>
      </c>
      <c r="AB15" s="78">
        <f t="shared" si="9"/>
        <v>0</v>
      </c>
      <c r="AC15" s="78">
        <f t="shared" si="10"/>
        <v>0</v>
      </c>
      <c r="AD15" s="78">
        <f t="shared" si="11"/>
        <v>0</v>
      </c>
      <c r="AE15" s="77">
        <f t="shared" si="12"/>
        <v>0</v>
      </c>
      <c r="AF15" s="79"/>
      <c r="AG15" s="78">
        <f t="shared" si="104"/>
        <v>0</v>
      </c>
      <c r="AH15" s="78">
        <f t="shared" si="13"/>
        <v>0</v>
      </c>
      <c r="AI15" s="78">
        <f t="shared" si="14"/>
        <v>0</v>
      </c>
      <c r="AJ15" s="78">
        <f t="shared" si="15"/>
        <v>0</v>
      </c>
      <c r="AK15" s="77">
        <f t="shared" si="16"/>
        <v>0</v>
      </c>
      <c r="AL15" s="79"/>
      <c r="AM15" s="78">
        <f t="shared" si="105"/>
        <v>0</v>
      </c>
      <c r="AN15" s="78">
        <f t="shared" si="17"/>
        <v>0</v>
      </c>
      <c r="AO15" s="78">
        <f t="shared" si="18"/>
        <v>0</v>
      </c>
      <c r="AP15" s="78">
        <f t="shared" si="19"/>
        <v>0</v>
      </c>
      <c r="AQ15" s="77">
        <f t="shared" si="20"/>
        <v>0</v>
      </c>
      <c r="AR15" s="79"/>
      <c r="AS15" s="78">
        <f t="shared" si="106"/>
        <v>0</v>
      </c>
      <c r="AT15" s="78">
        <f t="shared" si="21"/>
        <v>0</v>
      </c>
      <c r="AU15" s="78">
        <f t="shared" si="22"/>
        <v>0</v>
      </c>
      <c r="AV15" s="78">
        <f t="shared" si="23"/>
        <v>0</v>
      </c>
      <c r="AW15" s="77">
        <f t="shared" si="24"/>
        <v>0</v>
      </c>
      <c r="AX15" s="79"/>
      <c r="AY15" s="78">
        <f t="shared" si="107"/>
        <v>0</v>
      </c>
      <c r="AZ15" s="78">
        <f t="shared" si="25"/>
        <v>0</v>
      </c>
      <c r="BA15" s="78">
        <f t="shared" si="26"/>
        <v>0</v>
      </c>
      <c r="BB15" s="78">
        <f t="shared" si="27"/>
        <v>0</v>
      </c>
      <c r="BC15" s="77">
        <f t="shared" si="28"/>
        <v>0</v>
      </c>
      <c r="BD15" s="79"/>
      <c r="BE15" s="78">
        <f t="shared" si="108"/>
        <v>0</v>
      </c>
      <c r="BF15" s="78">
        <f t="shared" si="29"/>
        <v>0</v>
      </c>
      <c r="BG15" s="78">
        <f t="shared" si="30"/>
        <v>0</v>
      </c>
      <c r="BH15" s="78">
        <f t="shared" si="31"/>
        <v>0</v>
      </c>
      <c r="BI15" s="77">
        <f t="shared" si="32"/>
        <v>0</v>
      </c>
      <c r="BJ15" s="79"/>
      <c r="BK15" s="78">
        <f t="shared" si="109"/>
        <v>0</v>
      </c>
      <c r="BL15" s="78">
        <f t="shared" si="33"/>
        <v>0</v>
      </c>
      <c r="BM15" s="78">
        <f t="shared" si="34"/>
        <v>0</v>
      </c>
      <c r="BN15" s="78">
        <f t="shared" si="35"/>
        <v>0</v>
      </c>
      <c r="BO15" s="77">
        <f t="shared" si="36"/>
        <v>0</v>
      </c>
      <c r="BP15" s="79"/>
      <c r="BQ15" s="78">
        <f t="shared" si="110"/>
        <v>0</v>
      </c>
      <c r="BR15" s="78">
        <f t="shared" si="37"/>
        <v>0</v>
      </c>
      <c r="BS15" s="78">
        <f t="shared" si="38"/>
        <v>0</v>
      </c>
      <c r="BT15" s="78">
        <f t="shared" si="39"/>
        <v>0</v>
      </c>
      <c r="BU15" s="77">
        <f t="shared" si="40"/>
        <v>0</v>
      </c>
      <c r="BV15" s="79"/>
      <c r="BW15" s="78">
        <f t="shared" si="111"/>
        <v>0</v>
      </c>
      <c r="BX15" s="78">
        <f t="shared" si="41"/>
        <v>0</v>
      </c>
      <c r="BY15" s="78">
        <f t="shared" si="42"/>
        <v>0</v>
      </c>
      <c r="BZ15" s="78">
        <f t="shared" si="43"/>
        <v>0</v>
      </c>
      <c r="CA15" s="77">
        <f t="shared" si="44"/>
        <v>0</v>
      </c>
      <c r="CB15" s="79"/>
      <c r="CC15" s="78">
        <f t="shared" si="112"/>
        <v>0</v>
      </c>
      <c r="CD15" s="78">
        <f t="shared" si="45"/>
        <v>0</v>
      </c>
      <c r="CE15" s="78">
        <f t="shared" si="46"/>
        <v>0</v>
      </c>
      <c r="CF15" s="78">
        <f t="shared" si="47"/>
        <v>0</v>
      </c>
      <c r="CG15" s="77">
        <f t="shared" si="48"/>
        <v>0</v>
      </c>
      <c r="CH15" s="79"/>
      <c r="CI15" s="78">
        <f t="shared" si="113"/>
        <v>0</v>
      </c>
      <c r="CJ15" s="78">
        <f t="shared" si="49"/>
        <v>0</v>
      </c>
      <c r="CK15" s="78">
        <f t="shared" si="50"/>
        <v>0</v>
      </c>
      <c r="CL15" s="78">
        <f t="shared" si="51"/>
        <v>0</v>
      </c>
      <c r="CM15" s="77">
        <f t="shared" si="52"/>
        <v>0</v>
      </c>
      <c r="CN15" s="79"/>
      <c r="CO15" s="78">
        <f t="shared" si="114"/>
        <v>0</v>
      </c>
      <c r="CP15" s="78">
        <f t="shared" si="53"/>
        <v>0</v>
      </c>
      <c r="CQ15" s="78">
        <f t="shared" si="54"/>
        <v>0</v>
      </c>
      <c r="CR15" s="78">
        <f t="shared" si="55"/>
        <v>0</v>
      </c>
      <c r="CS15" s="77">
        <f t="shared" si="56"/>
        <v>0</v>
      </c>
      <c r="CT15" s="79"/>
      <c r="CU15" s="78">
        <f t="shared" si="115"/>
        <v>0</v>
      </c>
      <c r="CV15" s="78">
        <f t="shared" si="57"/>
        <v>0</v>
      </c>
      <c r="CW15" s="78">
        <f t="shared" si="58"/>
        <v>0</v>
      </c>
      <c r="CX15" s="78">
        <f t="shared" si="59"/>
        <v>0</v>
      </c>
      <c r="CY15" s="77">
        <f t="shared" si="60"/>
        <v>0</v>
      </c>
      <c r="CZ15" s="79"/>
      <c r="DA15" s="78">
        <f t="shared" si="116"/>
        <v>0</v>
      </c>
      <c r="DB15" s="78">
        <f t="shared" si="61"/>
        <v>0</v>
      </c>
      <c r="DC15" s="78">
        <f t="shared" si="62"/>
        <v>0</v>
      </c>
      <c r="DD15" s="78">
        <f t="shared" si="63"/>
        <v>0</v>
      </c>
      <c r="DE15" s="77">
        <f t="shared" si="64"/>
        <v>0</v>
      </c>
      <c r="DF15" s="79"/>
      <c r="DG15" s="78">
        <f t="shared" si="117"/>
        <v>0</v>
      </c>
      <c r="DH15" s="78">
        <f t="shared" si="65"/>
        <v>0</v>
      </c>
      <c r="DI15" s="78">
        <f t="shared" si="66"/>
        <v>0</v>
      </c>
      <c r="DJ15" s="78">
        <f t="shared" si="67"/>
        <v>0</v>
      </c>
      <c r="DK15" s="77">
        <f t="shared" si="68"/>
        <v>0</v>
      </c>
      <c r="DL15" s="79"/>
      <c r="DM15" s="90">
        <f t="shared" si="118"/>
        <v>0</v>
      </c>
      <c r="DN15" s="90">
        <f t="shared" si="69"/>
        <v>0</v>
      </c>
      <c r="DO15" s="90">
        <f t="shared" si="70"/>
        <v>0</v>
      </c>
      <c r="DP15" s="90">
        <f t="shared" si="71"/>
        <v>0</v>
      </c>
      <c r="DQ15" s="94">
        <f t="shared" si="72"/>
        <v>0</v>
      </c>
      <c r="DR15" s="79"/>
      <c r="DS15" s="78">
        <f t="shared" si="119"/>
        <v>0</v>
      </c>
      <c r="DT15" s="78">
        <f t="shared" si="73"/>
        <v>0</v>
      </c>
      <c r="DU15" s="78">
        <f t="shared" si="74"/>
        <v>0</v>
      </c>
      <c r="DV15" s="78">
        <f t="shared" si="75"/>
        <v>0</v>
      </c>
      <c r="DW15" s="77">
        <f t="shared" si="76"/>
        <v>0</v>
      </c>
      <c r="DX15" s="79"/>
      <c r="DY15" s="78">
        <f t="shared" si="120"/>
        <v>0</v>
      </c>
      <c r="DZ15" s="78">
        <f t="shared" si="77"/>
        <v>0</v>
      </c>
      <c r="EA15" s="78">
        <f t="shared" si="78"/>
        <v>0</v>
      </c>
      <c r="EB15" s="78">
        <f t="shared" si="79"/>
        <v>0</v>
      </c>
      <c r="EC15" s="77">
        <f t="shared" si="80"/>
        <v>0</v>
      </c>
      <c r="ED15" s="79"/>
      <c r="EE15" s="78">
        <f t="shared" si="121"/>
        <v>0</v>
      </c>
      <c r="EF15" s="78">
        <f t="shared" si="81"/>
        <v>0</v>
      </c>
      <c r="EG15" s="78">
        <f t="shared" si="82"/>
        <v>0</v>
      </c>
      <c r="EH15" s="78">
        <f t="shared" si="83"/>
        <v>0</v>
      </c>
      <c r="EI15" s="77">
        <f t="shared" si="84"/>
        <v>0</v>
      </c>
      <c r="EJ15" s="79"/>
      <c r="EK15" s="78">
        <f t="shared" si="122"/>
        <v>0</v>
      </c>
      <c r="EL15" s="78">
        <f t="shared" si="85"/>
        <v>0</v>
      </c>
      <c r="EM15" s="78">
        <f t="shared" si="86"/>
        <v>0</v>
      </c>
      <c r="EN15" s="78">
        <f t="shared" si="87"/>
        <v>0</v>
      </c>
      <c r="EO15" s="77">
        <f t="shared" si="88"/>
        <v>0</v>
      </c>
      <c r="EP15" s="79"/>
      <c r="EQ15" s="78">
        <f t="shared" si="123"/>
        <v>0</v>
      </c>
      <c r="ER15" s="78">
        <f t="shared" si="89"/>
        <v>0</v>
      </c>
      <c r="ES15" s="78">
        <f t="shared" si="90"/>
        <v>0</v>
      </c>
      <c r="ET15" s="78">
        <f t="shared" si="91"/>
        <v>0</v>
      </c>
      <c r="EU15" s="77">
        <f t="shared" si="92"/>
        <v>0</v>
      </c>
      <c r="EV15" s="79"/>
      <c r="EW15" s="78">
        <f t="shared" si="124"/>
        <v>0</v>
      </c>
      <c r="EX15" s="78">
        <f t="shared" si="93"/>
        <v>0</v>
      </c>
      <c r="EY15" s="78">
        <f t="shared" si="94"/>
        <v>0</v>
      </c>
      <c r="EZ15" s="78">
        <f t="shared" si="95"/>
        <v>0</v>
      </c>
      <c r="FA15" s="77">
        <f t="shared" si="96"/>
        <v>0</v>
      </c>
      <c r="FB15" s="79"/>
      <c r="FC15" s="78">
        <f t="shared" si="125"/>
        <v>0</v>
      </c>
      <c r="FD15" s="78">
        <f t="shared" si="97"/>
        <v>0</v>
      </c>
      <c r="FE15" s="78">
        <f t="shared" si="98"/>
        <v>0</v>
      </c>
      <c r="FF15" s="78">
        <f t="shared" si="99"/>
        <v>0</v>
      </c>
      <c r="FG15" s="77">
        <f t="shared" si="100"/>
        <v>0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 hidden="1">
      <c r="A16" s="51">
        <v>44470</v>
      </c>
      <c r="C16" s="77"/>
      <c r="D16" s="77"/>
      <c r="E16" s="77">
        <f t="shared" si="0"/>
        <v>0</v>
      </c>
      <c r="F16" s="77"/>
      <c r="G16" s="77"/>
      <c r="H16" s="79"/>
      <c r="I16" s="79"/>
      <c r="J16" s="79">
        <v>0</v>
      </c>
      <c r="K16" s="79">
        <f t="shared" si="126"/>
        <v>0</v>
      </c>
      <c r="L16" s="79">
        <v>0</v>
      </c>
      <c r="M16" s="77">
        <v>0</v>
      </c>
      <c r="N16" s="79"/>
      <c r="O16" s="78">
        <f t="shared" si="1"/>
        <v>0</v>
      </c>
      <c r="P16" s="80">
        <f t="shared" si="2"/>
        <v>0</v>
      </c>
      <c r="Q16" s="78">
        <f t="shared" si="3"/>
        <v>0</v>
      </c>
      <c r="R16" s="78">
        <f t="shared" si="4"/>
        <v>0</v>
      </c>
      <c r="S16" s="78">
        <f t="shared" si="4"/>
        <v>0</v>
      </c>
      <c r="T16" s="79"/>
      <c r="U16" s="78"/>
      <c r="V16" s="77">
        <f t="shared" si="5"/>
        <v>0</v>
      </c>
      <c r="W16" s="78">
        <f t="shared" si="6"/>
        <v>0</v>
      </c>
      <c r="X16" s="78">
        <f t="shared" si="7"/>
        <v>0</v>
      </c>
      <c r="Y16" s="77">
        <f t="shared" si="8"/>
        <v>0</v>
      </c>
      <c r="Z16" s="79"/>
      <c r="AA16" s="78"/>
      <c r="AB16" s="78">
        <f t="shared" si="9"/>
        <v>0</v>
      </c>
      <c r="AC16" s="78">
        <f t="shared" si="10"/>
        <v>0</v>
      </c>
      <c r="AD16" s="78">
        <f t="shared" si="11"/>
        <v>0</v>
      </c>
      <c r="AE16" s="77">
        <f t="shared" si="12"/>
        <v>0</v>
      </c>
      <c r="AF16" s="79"/>
      <c r="AG16" s="78"/>
      <c r="AH16" s="78">
        <f t="shared" si="13"/>
        <v>0</v>
      </c>
      <c r="AI16" s="78">
        <f t="shared" si="14"/>
        <v>0</v>
      </c>
      <c r="AJ16" s="78">
        <f t="shared" si="15"/>
        <v>0</v>
      </c>
      <c r="AK16" s="77">
        <f t="shared" si="16"/>
        <v>0</v>
      </c>
      <c r="AL16" s="79"/>
      <c r="AM16" s="78"/>
      <c r="AN16" s="78">
        <f t="shared" si="17"/>
        <v>0</v>
      </c>
      <c r="AO16" s="78">
        <f t="shared" si="18"/>
        <v>0</v>
      </c>
      <c r="AP16" s="78">
        <f t="shared" si="19"/>
        <v>0</v>
      </c>
      <c r="AQ16" s="77">
        <f t="shared" si="20"/>
        <v>0</v>
      </c>
      <c r="AR16" s="79"/>
      <c r="AS16" s="78"/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7">
        <f t="shared" si="24"/>
        <v>0</v>
      </c>
      <c r="AX16" s="79"/>
      <c r="AY16" s="78"/>
      <c r="AZ16" s="78">
        <f t="shared" si="25"/>
        <v>0</v>
      </c>
      <c r="BA16" s="78">
        <f t="shared" si="26"/>
        <v>0</v>
      </c>
      <c r="BB16" s="78">
        <f t="shared" si="27"/>
        <v>0</v>
      </c>
      <c r="BC16" s="77">
        <f t="shared" si="28"/>
        <v>0</v>
      </c>
      <c r="BD16" s="79"/>
      <c r="BE16" s="78"/>
      <c r="BF16" s="78">
        <f t="shared" si="29"/>
        <v>0</v>
      </c>
      <c r="BG16" s="78">
        <f t="shared" si="30"/>
        <v>0</v>
      </c>
      <c r="BH16" s="78">
        <f t="shared" si="31"/>
        <v>0</v>
      </c>
      <c r="BI16" s="77">
        <f t="shared" si="32"/>
        <v>0</v>
      </c>
      <c r="BJ16" s="79"/>
      <c r="BK16" s="78"/>
      <c r="BL16" s="78">
        <f t="shared" si="33"/>
        <v>0</v>
      </c>
      <c r="BM16" s="78">
        <f t="shared" si="34"/>
        <v>0</v>
      </c>
      <c r="BN16" s="78">
        <f t="shared" si="35"/>
        <v>0</v>
      </c>
      <c r="BO16" s="77">
        <f t="shared" si="36"/>
        <v>0</v>
      </c>
      <c r="BP16" s="79"/>
      <c r="BQ16" s="78"/>
      <c r="BR16" s="78">
        <f t="shared" si="37"/>
        <v>0</v>
      </c>
      <c r="BS16" s="78">
        <f t="shared" si="38"/>
        <v>0</v>
      </c>
      <c r="BT16" s="78">
        <f t="shared" si="39"/>
        <v>0</v>
      </c>
      <c r="BU16" s="77">
        <f t="shared" si="40"/>
        <v>0</v>
      </c>
      <c r="BV16" s="79"/>
      <c r="BW16" s="78"/>
      <c r="BX16" s="78">
        <f t="shared" si="41"/>
        <v>0</v>
      </c>
      <c r="BY16" s="78">
        <f t="shared" si="42"/>
        <v>0</v>
      </c>
      <c r="BZ16" s="78">
        <f t="shared" si="43"/>
        <v>0</v>
      </c>
      <c r="CA16" s="77">
        <f t="shared" si="44"/>
        <v>0</v>
      </c>
      <c r="CB16" s="79"/>
      <c r="CC16" s="78"/>
      <c r="CD16" s="78">
        <f t="shared" si="45"/>
        <v>0</v>
      </c>
      <c r="CE16" s="78">
        <f t="shared" si="46"/>
        <v>0</v>
      </c>
      <c r="CF16" s="78">
        <f t="shared" si="47"/>
        <v>0</v>
      </c>
      <c r="CG16" s="77">
        <f t="shared" si="48"/>
        <v>0</v>
      </c>
      <c r="CH16" s="79"/>
      <c r="CI16" s="78"/>
      <c r="CJ16" s="78">
        <f t="shared" si="49"/>
        <v>0</v>
      </c>
      <c r="CK16" s="78">
        <f t="shared" si="50"/>
        <v>0</v>
      </c>
      <c r="CL16" s="78">
        <f t="shared" si="51"/>
        <v>0</v>
      </c>
      <c r="CM16" s="77">
        <f t="shared" si="52"/>
        <v>0</v>
      </c>
      <c r="CN16" s="79"/>
      <c r="CO16" s="78"/>
      <c r="CP16" s="78">
        <f t="shared" si="53"/>
        <v>0</v>
      </c>
      <c r="CQ16" s="78">
        <f t="shared" si="54"/>
        <v>0</v>
      </c>
      <c r="CR16" s="78">
        <f t="shared" si="55"/>
        <v>0</v>
      </c>
      <c r="CS16" s="77">
        <f t="shared" si="56"/>
        <v>0</v>
      </c>
      <c r="CT16" s="79"/>
      <c r="CU16" s="78"/>
      <c r="CV16" s="78">
        <f t="shared" si="57"/>
        <v>0</v>
      </c>
      <c r="CW16" s="78">
        <f t="shared" si="58"/>
        <v>0</v>
      </c>
      <c r="CX16" s="78">
        <f t="shared" si="59"/>
        <v>0</v>
      </c>
      <c r="CY16" s="77">
        <f t="shared" si="60"/>
        <v>0</v>
      </c>
      <c r="CZ16" s="79"/>
      <c r="DA16" s="78"/>
      <c r="DB16" s="78">
        <f t="shared" si="61"/>
        <v>0</v>
      </c>
      <c r="DC16" s="78">
        <f t="shared" si="62"/>
        <v>0</v>
      </c>
      <c r="DD16" s="78">
        <f t="shared" si="63"/>
        <v>0</v>
      </c>
      <c r="DE16" s="77">
        <f t="shared" si="64"/>
        <v>0</v>
      </c>
      <c r="DF16" s="79"/>
      <c r="DG16" s="78"/>
      <c r="DH16" s="78">
        <f t="shared" si="65"/>
        <v>0</v>
      </c>
      <c r="DI16" s="78">
        <f t="shared" si="66"/>
        <v>0</v>
      </c>
      <c r="DJ16" s="78">
        <f t="shared" si="67"/>
        <v>0</v>
      </c>
      <c r="DK16" s="77">
        <f t="shared" si="68"/>
        <v>0</v>
      </c>
      <c r="DL16" s="79"/>
      <c r="DM16" s="90"/>
      <c r="DN16" s="90">
        <f t="shared" si="69"/>
        <v>0</v>
      </c>
      <c r="DO16" s="90">
        <f t="shared" si="70"/>
        <v>0</v>
      </c>
      <c r="DP16" s="90">
        <f t="shared" si="71"/>
        <v>0</v>
      </c>
      <c r="DQ16" s="94">
        <f t="shared" si="72"/>
        <v>0</v>
      </c>
      <c r="DR16" s="79"/>
      <c r="DS16" s="78"/>
      <c r="DT16" s="78">
        <f t="shared" si="73"/>
        <v>0</v>
      </c>
      <c r="DU16" s="78">
        <f t="shared" si="74"/>
        <v>0</v>
      </c>
      <c r="DV16" s="78">
        <f t="shared" si="75"/>
        <v>0</v>
      </c>
      <c r="DW16" s="77">
        <f t="shared" si="76"/>
        <v>0</v>
      </c>
      <c r="DX16" s="79"/>
      <c r="DY16" s="78"/>
      <c r="DZ16" s="78">
        <f t="shared" si="77"/>
        <v>0</v>
      </c>
      <c r="EA16" s="78">
        <f t="shared" si="78"/>
        <v>0</v>
      </c>
      <c r="EB16" s="78">
        <f t="shared" si="79"/>
        <v>0</v>
      </c>
      <c r="EC16" s="77">
        <f t="shared" si="80"/>
        <v>0</v>
      </c>
      <c r="ED16" s="79"/>
      <c r="EE16" s="78"/>
      <c r="EF16" s="78">
        <f t="shared" si="81"/>
        <v>0</v>
      </c>
      <c r="EG16" s="78">
        <f t="shared" si="82"/>
        <v>0</v>
      </c>
      <c r="EH16" s="78">
        <f t="shared" si="83"/>
        <v>0</v>
      </c>
      <c r="EI16" s="77">
        <f t="shared" si="84"/>
        <v>0</v>
      </c>
      <c r="EJ16" s="79"/>
      <c r="EK16" s="78"/>
      <c r="EL16" s="78">
        <f t="shared" si="85"/>
        <v>0</v>
      </c>
      <c r="EM16" s="78">
        <f t="shared" si="86"/>
        <v>0</v>
      </c>
      <c r="EN16" s="78">
        <f t="shared" si="87"/>
        <v>0</v>
      </c>
      <c r="EO16" s="77">
        <f t="shared" si="88"/>
        <v>0</v>
      </c>
      <c r="EP16" s="79"/>
      <c r="EQ16" s="78"/>
      <c r="ER16" s="78">
        <f t="shared" si="89"/>
        <v>0</v>
      </c>
      <c r="ES16" s="78">
        <f t="shared" si="90"/>
        <v>0</v>
      </c>
      <c r="ET16" s="78">
        <f t="shared" si="91"/>
        <v>0</v>
      </c>
      <c r="EU16" s="77">
        <f t="shared" si="92"/>
        <v>0</v>
      </c>
      <c r="EV16" s="79"/>
      <c r="EW16" s="78"/>
      <c r="EX16" s="78">
        <f t="shared" si="93"/>
        <v>0</v>
      </c>
      <c r="EY16" s="78">
        <f t="shared" si="94"/>
        <v>0</v>
      </c>
      <c r="EZ16" s="78">
        <f t="shared" si="95"/>
        <v>0</v>
      </c>
      <c r="FA16" s="77">
        <f t="shared" si="96"/>
        <v>0</v>
      </c>
      <c r="FB16" s="79"/>
      <c r="FC16" s="78"/>
      <c r="FD16" s="78">
        <f t="shared" si="97"/>
        <v>0</v>
      </c>
      <c r="FE16" s="78">
        <f t="shared" si="98"/>
        <v>0</v>
      </c>
      <c r="FF16" s="78">
        <f t="shared" si="99"/>
        <v>0</v>
      </c>
      <c r="FG16" s="77">
        <f t="shared" si="100"/>
        <v>0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 hidden="1">
      <c r="A17" s="51">
        <v>44652</v>
      </c>
      <c r="C17" s="77"/>
      <c r="D17" s="77"/>
      <c r="E17" s="77">
        <f t="shared" si="0"/>
        <v>0</v>
      </c>
      <c r="F17" s="77"/>
      <c r="G17" s="77"/>
      <c r="H17" s="79"/>
      <c r="I17" s="79">
        <v>0</v>
      </c>
      <c r="J17" s="79">
        <v>0</v>
      </c>
      <c r="K17" s="79">
        <f t="shared" si="126"/>
        <v>0</v>
      </c>
      <c r="L17" s="79">
        <v>0</v>
      </c>
      <c r="M17" s="77">
        <v>0</v>
      </c>
      <c r="N17" s="79"/>
      <c r="O17" s="78">
        <f t="shared" si="1"/>
        <v>0</v>
      </c>
      <c r="P17" s="80">
        <f t="shared" si="2"/>
        <v>0</v>
      </c>
      <c r="Q17" s="78">
        <f t="shared" si="3"/>
        <v>0</v>
      </c>
      <c r="R17" s="78">
        <f t="shared" si="4"/>
        <v>0</v>
      </c>
      <c r="S17" s="78">
        <f t="shared" si="4"/>
        <v>0</v>
      </c>
      <c r="T17" s="79"/>
      <c r="U17" s="78">
        <f t="shared" si="102"/>
        <v>0</v>
      </c>
      <c r="V17" s="77">
        <f t="shared" si="5"/>
        <v>0</v>
      </c>
      <c r="W17" s="78">
        <f t="shared" si="6"/>
        <v>0</v>
      </c>
      <c r="X17" s="78">
        <f t="shared" si="7"/>
        <v>0</v>
      </c>
      <c r="Y17" s="77">
        <f t="shared" si="8"/>
        <v>0</v>
      </c>
      <c r="Z17" s="79"/>
      <c r="AA17" s="78">
        <f t="shared" si="103"/>
        <v>0</v>
      </c>
      <c r="AB17" s="78">
        <f t="shared" si="9"/>
        <v>0</v>
      </c>
      <c r="AC17" s="78">
        <f t="shared" si="10"/>
        <v>0</v>
      </c>
      <c r="AD17" s="78">
        <f t="shared" si="11"/>
        <v>0</v>
      </c>
      <c r="AE17" s="77">
        <f t="shared" si="12"/>
        <v>0</v>
      </c>
      <c r="AF17" s="79"/>
      <c r="AG17" s="78">
        <f t="shared" si="104"/>
        <v>0</v>
      </c>
      <c r="AH17" s="78">
        <f t="shared" si="13"/>
        <v>0</v>
      </c>
      <c r="AI17" s="78">
        <f t="shared" si="14"/>
        <v>0</v>
      </c>
      <c r="AJ17" s="78">
        <f t="shared" si="15"/>
        <v>0</v>
      </c>
      <c r="AK17" s="77">
        <f t="shared" si="16"/>
        <v>0</v>
      </c>
      <c r="AL17" s="79"/>
      <c r="AM17" s="78">
        <f t="shared" si="105"/>
        <v>0</v>
      </c>
      <c r="AN17" s="78">
        <f t="shared" si="17"/>
        <v>0</v>
      </c>
      <c r="AO17" s="78">
        <f t="shared" si="18"/>
        <v>0</v>
      </c>
      <c r="AP17" s="78">
        <f t="shared" si="19"/>
        <v>0</v>
      </c>
      <c r="AQ17" s="77">
        <f t="shared" si="20"/>
        <v>0</v>
      </c>
      <c r="AR17" s="79"/>
      <c r="AS17" s="78">
        <f t="shared" si="106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7">
        <f t="shared" si="24"/>
        <v>0</v>
      </c>
      <c r="AX17" s="79"/>
      <c r="AY17" s="78">
        <f t="shared" si="107"/>
        <v>0</v>
      </c>
      <c r="AZ17" s="78">
        <f t="shared" si="25"/>
        <v>0</v>
      </c>
      <c r="BA17" s="78">
        <f t="shared" si="26"/>
        <v>0</v>
      </c>
      <c r="BB17" s="78">
        <f t="shared" si="27"/>
        <v>0</v>
      </c>
      <c r="BC17" s="77">
        <f t="shared" si="28"/>
        <v>0</v>
      </c>
      <c r="BD17" s="79"/>
      <c r="BE17" s="78">
        <f t="shared" si="108"/>
        <v>0</v>
      </c>
      <c r="BF17" s="78">
        <f t="shared" si="29"/>
        <v>0</v>
      </c>
      <c r="BG17" s="78">
        <f t="shared" si="30"/>
        <v>0</v>
      </c>
      <c r="BH17" s="78">
        <f t="shared" si="31"/>
        <v>0</v>
      </c>
      <c r="BI17" s="77">
        <f t="shared" si="32"/>
        <v>0</v>
      </c>
      <c r="BJ17" s="79"/>
      <c r="BK17" s="78">
        <f t="shared" si="109"/>
        <v>0</v>
      </c>
      <c r="BL17" s="78">
        <f t="shared" si="33"/>
        <v>0</v>
      </c>
      <c r="BM17" s="78">
        <f t="shared" si="34"/>
        <v>0</v>
      </c>
      <c r="BN17" s="78">
        <f t="shared" si="35"/>
        <v>0</v>
      </c>
      <c r="BO17" s="77">
        <f t="shared" si="36"/>
        <v>0</v>
      </c>
      <c r="BP17" s="79"/>
      <c r="BQ17" s="78">
        <f t="shared" si="110"/>
        <v>0</v>
      </c>
      <c r="BR17" s="78">
        <f t="shared" si="37"/>
        <v>0</v>
      </c>
      <c r="BS17" s="78">
        <f t="shared" si="38"/>
        <v>0</v>
      </c>
      <c r="BT17" s="78">
        <f t="shared" si="39"/>
        <v>0</v>
      </c>
      <c r="BU17" s="77">
        <f t="shared" si="40"/>
        <v>0</v>
      </c>
      <c r="BV17" s="79"/>
      <c r="BW17" s="78">
        <f t="shared" si="111"/>
        <v>0</v>
      </c>
      <c r="BX17" s="78">
        <f t="shared" si="41"/>
        <v>0</v>
      </c>
      <c r="BY17" s="78">
        <f t="shared" si="42"/>
        <v>0</v>
      </c>
      <c r="BZ17" s="78">
        <f t="shared" si="43"/>
        <v>0</v>
      </c>
      <c r="CA17" s="77">
        <f t="shared" si="44"/>
        <v>0</v>
      </c>
      <c r="CB17" s="79"/>
      <c r="CC17" s="78">
        <f t="shared" si="112"/>
        <v>0</v>
      </c>
      <c r="CD17" s="78">
        <f t="shared" si="45"/>
        <v>0</v>
      </c>
      <c r="CE17" s="78">
        <f t="shared" si="46"/>
        <v>0</v>
      </c>
      <c r="CF17" s="78">
        <f t="shared" si="47"/>
        <v>0</v>
      </c>
      <c r="CG17" s="77">
        <f t="shared" si="48"/>
        <v>0</v>
      </c>
      <c r="CH17" s="79"/>
      <c r="CI17" s="78">
        <f t="shared" si="113"/>
        <v>0</v>
      </c>
      <c r="CJ17" s="78">
        <f t="shared" si="49"/>
        <v>0</v>
      </c>
      <c r="CK17" s="78">
        <f t="shared" si="50"/>
        <v>0</v>
      </c>
      <c r="CL17" s="78">
        <f t="shared" si="51"/>
        <v>0</v>
      </c>
      <c r="CM17" s="77">
        <f t="shared" si="52"/>
        <v>0</v>
      </c>
      <c r="CN17" s="79"/>
      <c r="CO17" s="78">
        <f t="shared" si="114"/>
        <v>0</v>
      </c>
      <c r="CP17" s="78">
        <f t="shared" si="53"/>
        <v>0</v>
      </c>
      <c r="CQ17" s="78">
        <f t="shared" si="54"/>
        <v>0</v>
      </c>
      <c r="CR17" s="78">
        <f t="shared" si="55"/>
        <v>0</v>
      </c>
      <c r="CS17" s="77">
        <f t="shared" si="56"/>
        <v>0</v>
      </c>
      <c r="CT17" s="79"/>
      <c r="CU17" s="78">
        <f t="shared" si="115"/>
        <v>0</v>
      </c>
      <c r="CV17" s="78">
        <f t="shared" si="57"/>
        <v>0</v>
      </c>
      <c r="CW17" s="78">
        <f t="shared" si="58"/>
        <v>0</v>
      </c>
      <c r="CX17" s="78">
        <f t="shared" si="59"/>
        <v>0</v>
      </c>
      <c r="CY17" s="77">
        <f t="shared" si="60"/>
        <v>0</v>
      </c>
      <c r="CZ17" s="79"/>
      <c r="DA17" s="78">
        <f t="shared" si="116"/>
        <v>0</v>
      </c>
      <c r="DB17" s="78">
        <f t="shared" si="61"/>
        <v>0</v>
      </c>
      <c r="DC17" s="78">
        <f t="shared" si="62"/>
        <v>0</v>
      </c>
      <c r="DD17" s="78">
        <f t="shared" si="63"/>
        <v>0</v>
      </c>
      <c r="DE17" s="77">
        <f t="shared" si="64"/>
        <v>0</v>
      </c>
      <c r="DF17" s="79"/>
      <c r="DG17" s="78">
        <f t="shared" si="117"/>
        <v>0</v>
      </c>
      <c r="DH17" s="78">
        <f t="shared" si="65"/>
        <v>0</v>
      </c>
      <c r="DI17" s="78">
        <f t="shared" si="66"/>
        <v>0</v>
      </c>
      <c r="DJ17" s="78">
        <f t="shared" si="67"/>
        <v>0</v>
      </c>
      <c r="DK17" s="77">
        <f t="shared" si="68"/>
        <v>0</v>
      </c>
      <c r="DL17" s="79"/>
      <c r="DM17" s="90">
        <f t="shared" si="118"/>
        <v>0</v>
      </c>
      <c r="DN17" s="90">
        <f t="shared" si="69"/>
        <v>0</v>
      </c>
      <c r="DO17" s="90">
        <f t="shared" si="70"/>
        <v>0</v>
      </c>
      <c r="DP17" s="90">
        <f t="shared" si="71"/>
        <v>0</v>
      </c>
      <c r="DQ17" s="94">
        <f t="shared" si="72"/>
        <v>0</v>
      </c>
      <c r="DR17" s="79"/>
      <c r="DS17" s="78">
        <f t="shared" si="119"/>
        <v>0</v>
      </c>
      <c r="DT17" s="78">
        <f t="shared" si="73"/>
        <v>0</v>
      </c>
      <c r="DU17" s="78">
        <f t="shared" si="74"/>
        <v>0</v>
      </c>
      <c r="DV17" s="78">
        <f t="shared" si="75"/>
        <v>0</v>
      </c>
      <c r="DW17" s="77">
        <f t="shared" si="76"/>
        <v>0</v>
      </c>
      <c r="DX17" s="79"/>
      <c r="DY17" s="78">
        <f t="shared" si="120"/>
        <v>0</v>
      </c>
      <c r="DZ17" s="78">
        <f t="shared" si="77"/>
        <v>0</v>
      </c>
      <c r="EA17" s="78">
        <f t="shared" si="78"/>
        <v>0</v>
      </c>
      <c r="EB17" s="78">
        <f t="shared" si="79"/>
        <v>0</v>
      </c>
      <c r="EC17" s="77">
        <f t="shared" si="80"/>
        <v>0</v>
      </c>
      <c r="ED17" s="79"/>
      <c r="EE17" s="78">
        <f t="shared" si="121"/>
        <v>0</v>
      </c>
      <c r="EF17" s="78">
        <f t="shared" si="81"/>
        <v>0</v>
      </c>
      <c r="EG17" s="78">
        <f t="shared" si="82"/>
        <v>0</v>
      </c>
      <c r="EH17" s="78">
        <f t="shared" si="83"/>
        <v>0</v>
      </c>
      <c r="EI17" s="77">
        <f t="shared" si="84"/>
        <v>0</v>
      </c>
      <c r="EJ17" s="79"/>
      <c r="EK17" s="78">
        <f t="shared" si="122"/>
        <v>0</v>
      </c>
      <c r="EL17" s="78">
        <f t="shared" si="85"/>
        <v>0</v>
      </c>
      <c r="EM17" s="78">
        <f t="shared" si="86"/>
        <v>0</v>
      </c>
      <c r="EN17" s="78">
        <f t="shared" si="87"/>
        <v>0</v>
      </c>
      <c r="EO17" s="77">
        <f t="shared" si="88"/>
        <v>0</v>
      </c>
      <c r="EP17" s="79"/>
      <c r="EQ17" s="78">
        <f t="shared" si="123"/>
        <v>0</v>
      </c>
      <c r="ER17" s="78">
        <f t="shared" si="89"/>
        <v>0</v>
      </c>
      <c r="ES17" s="78">
        <f t="shared" si="90"/>
        <v>0</v>
      </c>
      <c r="ET17" s="78">
        <f t="shared" si="91"/>
        <v>0</v>
      </c>
      <c r="EU17" s="77">
        <f t="shared" si="92"/>
        <v>0</v>
      </c>
      <c r="EV17" s="79"/>
      <c r="EW17" s="78">
        <f t="shared" si="124"/>
        <v>0</v>
      </c>
      <c r="EX17" s="78">
        <f t="shared" si="93"/>
        <v>0</v>
      </c>
      <c r="EY17" s="78">
        <f t="shared" si="94"/>
        <v>0</v>
      </c>
      <c r="EZ17" s="78">
        <f t="shared" si="95"/>
        <v>0</v>
      </c>
      <c r="FA17" s="77">
        <f t="shared" si="96"/>
        <v>0</v>
      </c>
      <c r="FB17" s="79"/>
      <c r="FC17" s="78">
        <f t="shared" si="125"/>
        <v>0</v>
      </c>
      <c r="FD17" s="78">
        <f t="shared" si="97"/>
        <v>0</v>
      </c>
      <c r="FE17" s="78">
        <f t="shared" si="98"/>
        <v>0</v>
      </c>
      <c r="FF17" s="78">
        <f t="shared" si="99"/>
        <v>0</v>
      </c>
      <c r="FG17" s="77">
        <f t="shared" si="100"/>
        <v>0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 hidden="1">
      <c r="A18" s="51">
        <v>44835</v>
      </c>
      <c r="C18" s="77"/>
      <c r="D18" s="77"/>
      <c r="E18" s="77">
        <f t="shared" si="0"/>
        <v>0</v>
      </c>
      <c r="F18" s="77"/>
      <c r="G18" s="77"/>
      <c r="H18" s="79"/>
      <c r="I18" s="79"/>
      <c r="J18" s="79">
        <v>0</v>
      </c>
      <c r="K18" s="79">
        <f t="shared" si="126"/>
        <v>0</v>
      </c>
      <c r="L18" s="79">
        <v>0</v>
      </c>
      <c r="M18" s="77">
        <v>0</v>
      </c>
      <c r="N18" s="79"/>
      <c r="O18" s="78">
        <f t="shared" si="1"/>
        <v>0</v>
      </c>
      <c r="P18" s="80">
        <f t="shared" si="2"/>
        <v>0</v>
      </c>
      <c r="Q18" s="78">
        <f t="shared" si="3"/>
        <v>0</v>
      </c>
      <c r="R18" s="78">
        <f t="shared" si="4"/>
        <v>0</v>
      </c>
      <c r="S18" s="78">
        <f t="shared" si="4"/>
        <v>0</v>
      </c>
      <c r="T18" s="79"/>
      <c r="U18" s="78"/>
      <c r="V18" s="77">
        <f t="shared" si="5"/>
        <v>0</v>
      </c>
      <c r="W18" s="78">
        <f t="shared" si="6"/>
        <v>0</v>
      </c>
      <c r="X18" s="78">
        <f t="shared" si="7"/>
        <v>0</v>
      </c>
      <c r="Y18" s="77">
        <f t="shared" si="8"/>
        <v>0</v>
      </c>
      <c r="Z18" s="79"/>
      <c r="AA18" s="78"/>
      <c r="AB18" s="78">
        <f t="shared" si="9"/>
        <v>0</v>
      </c>
      <c r="AC18" s="78">
        <f t="shared" si="10"/>
        <v>0</v>
      </c>
      <c r="AD18" s="78">
        <f t="shared" si="11"/>
        <v>0</v>
      </c>
      <c r="AE18" s="77">
        <f t="shared" si="12"/>
        <v>0</v>
      </c>
      <c r="AF18" s="79"/>
      <c r="AG18" s="78"/>
      <c r="AH18" s="78">
        <f t="shared" si="13"/>
        <v>0</v>
      </c>
      <c r="AI18" s="78">
        <f t="shared" si="14"/>
        <v>0</v>
      </c>
      <c r="AJ18" s="78">
        <f t="shared" si="15"/>
        <v>0</v>
      </c>
      <c r="AK18" s="77">
        <f t="shared" si="16"/>
        <v>0</v>
      </c>
      <c r="AL18" s="79"/>
      <c r="AM18" s="78"/>
      <c r="AN18" s="78">
        <f t="shared" si="17"/>
        <v>0</v>
      </c>
      <c r="AO18" s="78">
        <f t="shared" si="18"/>
        <v>0</v>
      </c>
      <c r="AP18" s="78">
        <f t="shared" si="19"/>
        <v>0</v>
      </c>
      <c r="AQ18" s="77">
        <f t="shared" si="20"/>
        <v>0</v>
      </c>
      <c r="AR18" s="79"/>
      <c r="AS18" s="78"/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7">
        <f t="shared" si="24"/>
        <v>0</v>
      </c>
      <c r="AX18" s="79"/>
      <c r="AY18" s="78"/>
      <c r="AZ18" s="78">
        <f t="shared" si="25"/>
        <v>0</v>
      </c>
      <c r="BA18" s="78">
        <f t="shared" si="26"/>
        <v>0</v>
      </c>
      <c r="BB18" s="78">
        <f t="shared" si="27"/>
        <v>0</v>
      </c>
      <c r="BC18" s="77">
        <f t="shared" si="28"/>
        <v>0</v>
      </c>
      <c r="BD18" s="79"/>
      <c r="BE18" s="78"/>
      <c r="BF18" s="78">
        <f t="shared" si="29"/>
        <v>0</v>
      </c>
      <c r="BG18" s="78">
        <f t="shared" si="30"/>
        <v>0</v>
      </c>
      <c r="BH18" s="78">
        <f t="shared" si="31"/>
        <v>0</v>
      </c>
      <c r="BI18" s="77">
        <f t="shared" si="32"/>
        <v>0</v>
      </c>
      <c r="BJ18" s="79"/>
      <c r="BK18" s="78"/>
      <c r="BL18" s="78">
        <f t="shared" si="33"/>
        <v>0</v>
      </c>
      <c r="BM18" s="78">
        <f t="shared" si="34"/>
        <v>0</v>
      </c>
      <c r="BN18" s="78">
        <f t="shared" si="35"/>
        <v>0</v>
      </c>
      <c r="BO18" s="77">
        <f t="shared" si="36"/>
        <v>0</v>
      </c>
      <c r="BP18" s="79"/>
      <c r="BQ18" s="78"/>
      <c r="BR18" s="78">
        <f t="shared" si="37"/>
        <v>0</v>
      </c>
      <c r="BS18" s="78">
        <f t="shared" si="38"/>
        <v>0</v>
      </c>
      <c r="BT18" s="78">
        <f t="shared" si="39"/>
        <v>0</v>
      </c>
      <c r="BU18" s="77">
        <f t="shared" si="40"/>
        <v>0</v>
      </c>
      <c r="BV18" s="79"/>
      <c r="BW18" s="78"/>
      <c r="BX18" s="78">
        <f t="shared" si="41"/>
        <v>0</v>
      </c>
      <c r="BY18" s="78">
        <f t="shared" si="42"/>
        <v>0</v>
      </c>
      <c r="BZ18" s="78">
        <f t="shared" si="43"/>
        <v>0</v>
      </c>
      <c r="CA18" s="77">
        <f t="shared" si="44"/>
        <v>0</v>
      </c>
      <c r="CB18" s="79"/>
      <c r="CC18" s="78"/>
      <c r="CD18" s="78">
        <f t="shared" si="45"/>
        <v>0</v>
      </c>
      <c r="CE18" s="78">
        <f t="shared" si="46"/>
        <v>0</v>
      </c>
      <c r="CF18" s="78">
        <f t="shared" si="47"/>
        <v>0</v>
      </c>
      <c r="CG18" s="77">
        <f t="shared" si="48"/>
        <v>0</v>
      </c>
      <c r="CH18" s="79"/>
      <c r="CI18" s="78"/>
      <c r="CJ18" s="78">
        <f t="shared" si="49"/>
        <v>0</v>
      </c>
      <c r="CK18" s="78">
        <f t="shared" si="50"/>
        <v>0</v>
      </c>
      <c r="CL18" s="78">
        <f t="shared" si="51"/>
        <v>0</v>
      </c>
      <c r="CM18" s="77">
        <f t="shared" si="52"/>
        <v>0</v>
      </c>
      <c r="CN18" s="79"/>
      <c r="CO18" s="78"/>
      <c r="CP18" s="78">
        <f t="shared" si="53"/>
        <v>0</v>
      </c>
      <c r="CQ18" s="78">
        <f t="shared" si="54"/>
        <v>0</v>
      </c>
      <c r="CR18" s="78">
        <f t="shared" si="55"/>
        <v>0</v>
      </c>
      <c r="CS18" s="77">
        <f t="shared" si="56"/>
        <v>0</v>
      </c>
      <c r="CT18" s="79"/>
      <c r="CU18" s="78"/>
      <c r="CV18" s="78">
        <f t="shared" si="57"/>
        <v>0</v>
      </c>
      <c r="CW18" s="78">
        <f t="shared" si="58"/>
        <v>0</v>
      </c>
      <c r="CX18" s="78">
        <f t="shared" si="59"/>
        <v>0</v>
      </c>
      <c r="CY18" s="77">
        <f t="shared" si="60"/>
        <v>0</v>
      </c>
      <c r="CZ18" s="79"/>
      <c r="DA18" s="78"/>
      <c r="DB18" s="78">
        <f t="shared" si="61"/>
        <v>0</v>
      </c>
      <c r="DC18" s="78">
        <f t="shared" si="62"/>
        <v>0</v>
      </c>
      <c r="DD18" s="78">
        <f t="shared" si="63"/>
        <v>0</v>
      </c>
      <c r="DE18" s="77">
        <f t="shared" si="64"/>
        <v>0</v>
      </c>
      <c r="DF18" s="79"/>
      <c r="DG18" s="78"/>
      <c r="DH18" s="78">
        <f t="shared" si="65"/>
        <v>0</v>
      </c>
      <c r="DI18" s="78">
        <f t="shared" si="66"/>
        <v>0</v>
      </c>
      <c r="DJ18" s="78">
        <f t="shared" si="67"/>
        <v>0</v>
      </c>
      <c r="DK18" s="77">
        <f t="shared" si="68"/>
        <v>0</v>
      </c>
      <c r="DL18" s="79"/>
      <c r="DM18" s="90"/>
      <c r="DN18" s="90">
        <f t="shared" si="69"/>
        <v>0</v>
      </c>
      <c r="DO18" s="90">
        <f t="shared" si="70"/>
        <v>0</v>
      </c>
      <c r="DP18" s="90">
        <f t="shared" si="71"/>
        <v>0</v>
      </c>
      <c r="DQ18" s="94">
        <f t="shared" si="72"/>
        <v>0</v>
      </c>
      <c r="DR18" s="79"/>
      <c r="DS18" s="78"/>
      <c r="DT18" s="78">
        <f t="shared" si="73"/>
        <v>0</v>
      </c>
      <c r="DU18" s="78">
        <f t="shared" si="74"/>
        <v>0</v>
      </c>
      <c r="DV18" s="78">
        <f t="shared" si="75"/>
        <v>0</v>
      </c>
      <c r="DW18" s="77">
        <f t="shared" si="76"/>
        <v>0</v>
      </c>
      <c r="DX18" s="79"/>
      <c r="DY18" s="78"/>
      <c r="DZ18" s="78">
        <f t="shared" si="77"/>
        <v>0</v>
      </c>
      <c r="EA18" s="78">
        <f t="shared" si="78"/>
        <v>0</v>
      </c>
      <c r="EB18" s="78">
        <f t="shared" si="79"/>
        <v>0</v>
      </c>
      <c r="EC18" s="77">
        <f t="shared" si="80"/>
        <v>0</v>
      </c>
      <c r="ED18" s="79"/>
      <c r="EE18" s="78"/>
      <c r="EF18" s="78">
        <f t="shared" si="81"/>
        <v>0</v>
      </c>
      <c r="EG18" s="78">
        <f t="shared" si="82"/>
        <v>0</v>
      </c>
      <c r="EH18" s="78">
        <f t="shared" si="83"/>
        <v>0</v>
      </c>
      <c r="EI18" s="77">
        <f t="shared" si="84"/>
        <v>0</v>
      </c>
      <c r="EJ18" s="79"/>
      <c r="EK18" s="78"/>
      <c r="EL18" s="78">
        <f t="shared" si="85"/>
        <v>0</v>
      </c>
      <c r="EM18" s="78">
        <f t="shared" si="86"/>
        <v>0</v>
      </c>
      <c r="EN18" s="78">
        <f t="shared" si="87"/>
        <v>0</v>
      </c>
      <c r="EO18" s="77">
        <f t="shared" si="88"/>
        <v>0</v>
      </c>
      <c r="EP18" s="79"/>
      <c r="EQ18" s="78"/>
      <c r="ER18" s="78">
        <f t="shared" si="89"/>
        <v>0</v>
      </c>
      <c r="ES18" s="78">
        <f t="shared" si="90"/>
        <v>0</v>
      </c>
      <c r="ET18" s="78">
        <f t="shared" si="91"/>
        <v>0</v>
      </c>
      <c r="EU18" s="77">
        <f t="shared" si="92"/>
        <v>0</v>
      </c>
      <c r="EV18" s="79"/>
      <c r="EW18" s="78"/>
      <c r="EX18" s="78">
        <f t="shared" si="93"/>
        <v>0</v>
      </c>
      <c r="EY18" s="78">
        <f t="shared" si="94"/>
        <v>0</v>
      </c>
      <c r="EZ18" s="78">
        <f t="shared" si="95"/>
        <v>0</v>
      </c>
      <c r="FA18" s="77">
        <f t="shared" si="96"/>
        <v>0</v>
      </c>
      <c r="FB18" s="79"/>
      <c r="FC18" s="78"/>
      <c r="FD18" s="78">
        <f t="shared" si="97"/>
        <v>0</v>
      </c>
      <c r="FE18" s="78">
        <f t="shared" si="98"/>
        <v>0</v>
      </c>
      <c r="FF18" s="78">
        <f t="shared" si="99"/>
        <v>0</v>
      </c>
      <c r="FG18" s="77">
        <f t="shared" si="100"/>
        <v>0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 hidden="1">
      <c r="A19" s="51">
        <v>45017</v>
      </c>
      <c r="C19" s="77"/>
      <c r="D19" s="77"/>
      <c r="E19" s="77">
        <f t="shared" si="0"/>
        <v>0</v>
      </c>
      <c r="F19" s="77"/>
      <c r="G19" s="77"/>
      <c r="H19" s="79"/>
      <c r="I19" s="79">
        <v>0</v>
      </c>
      <c r="J19" s="79">
        <v>0</v>
      </c>
      <c r="K19" s="79">
        <f t="shared" si="126"/>
        <v>0</v>
      </c>
      <c r="L19" s="79">
        <v>0</v>
      </c>
      <c r="M19" s="77">
        <v>0</v>
      </c>
      <c r="N19" s="79"/>
      <c r="O19" s="78">
        <f t="shared" si="1"/>
        <v>0</v>
      </c>
      <c r="P19" s="80">
        <f t="shared" si="2"/>
        <v>0</v>
      </c>
      <c r="Q19" s="78">
        <f t="shared" si="3"/>
        <v>0</v>
      </c>
      <c r="R19" s="78">
        <f t="shared" si="4"/>
        <v>0</v>
      </c>
      <c r="S19" s="78">
        <f t="shared" si="4"/>
        <v>0</v>
      </c>
      <c r="T19" s="79"/>
      <c r="U19" s="78">
        <f t="shared" si="102"/>
        <v>0</v>
      </c>
      <c r="V19" s="77">
        <f t="shared" si="5"/>
        <v>0</v>
      </c>
      <c r="W19" s="78">
        <f t="shared" si="6"/>
        <v>0</v>
      </c>
      <c r="X19" s="78">
        <f t="shared" si="7"/>
        <v>0</v>
      </c>
      <c r="Y19" s="77">
        <f t="shared" si="8"/>
        <v>0</v>
      </c>
      <c r="Z19" s="79"/>
      <c r="AA19" s="78">
        <f t="shared" si="103"/>
        <v>0</v>
      </c>
      <c r="AB19" s="78">
        <f t="shared" si="9"/>
        <v>0</v>
      </c>
      <c r="AC19" s="78">
        <f t="shared" si="10"/>
        <v>0</v>
      </c>
      <c r="AD19" s="78">
        <f t="shared" si="11"/>
        <v>0</v>
      </c>
      <c r="AE19" s="77">
        <f t="shared" si="12"/>
        <v>0</v>
      </c>
      <c r="AF19" s="79"/>
      <c r="AG19" s="78">
        <f t="shared" si="104"/>
        <v>0</v>
      </c>
      <c r="AH19" s="78">
        <f t="shared" si="13"/>
        <v>0</v>
      </c>
      <c r="AI19" s="78">
        <f t="shared" si="14"/>
        <v>0</v>
      </c>
      <c r="AJ19" s="78">
        <f t="shared" si="15"/>
        <v>0</v>
      </c>
      <c r="AK19" s="77">
        <f t="shared" si="16"/>
        <v>0</v>
      </c>
      <c r="AL19" s="79"/>
      <c r="AM19" s="78">
        <f t="shared" si="105"/>
        <v>0</v>
      </c>
      <c r="AN19" s="78">
        <f t="shared" si="17"/>
        <v>0</v>
      </c>
      <c r="AO19" s="78">
        <f t="shared" si="18"/>
        <v>0</v>
      </c>
      <c r="AP19" s="78">
        <f t="shared" si="19"/>
        <v>0</v>
      </c>
      <c r="AQ19" s="77">
        <f t="shared" si="20"/>
        <v>0</v>
      </c>
      <c r="AR19" s="79"/>
      <c r="AS19" s="78">
        <f t="shared" si="106"/>
        <v>0</v>
      </c>
      <c r="AT19" s="78">
        <f t="shared" si="21"/>
        <v>0</v>
      </c>
      <c r="AU19" s="78">
        <f t="shared" si="22"/>
        <v>0</v>
      </c>
      <c r="AV19" s="78">
        <f t="shared" si="23"/>
        <v>0</v>
      </c>
      <c r="AW19" s="77">
        <f t="shared" si="24"/>
        <v>0</v>
      </c>
      <c r="AX19" s="79"/>
      <c r="AY19" s="78">
        <f t="shared" si="107"/>
        <v>0</v>
      </c>
      <c r="AZ19" s="78">
        <f t="shared" si="25"/>
        <v>0</v>
      </c>
      <c r="BA19" s="78">
        <f t="shared" si="26"/>
        <v>0</v>
      </c>
      <c r="BB19" s="78">
        <f t="shared" si="27"/>
        <v>0</v>
      </c>
      <c r="BC19" s="77">
        <f t="shared" si="28"/>
        <v>0</v>
      </c>
      <c r="BD19" s="79"/>
      <c r="BE19" s="78">
        <f t="shared" si="108"/>
        <v>0</v>
      </c>
      <c r="BF19" s="78">
        <f t="shared" si="29"/>
        <v>0</v>
      </c>
      <c r="BG19" s="78">
        <f t="shared" si="30"/>
        <v>0</v>
      </c>
      <c r="BH19" s="78">
        <f t="shared" si="31"/>
        <v>0</v>
      </c>
      <c r="BI19" s="77">
        <f t="shared" si="32"/>
        <v>0</v>
      </c>
      <c r="BJ19" s="79"/>
      <c r="BK19" s="78">
        <f t="shared" si="109"/>
        <v>0</v>
      </c>
      <c r="BL19" s="78">
        <f t="shared" si="33"/>
        <v>0</v>
      </c>
      <c r="BM19" s="78">
        <f t="shared" si="34"/>
        <v>0</v>
      </c>
      <c r="BN19" s="78">
        <f t="shared" si="35"/>
        <v>0</v>
      </c>
      <c r="BO19" s="77">
        <f t="shared" si="36"/>
        <v>0</v>
      </c>
      <c r="BP19" s="79"/>
      <c r="BQ19" s="78">
        <f t="shared" si="110"/>
        <v>0</v>
      </c>
      <c r="BR19" s="78">
        <f t="shared" si="37"/>
        <v>0</v>
      </c>
      <c r="BS19" s="78">
        <f t="shared" si="38"/>
        <v>0</v>
      </c>
      <c r="BT19" s="78">
        <f t="shared" si="39"/>
        <v>0</v>
      </c>
      <c r="BU19" s="77">
        <f t="shared" si="40"/>
        <v>0</v>
      </c>
      <c r="BV19" s="79"/>
      <c r="BW19" s="78">
        <f t="shared" si="111"/>
        <v>0</v>
      </c>
      <c r="BX19" s="78">
        <f t="shared" si="41"/>
        <v>0</v>
      </c>
      <c r="BY19" s="78">
        <f t="shared" si="42"/>
        <v>0</v>
      </c>
      <c r="BZ19" s="78">
        <f t="shared" si="43"/>
        <v>0</v>
      </c>
      <c r="CA19" s="77">
        <f t="shared" si="44"/>
        <v>0</v>
      </c>
      <c r="CB19" s="79"/>
      <c r="CC19" s="78">
        <f t="shared" si="112"/>
        <v>0</v>
      </c>
      <c r="CD19" s="78">
        <f t="shared" si="45"/>
        <v>0</v>
      </c>
      <c r="CE19" s="78">
        <f t="shared" si="46"/>
        <v>0</v>
      </c>
      <c r="CF19" s="78">
        <f t="shared" si="47"/>
        <v>0</v>
      </c>
      <c r="CG19" s="77">
        <f t="shared" si="48"/>
        <v>0</v>
      </c>
      <c r="CH19" s="79"/>
      <c r="CI19" s="78">
        <f t="shared" si="113"/>
        <v>0</v>
      </c>
      <c r="CJ19" s="78">
        <f t="shared" si="49"/>
        <v>0</v>
      </c>
      <c r="CK19" s="78">
        <f t="shared" si="50"/>
        <v>0</v>
      </c>
      <c r="CL19" s="78">
        <f t="shared" si="51"/>
        <v>0</v>
      </c>
      <c r="CM19" s="77">
        <f t="shared" si="52"/>
        <v>0</v>
      </c>
      <c r="CN19" s="79"/>
      <c r="CO19" s="78">
        <f t="shared" si="114"/>
        <v>0</v>
      </c>
      <c r="CP19" s="78">
        <f t="shared" si="53"/>
        <v>0</v>
      </c>
      <c r="CQ19" s="78">
        <f t="shared" si="54"/>
        <v>0</v>
      </c>
      <c r="CR19" s="78">
        <f t="shared" si="55"/>
        <v>0</v>
      </c>
      <c r="CS19" s="77">
        <f t="shared" si="56"/>
        <v>0</v>
      </c>
      <c r="CT19" s="79"/>
      <c r="CU19" s="78">
        <f t="shared" si="115"/>
        <v>0</v>
      </c>
      <c r="CV19" s="78">
        <f t="shared" si="57"/>
        <v>0</v>
      </c>
      <c r="CW19" s="78">
        <f t="shared" si="58"/>
        <v>0</v>
      </c>
      <c r="CX19" s="78">
        <f t="shared" si="59"/>
        <v>0</v>
      </c>
      <c r="CY19" s="77">
        <f t="shared" si="60"/>
        <v>0</v>
      </c>
      <c r="CZ19" s="79"/>
      <c r="DA19" s="78">
        <f t="shared" si="116"/>
        <v>0</v>
      </c>
      <c r="DB19" s="78">
        <f t="shared" si="61"/>
        <v>0</v>
      </c>
      <c r="DC19" s="78">
        <f t="shared" si="62"/>
        <v>0</v>
      </c>
      <c r="DD19" s="78">
        <f t="shared" si="63"/>
        <v>0</v>
      </c>
      <c r="DE19" s="77">
        <f t="shared" si="64"/>
        <v>0</v>
      </c>
      <c r="DF19" s="79"/>
      <c r="DG19" s="78">
        <f t="shared" si="117"/>
        <v>0</v>
      </c>
      <c r="DH19" s="78">
        <f t="shared" si="65"/>
        <v>0</v>
      </c>
      <c r="DI19" s="78">
        <f t="shared" si="66"/>
        <v>0</v>
      </c>
      <c r="DJ19" s="78">
        <f t="shared" si="67"/>
        <v>0</v>
      </c>
      <c r="DK19" s="77">
        <f t="shared" si="68"/>
        <v>0</v>
      </c>
      <c r="DL19" s="79"/>
      <c r="DM19" s="90">
        <f t="shared" si="118"/>
        <v>0</v>
      </c>
      <c r="DN19" s="90">
        <f t="shared" si="69"/>
        <v>0</v>
      </c>
      <c r="DO19" s="90">
        <f t="shared" si="70"/>
        <v>0</v>
      </c>
      <c r="DP19" s="90">
        <f t="shared" si="71"/>
        <v>0</v>
      </c>
      <c r="DQ19" s="94">
        <f t="shared" si="72"/>
        <v>0</v>
      </c>
      <c r="DR19" s="79"/>
      <c r="DS19" s="78">
        <f t="shared" si="119"/>
        <v>0</v>
      </c>
      <c r="DT19" s="78">
        <f t="shared" si="73"/>
        <v>0</v>
      </c>
      <c r="DU19" s="78">
        <f t="shared" si="74"/>
        <v>0</v>
      </c>
      <c r="DV19" s="78">
        <f t="shared" si="75"/>
        <v>0</v>
      </c>
      <c r="DW19" s="77">
        <f t="shared" si="76"/>
        <v>0</v>
      </c>
      <c r="DX19" s="79"/>
      <c r="DY19" s="78">
        <f t="shared" si="120"/>
        <v>0</v>
      </c>
      <c r="DZ19" s="78">
        <f t="shared" si="77"/>
        <v>0</v>
      </c>
      <c r="EA19" s="78">
        <f t="shared" si="78"/>
        <v>0</v>
      </c>
      <c r="EB19" s="78">
        <f t="shared" si="79"/>
        <v>0</v>
      </c>
      <c r="EC19" s="77">
        <f t="shared" si="80"/>
        <v>0</v>
      </c>
      <c r="ED19" s="79"/>
      <c r="EE19" s="78">
        <f t="shared" si="121"/>
        <v>0</v>
      </c>
      <c r="EF19" s="78">
        <f t="shared" si="81"/>
        <v>0</v>
      </c>
      <c r="EG19" s="78">
        <f t="shared" si="82"/>
        <v>0</v>
      </c>
      <c r="EH19" s="78">
        <f t="shared" si="83"/>
        <v>0</v>
      </c>
      <c r="EI19" s="77">
        <f t="shared" si="84"/>
        <v>0</v>
      </c>
      <c r="EJ19" s="79"/>
      <c r="EK19" s="78">
        <f t="shared" si="122"/>
        <v>0</v>
      </c>
      <c r="EL19" s="78">
        <f t="shared" si="85"/>
        <v>0</v>
      </c>
      <c r="EM19" s="78">
        <f t="shared" si="86"/>
        <v>0</v>
      </c>
      <c r="EN19" s="78">
        <f t="shared" si="87"/>
        <v>0</v>
      </c>
      <c r="EO19" s="77">
        <f t="shared" si="88"/>
        <v>0</v>
      </c>
      <c r="EP19" s="79"/>
      <c r="EQ19" s="78">
        <f t="shared" si="123"/>
        <v>0</v>
      </c>
      <c r="ER19" s="78">
        <f t="shared" si="89"/>
        <v>0</v>
      </c>
      <c r="ES19" s="78">
        <f t="shared" si="90"/>
        <v>0</v>
      </c>
      <c r="ET19" s="78">
        <f t="shared" si="91"/>
        <v>0</v>
      </c>
      <c r="EU19" s="77">
        <f t="shared" si="92"/>
        <v>0</v>
      </c>
      <c r="EV19" s="79"/>
      <c r="EW19" s="78">
        <f t="shared" si="124"/>
        <v>0</v>
      </c>
      <c r="EX19" s="78">
        <f t="shared" si="93"/>
        <v>0</v>
      </c>
      <c r="EY19" s="78">
        <f t="shared" si="94"/>
        <v>0</v>
      </c>
      <c r="EZ19" s="78">
        <f t="shared" si="95"/>
        <v>0</v>
      </c>
      <c r="FA19" s="77">
        <f t="shared" si="96"/>
        <v>0</v>
      </c>
      <c r="FB19" s="79"/>
      <c r="FC19" s="78">
        <f t="shared" si="125"/>
        <v>0</v>
      </c>
      <c r="FD19" s="78">
        <f t="shared" si="97"/>
        <v>0</v>
      </c>
      <c r="FE19" s="78">
        <f t="shared" si="98"/>
        <v>0</v>
      </c>
      <c r="FF19" s="78">
        <f t="shared" si="99"/>
        <v>0</v>
      </c>
      <c r="FG19" s="77">
        <f t="shared" si="100"/>
        <v>0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.75" hidden="1">
      <c r="A20" s="51">
        <v>45200</v>
      </c>
      <c r="C20" s="77"/>
      <c r="D20" s="77"/>
      <c r="E20" s="77">
        <f t="shared" si="0"/>
        <v>0</v>
      </c>
      <c r="F20" s="77"/>
      <c r="G20" s="77"/>
      <c r="H20" s="79"/>
      <c r="I20" s="79"/>
      <c r="J20" s="79">
        <v>0</v>
      </c>
      <c r="K20" s="79">
        <f t="shared" si="126"/>
        <v>0</v>
      </c>
      <c r="L20" s="79">
        <v>0</v>
      </c>
      <c r="M20" s="77">
        <v>0</v>
      </c>
      <c r="N20" s="79"/>
      <c r="O20" s="78">
        <f t="shared" si="1"/>
        <v>0</v>
      </c>
      <c r="P20" s="80">
        <f t="shared" si="2"/>
        <v>0</v>
      </c>
      <c r="Q20" s="78">
        <f t="shared" si="3"/>
        <v>0</v>
      </c>
      <c r="R20" s="78">
        <f t="shared" si="4"/>
        <v>0</v>
      </c>
      <c r="S20" s="78">
        <f t="shared" si="4"/>
        <v>0</v>
      </c>
      <c r="T20" s="79"/>
      <c r="U20" s="78"/>
      <c r="V20" s="77">
        <f t="shared" si="5"/>
        <v>0</v>
      </c>
      <c r="W20" s="78">
        <f t="shared" si="6"/>
        <v>0</v>
      </c>
      <c r="X20" s="78">
        <f t="shared" si="7"/>
        <v>0</v>
      </c>
      <c r="Y20" s="77">
        <f t="shared" si="8"/>
        <v>0</v>
      </c>
      <c r="Z20" s="79"/>
      <c r="AA20" s="78"/>
      <c r="AB20" s="78">
        <f t="shared" si="9"/>
        <v>0</v>
      </c>
      <c r="AC20" s="78">
        <f t="shared" si="10"/>
        <v>0</v>
      </c>
      <c r="AD20" s="78">
        <f t="shared" si="11"/>
        <v>0</v>
      </c>
      <c r="AE20" s="77">
        <f t="shared" si="12"/>
        <v>0</v>
      </c>
      <c r="AF20" s="79"/>
      <c r="AG20" s="78"/>
      <c r="AH20" s="78">
        <f t="shared" si="13"/>
        <v>0</v>
      </c>
      <c r="AI20" s="78">
        <f t="shared" si="14"/>
        <v>0</v>
      </c>
      <c r="AJ20" s="78">
        <f t="shared" si="15"/>
        <v>0</v>
      </c>
      <c r="AK20" s="77">
        <f t="shared" si="16"/>
        <v>0</v>
      </c>
      <c r="AL20" s="79"/>
      <c r="AM20" s="78"/>
      <c r="AN20" s="78">
        <f t="shared" si="17"/>
        <v>0</v>
      </c>
      <c r="AO20" s="78">
        <f t="shared" si="18"/>
        <v>0</v>
      </c>
      <c r="AP20" s="78">
        <f t="shared" si="19"/>
        <v>0</v>
      </c>
      <c r="AQ20" s="77">
        <f t="shared" si="20"/>
        <v>0</v>
      </c>
      <c r="AR20" s="79"/>
      <c r="AS20" s="78"/>
      <c r="AT20" s="78">
        <f t="shared" si="21"/>
        <v>0</v>
      </c>
      <c r="AU20" s="78">
        <f t="shared" si="22"/>
        <v>0</v>
      </c>
      <c r="AV20" s="78">
        <f t="shared" si="23"/>
        <v>0</v>
      </c>
      <c r="AW20" s="77">
        <f t="shared" si="24"/>
        <v>0</v>
      </c>
      <c r="AX20" s="79"/>
      <c r="AY20" s="78"/>
      <c r="AZ20" s="78">
        <f t="shared" si="25"/>
        <v>0</v>
      </c>
      <c r="BA20" s="78">
        <f t="shared" si="26"/>
        <v>0</v>
      </c>
      <c r="BB20" s="78">
        <f t="shared" si="27"/>
        <v>0</v>
      </c>
      <c r="BC20" s="77">
        <f t="shared" si="28"/>
        <v>0</v>
      </c>
      <c r="BD20" s="79"/>
      <c r="BE20" s="78"/>
      <c r="BF20" s="78">
        <f t="shared" si="29"/>
        <v>0</v>
      </c>
      <c r="BG20" s="78">
        <f t="shared" si="30"/>
        <v>0</v>
      </c>
      <c r="BH20" s="78">
        <f t="shared" si="31"/>
        <v>0</v>
      </c>
      <c r="BI20" s="77">
        <f t="shared" si="32"/>
        <v>0</v>
      </c>
      <c r="BJ20" s="79"/>
      <c r="BK20" s="78"/>
      <c r="BL20" s="78">
        <f t="shared" si="33"/>
        <v>0</v>
      </c>
      <c r="BM20" s="78">
        <f t="shared" si="34"/>
        <v>0</v>
      </c>
      <c r="BN20" s="78">
        <f t="shared" si="35"/>
        <v>0</v>
      </c>
      <c r="BO20" s="77">
        <f t="shared" si="36"/>
        <v>0</v>
      </c>
      <c r="BP20" s="79"/>
      <c r="BQ20" s="78"/>
      <c r="BR20" s="78">
        <f t="shared" si="37"/>
        <v>0</v>
      </c>
      <c r="BS20" s="78">
        <f t="shared" si="38"/>
        <v>0</v>
      </c>
      <c r="BT20" s="78">
        <f t="shared" si="39"/>
        <v>0</v>
      </c>
      <c r="BU20" s="77">
        <f t="shared" si="40"/>
        <v>0</v>
      </c>
      <c r="BV20" s="79"/>
      <c r="BW20" s="78"/>
      <c r="BX20" s="78">
        <f t="shared" si="41"/>
        <v>0</v>
      </c>
      <c r="BY20" s="78">
        <f t="shared" si="42"/>
        <v>0</v>
      </c>
      <c r="BZ20" s="78">
        <f t="shared" si="43"/>
        <v>0</v>
      </c>
      <c r="CA20" s="77">
        <f t="shared" si="44"/>
        <v>0</v>
      </c>
      <c r="CB20" s="79"/>
      <c r="CC20" s="78"/>
      <c r="CD20" s="78">
        <f t="shared" si="45"/>
        <v>0</v>
      </c>
      <c r="CE20" s="78">
        <f t="shared" si="46"/>
        <v>0</v>
      </c>
      <c r="CF20" s="78">
        <f t="shared" si="47"/>
        <v>0</v>
      </c>
      <c r="CG20" s="77">
        <f t="shared" si="48"/>
        <v>0</v>
      </c>
      <c r="CH20" s="79"/>
      <c r="CI20" s="78"/>
      <c r="CJ20" s="78">
        <f t="shared" si="49"/>
        <v>0</v>
      </c>
      <c r="CK20" s="78">
        <f t="shared" si="50"/>
        <v>0</v>
      </c>
      <c r="CL20" s="78">
        <f t="shared" si="51"/>
        <v>0</v>
      </c>
      <c r="CM20" s="77">
        <f t="shared" si="52"/>
        <v>0</v>
      </c>
      <c r="CN20" s="79"/>
      <c r="CO20" s="78"/>
      <c r="CP20" s="78">
        <f t="shared" si="53"/>
        <v>0</v>
      </c>
      <c r="CQ20" s="78">
        <f t="shared" si="54"/>
        <v>0</v>
      </c>
      <c r="CR20" s="78">
        <f t="shared" si="55"/>
        <v>0</v>
      </c>
      <c r="CS20" s="77">
        <f t="shared" si="56"/>
        <v>0</v>
      </c>
      <c r="CT20" s="79"/>
      <c r="CU20" s="78"/>
      <c r="CV20" s="78">
        <f t="shared" si="57"/>
        <v>0</v>
      </c>
      <c r="CW20" s="78">
        <f t="shared" si="58"/>
        <v>0</v>
      </c>
      <c r="CX20" s="78">
        <f t="shared" si="59"/>
        <v>0</v>
      </c>
      <c r="CY20" s="77">
        <f t="shared" si="60"/>
        <v>0</v>
      </c>
      <c r="CZ20" s="79"/>
      <c r="DA20" s="78"/>
      <c r="DB20" s="78">
        <f t="shared" si="61"/>
        <v>0</v>
      </c>
      <c r="DC20" s="78">
        <f t="shared" si="62"/>
        <v>0</v>
      </c>
      <c r="DD20" s="78">
        <f t="shared" si="63"/>
        <v>0</v>
      </c>
      <c r="DE20" s="77">
        <f t="shared" si="64"/>
        <v>0</v>
      </c>
      <c r="DF20" s="79"/>
      <c r="DG20" s="78"/>
      <c r="DH20" s="78">
        <f t="shared" si="65"/>
        <v>0</v>
      </c>
      <c r="DI20" s="78">
        <f t="shared" si="66"/>
        <v>0</v>
      </c>
      <c r="DJ20" s="78">
        <f t="shared" si="67"/>
        <v>0</v>
      </c>
      <c r="DK20" s="77">
        <f t="shared" si="68"/>
        <v>0</v>
      </c>
      <c r="DL20" s="79"/>
      <c r="DM20" s="90"/>
      <c r="DN20" s="90">
        <f t="shared" si="69"/>
        <v>0</v>
      </c>
      <c r="DO20" s="90">
        <f t="shared" si="70"/>
        <v>0</v>
      </c>
      <c r="DP20" s="90">
        <f t="shared" si="71"/>
        <v>0</v>
      </c>
      <c r="DQ20" s="94">
        <f t="shared" si="72"/>
        <v>0</v>
      </c>
      <c r="DR20" s="79"/>
      <c r="DS20" s="78"/>
      <c r="DT20" s="78">
        <f t="shared" si="73"/>
        <v>0</v>
      </c>
      <c r="DU20" s="78">
        <f t="shared" si="74"/>
        <v>0</v>
      </c>
      <c r="DV20" s="78">
        <f t="shared" si="75"/>
        <v>0</v>
      </c>
      <c r="DW20" s="77">
        <f t="shared" si="76"/>
        <v>0</v>
      </c>
      <c r="DX20" s="79"/>
      <c r="DY20" s="78"/>
      <c r="DZ20" s="78">
        <f t="shared" si="77"/>
        <v>0</v>
      </c>
      <c r="EA20" s="78">
        <f t="shared" si="78"/>
        <v>0</v>
      </c>
      <c r="EB20" s="78">
        <f t="shared" si="79"/>
        <v>0</v>
      </c>
      <c r="EC20" s="77">
        <f t="shared" si="80"/>
        <v>0</v>
      </c>
      <c r="ED20" s="79"/>
      <c r="EE20" s="78"/>
      <c r="EF20" s="78">
        <f t="shared" si="81"/>
        <v>0</v>
      </c>
      <c r="EG20" s="78">
        <f t="shared" si="82"/>
        <v>0</v>
      </c>
      <c r="EH20" s="78">
        <f t="shared" si="83"/>
        <v>0</v>
      </c>
      <c r="EI20" s="77">
        <f t="shared" si="84"/>
        <v>0</v>
      </c>
      <c r="EJ20" s="79"/>
      <c r="EK20" s="78"/>
      <c r="EL20" s="78">
        <f t="shared" si="85"/>
        <v>0</v>
      </c>
      <c r="EM20" s="78">
        <f t="shared" si="86"/>
        <v>0</v>
      </c>
      <c r="EN20" s="78">
        <f t="shared" si="87"/>
        <v>0</v>
      </c>
      <c r="EO20" s="77">
        <f t="shared" si="88"/>
        <v>0</v>
      </c>
      <c r="EP20" s="79"/>
      <c r="EQ20" s="78"/>
      <c r="ER20" s="78">
        <f t="shared" si="89"/>
        <v>0</v>
      </c>
      <c r="ES20" s="78">
        <f t="shared" si="90"/>
        <v>0</v>
      </c>
      <c r="ET20" s="78">
        <f t="shared" si="91"/>
        <v>0</v>
      </c>
      <c r="EU20" s="77">
        <f t="shared" si="92"/>
        <v>0</v>
      </c>
      <c r="EV20" s="79"/>
      <c r="EW20" s="78"/>
      <c r="EX20" s="78">
        <f t="shared" si="93"/>
        <v>0</v>
      </c>
      <c r="EY20" s="78">
        <f t="shared" si="94"/>
        <v>0</v>
      </c>
      <c r="EZ20" s="78">
        <f t="shared" si="95"/>
        <v>0</v>
      </c>
      <c r="FA20" s="77">
        <f t="shared" si="96"/>
        <v>0</v>
      </c>
      <c r="FB20" s="79"/>
      <c r="FC20" s="78"/>
      <c r="FD20" s="78">
        <f t="shared" si="97"/>
        <v>0</v>
      </c>
      <c r="FE20" s="78">
        <f t="shared" si="98"/>
        <v>0</v>
      </c>
      <c r="FF20" s="78">
        <f t="shared" si="99"/>
        <v>0</v>
      </c>
      <c r="FG20" s="77">
        <f t="shared" si="100"/>
        <v>0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.75" hidden="1">
      <c r="A21" s="51">
        <v>45383</v>
      </c>
      <c r="C21" s="77"/>
      <c r="D21" s="77"/>
      <c r="E21" s="77">
        <f t="shared" si="0"/>
        <v>0</v>
      </c>
      <c r="F21" s="77"/>
      <c r="G21" s="77"/>
      <c r="H21" s="79"/>
      <c r="I21" s="79">
        <v>0</v>
      </c>
      <c r="J21" s="79">
        <v>0</v>
      </c>
      <c r="K21" s="79">
        <f t="shared" si="126"/>
        <v>0</v>
      </c>
      <c r="L21" s="79">
        <v>0</v>
      </c>
      <c r="M21" s="77">
        <v>0</v>
      </c>
      <c r="N21" s="79"/>
      <c r="O21" s="78">
        <f t="shared" si="1"/>
        <v>0</v>
      </c>
      <c r="P21" s="80">
        <f t="shared" si="2"/>
        <v>0</v>
      </c>
      <c r="Q21" s="78">
        <f t="shared" si="3"/>
        <v>0</v>
      </c>
      <c r="R21" s="78">
        <f t="shared" si="4"/>
        <v>0</v>
      </c>
      <c r="S21" s="78">
        <f t="shared" si="4"/>
        <v>0</v>
      </c>
      <c r="T21" s="79"/>
      <c r="U21" s="78">
        <f t="shared" si="102"/>
        <v>0</v>
      </c>
      <c r="V21" s="77">
        <f t="shared" si="5"/>
        <v>0</v>
      </c>
      <c r="W21" s="78">
        <f t="shared" si="6"/>
        <v>0</v>
      </c>
      <c r="X21" s="78">
        <f t="shared" si="7"/>
        <v>0</v>
      </c>
      <c r="Y21" s="77">
        <f t="shared" si="8"/>
        <v>0</v>
      </c>
      <c r="Z21" s="79"/>
      <c r="AA21" s="78">
        <f t="shared" si="103"/>
        <v>0</v>
      </c>
      <c r="AB21" s="78">
        <f t="shared" si="9"/>
        <v>0</v>
      </c>
      <c r="AC21" s="78">
        <f t="shared" si="10"/>
        <v>0</v>
      </c>
      <c r="AD21" s="78">
        <f t="shared" si="11"/>
        <v>0</v>
      </c>
      <c r="AE21" s="77">
        <f t="shared" si="12"/>
        <v>0</v>
      </c>
      <c r="AF21" s="79"/>
      <c r="AG21" s="78">
        <f t="shared" si="104"/>
        <v>0</v>
      </c>
      <c r="AH21" s="78">
        <f t="shared" si="13"/>
        <v>0</v>
      </c>
      <c r="AI21" s="78">
        <f t="shared" si="14"/>
        <v>0</v>
      </c>
      <c r="AJ21" s="78">
        <f t="shared" si="15"/>
        <v>0</v>
      </c>
      <c r="AK21" s="77">
        <f t="shared" si="16"/>
        <v>0</v>
      </c>
      <c r="AL21" s="79"/>
      <c r="AM21" s="78">
        <f t="shared" si="105"/>
        <v>0</v>
      </c>
      <c r="AN21" s="78">
        <f t="shared" si="17"/>
        <v>0</v>
      </c>
      <c r="AO21" s="78">
        <f t="shared" si="18"/>
        <v>0</v>
      </c>
      <c r="AP21" s="78">
        <f t="shared" si="19"/>
        <v>0</v>
      </c>
      <c r="AQ21" s="77">
        <f t="shared" si="20"/>
        <v>0</v>
      </c>
      <c r="AR21" s="79"/>
      <c r="AS21" s="78">
        <f t="shared" si="106"/>
        <v>0</v>
      </c>
      <c r="AT21" s="78">
        <f t="shared" si="21"/>
        <v>0</v>
      </c>
      <c r="AU21" s="78">
        <f t="shared" si="22"/>
        <v>0</v>
      </c>
      <c r="AV21" s="78">
        <f t="shared" si="23"/>
        <v>0</v>
      </c>
      <c r="AW21" s="77">
        <f t="shared" si="24"/>
        <v>0</v>
      </c>
      <c r="AX21" s="79"/>
      <c r="AY21" s="78">
        <f t="shared" si="107"/>
        <v>0</v>
      </c>
      <c r="AZ21" s="78">
        <f t="shared" si="25"/>
        <v>0</v>
      </c>
      <c r="BA21" s="78">
        <f t="shared" si="26"/>
        <v>0</v>
      </c>
      <c r="BB21" s="78">
        <f t="shared" si="27"/>
        <v>0</v>
      </c>
      <c r="BC21" s="77">
        <f t="shared" si="28"/>
        <v>0</v>
      </c>
      <c r="BD21" s="79"/>
      <c r="BE21" s="78">
        <f t="shared" si="108"/>
        <v>0</v>
      </c>
      <c r="BF21" s="78">
        <f t="shared" si="29"/>
        <v>0</v>
      </c>
      <c r="BG21" s="78">
        <f t="shared" si="30"/>
        <v>0</v>
      </c>
      <c r="BH21" s="78">
        <f t="shared" si="31"/>
        <v>0</v>
      </c>
      <c r="BI21" s="77">
        <f t="shared" si="32"/>
        <v>0</v>
      </c>
      <c r="BJ21" s="79"/>
      <c r="BK21" s="78">
        <f t="shared" si="109"/>
        <v>0</v>
      </c>
      <c r="BL21" s="78">
        <f t="shared" si="33"/>
        <v>0</v>
      </c>
      <c r="BM21" s="78">
        <f t="shared" si="34"/>
        <v>0</v>
      </c>
      <c r="BN21" s="78">
        <f t="shared" si="35"/>
        <v>0</v>
      </c>
      <c r="BO21" s="77">
        <f t="shared" si="36"/>
        <v>0</v>
      </c>
      <c r="BP21" s="79"/>
      <c r="BQ21" s="78">
        <f t="shared" si="110"/>
        <v>0</v>
      </c>
      <c r="BR21" s="78">
        <f t="shared" si="37"/>
        <v>0</v>
      </c>
      <c r="BS21" s="78">
        <f t="shared" si="38"/>
        <v>0</v>
      </c>
      <c r="BT21" s="78">
        <f t="shared" si="39"/>
        <v>0</v>
      </c>
      <c r="BU21" s="77">
        <f t="shared" si="40"/>
        <v>0</v>
      </c>
      <c r="BV21" s="79"/>
      <c r="BW21" s="78">
        <f t="shared" si="111"/>
        <v>0</v>
      </c>
      <c r="BX21" s="78">
        <f t="shared" si="41"/>
        <v>0</v>
      </c>
      <c r="BY21" s="78">
        <f t="shared" si="42"/>
        <v>0</v>
      </c>
      <c r="BZ21" s="78">
        <f t="shared" si="43"/>
        <v>0</v>
      </c>
      <c r="CA21" s="77">
        <f t="shared" si="44"/>
        <v>0</v>
      </c>
      <c r="CB21" s="79"/>
      <c r="CC21" s="78">
        <f t="shared" si="112"/>
        <v>0</v>
      </c>
      <c r="CD21" s="78">
        <f t="shared" si="45"/>
        <v>0</v>
      </c>
      <c r="CE21" s="78">
        <f t="shared" si="46"/>
        <v>0</v>
      </c>
      <c r="CF21" s="78">
        <f t="shared" si="47"/>
        <v>0</v>
      </c>
      <c r="CG21" s="77">
        <f t="shared" si="48"/>
        <v>0</v>
      </c>
      <c r="CH21" s="79"/>
      <c r="CI21" s="78">
        <f t="shared" si="113"/>
        <v>0</v>
      </c>
      <c r="CJ21" s="78">
        <f t="shared" si="49"/>
        <v>0</v>
      </c>
      <c r="CK21" s="78">
        <f t="shared" si="50"/>
        <v>0</v>
      </c>
      <c r="CL21" s="78">
        <f t="shared" si="51"/>
        <v>0</v>
      </c>
      <c r="CM21" s="77">
        <f t="shared" si="52"/>
        <v>0</v>
      </c>
      <c r="CN21" s="79"/>
      <c r="CO21" s="78">
        <f t="shared" si="114"/>
        <v>0</v>
      </c>
      <c r="CP21" s="78">
        <f t="shared" si="53"/>
        <v>0</v>
      </c>
      <c r="CQ21" s="78">
        <f t="shared" si="54"/>
        <v>0</v>
      </c>
      <c r="CR21" s="78">
        <f t="shared" si="55"/>
        <v>0</v>
      </c>
      <c r="CS21" s="77">
        <f t="shared" si="56"/>
        <v>0</v>
      </c>
      <c r="CT21" s="79"/>
      <c r="CU21" s="78">
        <f t="shared" si="115"/>
        <v>0</v>
      </c>
      <c r="CV21" s="78">
        <f t="shared" si="57"/>
        <v>0</v>
      </c>
      <c r="CW21" s="78">
        <f t="shared" si="58"/>
        <v>0</v>
      </c>
      <c r="CX21" s="78">
        <f t="shared" si="59"/>
        <v>0</v>
      </c>
      <c r="CY21" s="77">
        <f t="shared" si="60"/>
        <v>0</v>
      </c>
      <c r="CZ21" s="79"/>
      <c r="DA21" s="78">
        <f t="shared" si="116"/>
        <v>0</v>
      </c>
      <c r="DB21" s="78">
        <f t="shared" si="61"/>
        <v>0</v>
      </c>
      <c r="DC21" s="78">
        <f t="shared" si="62"/>
        <v>0</v>
      </c>
      <c r="DD21" s="78">
        <f t="shared" si="63"/>
        <v>0</v>
      </c>
      <c r="DE21" s="77">
        <f t="shared" si="64"/>
        <v>0</v>
      </c>
      <c r="DF21" s="79"/>
      <c r="DG21" s="78">
        <f t="shared" si="117"/>
        <v>0</v>
      </c>
      <c r="DH21" s="78">
        <f t="shared" si="65"/>
        <v>0</v>
      </c>
      <c r="DI21" s="78">
        <f t="shared" si="66"/>
        <v>0</v>
      </c>
      <c r="DJ21" s="78">
        <f t="shared" si="67"/>
        <v>0</v>
      </c>
      <c r="DK21" s="77">
        <f t="shared" si="68"/>
        <v>0</v>
      </c>
      <c r="DL21" s="79"/>
      <c r="DM21" s="90">
        <f t="shared" si="118"/>
        <v>0</v>
      </c>
      <c r="DN21" s="90">
        <f t="shared" si="69"/>
        <v>0</v>
      </c>
      <c r="DO21" s="90">
        <f t="shared" si="70"/>
        <v>0</v>
      </c>
      <c r="DP21" s="90">
        <f t="shared" si="71"/>
        <v>0</v>
      </c>
      <c r="DQ21" s="94">
        <f t="shared" si="72"/>
        <v>0</v>
      </c>
      <c r="DR21" s="79"/>
      <c r="DS21" s="78">
        <f t="shared" si="119"/>
        <v>0</v>
      </c>
      <c r="DT21" s="78">
        <f t="shared" si="73"/>
        <v>0</v>
      </c>
      <c r="DU21" s="78">
        <f t="shared" si="74"/>
        <v>0</v>
      </c>
      <c r="DV21" s="78">
        <f t="shared" si="75"/>
        <v>0</v>
      </c>
      <c r="DW21" s="77">
        <f t="shared" si="76"/>
        <v>0</v>
      </c>
      <c r="DX21" s="79"/>
      <c r="DY21" s="78">
        <f t="shared" si="120"/>
        <v>0</v>
      </c>
      <c r="DZ21" s="78">
        <f t="shared" si="77"/>
        <v>0</v>
      </c>
      <c r="EA21" s="78">
        <f t="shared" si="78"/>
        <v>0</v>
      </c>
      <c r="EB21" s="78">
        <f t="shared" si="79"/>
        <v>0</v>
      </c>
      <c r="EC21" s="77">
        <f t="shared" si="80"/>
        <v>0</v>
      </c>
      <c r="ED21" s="79"/>
      <c r="EE21" s="78">
        <f t="shared" si="121"/>
        <v>0</v>
      </c>
      <c r="EF21" s="78">
        <f t="shared" si="81"/>
        <v>0</v>
      </c>
      <c r="EG21" s="78">
        <f t="shared" si="82"/>
        <v>0</v>
      </c>
      <c r="EH21" s="78">
        <f t="shared" si="83"/>
        <v>0</v>
      </c>
      <c r="EI21" s="77">
        <f t="shared" si="84"/>
        <v>0</v>
      </c>
      <c r="EJ21" s="79"/>
      <c r="EK21" s="78">
        <f t="shared" si="122"/>
        <v>0</v>
      </c>
      <c r="EL21" s="78">
        <f t="shared" si="85"/>
        <v>0</v>
      </c>
      <c r="EM21" s="78">
        <f t="shared" si="86"/>
        <v>0</v>
      </c>
      <c r="EN21" s="78">
        <f t="shared" si="87"/>
        <v>0</v>
      </c>
      <c r="EO21" s="77">
        <f t="shared" si="88"/>
        <v>0</v>
      </c>
      <c r="EP21" s="79"/>
      <c r="EQ21" s="78">
        <f t="shared" si="123"/>
        <v>0</v>
      </c>
      <c r="ER21" s="78">
        <f t="shared" si="89"/>
        <v>0</v>
      </c>
      <c r="ES21" s="78">
        <f t="shared" si="90"/>
        <v>0</v>
      </c>
      <c r="ET21" s="78">
        <f t="shared" si="91"/>
        <v>0</v>
      </c>
      <c r="EU21" s="77">
        <f t="shared" si="92"/>
        <v>0</v>
      </c>
      <c r="EV21" s="79"/>
      <c r="EW21" s="78">
        <f t="shared" si="124"/>
        <v>0</v>
      </c>
      <c r="EX21" s="78">
        <f t="shared" si="93"/>
        <v>0</v>
      </c>
      <c r="EY21" s="78">
        <f t="shared" si="94"/>
        <v>0</v>
      </c>
      <c r="EZ21" s="78">
        <f t="shared" si="95"/>
        <v>0</v>
      </c>
      <c r="FA21" s="77">
        <f t="shared" si="96"/>
        <v>0</v>
      </c>
      <c r="FB21" s="79"/>
      <c r="FC21" s="78">
        <f t="shared" si="125"/>
        <v>0</v>
      </c>
      <c r="FD21" s="78">
        <f t="shared" si="97"/>
        <v>0</v>
      </c>
      <c r="FE21" s="78">
        <f t="shared" si="98"/>
        <v>0</v>
      </c>
      <c r="FF21" s="78">
        <f t="shared" si="99"/>
        <v>0</v>
      </c>
      <c r="FG21" s="77">
        <f t="shared" si="100"/>
        <v>0</v>
      </c>
      <c r="FH21" s="79"/>
      <c r="FI21" s="80"/>
      <c r="FJ21" s="78"/>
      <c r="FK21" s="78"/>
      <c r="FL21" s="78"/>
      <c r="FM21" s="77">
        <f t="shared" si="101"/>
        <v>0</v>
      </c>
    </row>
    <row r="22" spans="3:169" ht="12.75">
      <c r="C22" s="42"/>
      <c r="D22" s="42"/>
      <c r="E22" s="42"/>
      <c r="F22" s="42"/>
      <c r="G22" s="42"/>
      <c r="J22" s="50"/>
      <c r="M22" s="42"/>
      <c r="S22" s="42"/>
      <c r="Y22" s="42"/>
      <c r="AA22" s="33"/>
      <c r="AB22" s="33"/>
      <c r="AE22" s="42"/>
      <c r="AG22" s="33"/>
      <c r="AH22" s="33"/>
      <c r="AI22" s="33"/>
      <c r="AJ22" s="33"/>
      <c r="AK22" s="42"/>
      <c r="AM22" s="20"/>
      <c r="AN22" s="20"/>
      <c r="AO22" s="20"/>
      <c r="AP22" s="20"/>
      <c r="AQ22" s="42"/>
      <c r="AR22" s="33"/>
      <c r="AS22" s="33"/>
      <c r="AT22" s="33"/>
      <c r="AU22" s="33"/>
      <c r="AV22" s="33"/>
      <c r="AW22" s="42"/>
      <c r="AX22" s="33"/>
      <c r="AY22" s="33"/>
      <c r="AZ22" s="33"/>
      <c r="BA22" s="33"/>
      <c r="BB22" s="33"/>
      <c r="BC22" s="42"/>
      <c r="BD22" s="33"/>
      <c r="BE22" s="33"/>
      <c r="BF22" s="33"/>
      <c r="BG22" s="33"/>
      <c r="BH22" s="33"/>
      <c r="BI22" s="42"/>
      <c r="BJ22" s="33"/>
      <c r="BK22" s="33"/>
      <c r="BL22" s="33"/>
      <c r="BM22" s="33"/>
      <c r="BN22" s="33"/>
      <c r="BO22" s="42"/>
      <c r="BP22" s="33"/>
      <c r="BQ22" s="33"/>
      <c r="BR22" s="33"/>
      <c r="BS22" s="33"/>
      <c r="BT22" s="33"/>
      <c r="BU22" s="42"/>
      <c r="BV22" s="33"/>
      <c r="BW22" s="33"/>
      <c r="BX22" s="33"/>
      <c r="BY22" s="33"/>
      <c r="BZ22" s="33"/>
      <c r="CA22" s="42"/>
      <c r="CB22" s="33"/>
      <c r="CC22" s="33"/>
      <c r="CD22" s="33"/>
      <c r="CE22" s="33"/>
      <c r="CF22" s="33"/>
      <c r="CG22" s="42"/>
      <c r="CH22" s="33"/>
      <c r="CI22" s="33"/>
      <c r="CJ22" s="33"/>
      <c r="CK22" s="33"/>
      <c r="CL22" s="33"/>
      <c r="CM22" s="42"/>
      <c r="CN22" s="33"/>
      <c r="CO22" s="33"/>
      <c r="CP22" s="33"/>
      <c r="CQ22" s="33"/>
      <c r="CR22" s="33"/>
      <c r="CS22" s="42"/>
      <c r="CT22" s="33"/>
      <c r="CU22" s="33"/>
      <c r="CV22" s="33"/>
      <c r="CW22" s="33"/>
      <c r="CX22" s="33"/>
      <c r="CY22" s="42"/>
      <c r="CZ22" s="33"/>
      <c r="DA22" s="33"/>
      <c r="DB22" s="33"/>
      <c r="DC22" s="33"/>
      <c r="DD22" s="33"/>
      <c r="DE22" s="42"/>
      <c r="DF22" s="33"/>
      <c r="DG22" s="33"/>
      <c r="DH22" s="33"/>
      <c r="DI22" s="33"/>
      <c r="DJ22" s="33"/>
      <c r="DK22" s="42"/>
      <c r="DL22" s="33"/>
      <c r="DM22" s="95"/>
      <c r="DN22" s="95"/>
      <c r="DO22" s="95"/>
      <c r="DP22" s="95"/>
      <c r="DQ22" s="96"/>
      <c r="DR22" s="33"/>
      <c r="DS22" s="33"/>
      <c r="DT22" s="33"/>
      <c r="DU22" s="33"/>
      <c r="DV22" s="33"/>
      <c r="DW22" s="42"/>
      <c r="DX22" s="33"/>
      <c r="DY22" s="33"/>
      <c r="DZ22" s="33"/>
      <c r="EA22" s="33"/>
      <c r="EB22" s="33"/>
      <c r="EC22" s="42"/>
      <c r="ED22" s="33"/>
      <c r="EE22" s="33"/>
      <c r="EF22" s="33"/>
      <c r="EG22" s="33"/>
      <c r="EH22" s="33"/>
      <c r="EI22" s="42"/>
      <c r="EJ22" s="33"/>
      <c r="EK22" s="33"/>
      <c r="EL22" s="33"/>
      <c r="EM22" s="33"/>
      <c r="EN22" s="33"/>
      <c r="EO22" s="42"/>
      <c r="EP22" s="33"/>
      <c r="EQ22" s="33"/>
      <c r="ER22" s="33"/>
      <c r="ES22" s="33"/>
      <c r="ET22" s="33"/>
      <c r="EU22" s="42"/>
      <c r="EV22" s="33"/>
      <c r="EW22" s="33"/>
      <c r="EX22" s="33"/>
      <c r="EY22" s="33"/>
      <c r="EZ22" s="33"/>
      <c r="FA22" s="42"/>
      <c r="FB22" s="33"/>
      <c r="FC22" s="33"/>
      <c r="FD22" s="33"/>
      <c r="FE22" s="33"/>
      <c r="FF22" s="33"/>
      <c r="FG22" s="42"/>
      <c r="FH22" s="33"/>
      <c r="FI22" s="50"/>
      <c r="FJ22" s="50"/>
      <c r="FK22" s="50"/>
      <c r="FL22" s="50"/>
      <c r="FM22" s="42"/>
    </row>
    <row r="23" spans="1:169" ht="13.5" thickBot="1">
      <c r="A23" s="31" t="s">
        <v>4</v>
      </c>
      <c r="C23" s="49">
        <f>SUM(C8:C22)</f>
        <v>5670000</v>
      </c>
      <c r="D23" s="49">
        <f>SUM(D8:D22)</f>
        <v>340200</v>
      </c>
      <c r="E23" s="49">
        <f>SUM(E8:E22)</f>
        <v>6010200</v>
      </c>
      <c r="F23" s="49">
        <f>SUM(F8:F22)</f>
        <v>245215</v>
      </c>
      <c r="G23" s="49">
        <f>SUM(G8:G22)</f>
        <v>103276</v>
      </c>
      <c r="I23" s="49">
        <f>SUM(I8:I22)</f>
        <v>3077822.8529999997</v>
      </c>
      <c r="J23" s="49">
        <f>SUM(J8:J22)</f>
        <v>184669.37118000002</v>
      </c>
      <c r="K23" s="49">
        <f>SUM(K8:K22)</f>
        <v>3262492.2241799994</v>
      </c>
      <c r="L23" s="49">
        <f>SUM(L8:L22)</f>
        <v>133109.05306850004</v>
      </c>
      <c r="M23" s="49">
        <f>SUM(M8:M22)</f>
        <v>56060.8876484</v>
      </c>
      <c r="O23" s="49">
        <f>SUM(O8:O22)</f>
        <v>2592177.1470000003</v>
      </c>
      <c r="P23" s="49">
        <f>SUM(P8:P22)</f>
        <v>155530.62881999993</v>
      </c>
      <c r="Q23" s="49">
        <f>SUM(Q8:Q22)</f>
        <v>2747707.7758200006</v>
      </c>
      <c r="R23" s="49">
        <f>SUM(R8:R22)</f>
        <v>112105.94693150002</v>
      </c>
      <c r="S23" s="49">
        <f>SUM(S8:S22)</f>
        <v>47215.11235159999</v>
      </c>
      <c r="U23" s="49">
        <f>SUM(U8:U22)</f>
        <v>463375.08</v>
      </c>
      <c r="V23" s="49">
        <f>SUM(V8:V22)</f>
        <v>27802.5048</v>
      </c>
      <c r="W23" s="49">
        <f>SUM(W8:W22)</f>
        <v>491177.5848</v>
      </c>
      <c r="X23" s="49">
        <f>SUM(X8:X22)</f>
        <v>20039.950660000002</v>
      </c>
      <c r="Y23" s="49">
        <f>SUM(Y8:Y22)</f>
        <v>8440.127824</v>
      </c>
      <c r="AA23" s="49">
        <f>SUM(AA8:AA22)</f>
        <v>337731.28199999995</v>
      </c>
      <c r="AB23" s="49">
        <f>SUM(AB8:AB22)</f>
        <v>20263.87692</v>
      </c>
      <c r="AC23" s="49">
        <f>SUM(AC8:AC22)</f>
        <v>357995.15891999996</v>
      </c>
      <c r="AD23" s="49">
        <f>SUM(AD8:AD22)</f>
        <v>14606.133389</v>
      </c>
      <c r="AE23" s="49">
        <f>SUM(AE8:AE22)</f>
        <v>6151.5936296</v>
      </c>
      <c r="AG23" s="49">
        <f>SUM(AG8:AG22)</f>
        <v>179060.86800000002</v>
      </c>
      <c r="AH23" s="49">
        <f>SUM(AH8:AH22)</f>
        <v>10743.652080000002</v>
      </c>
      <c r="AI23" s="49">
        <f>SUM(AI8:AI22)</f>
        <v>189804.52008000002</v>
      </c>
      <c r="AJ23" s="49">
        <f>SUM(AJ8:AJ22)</f>
        <v>7743.987786</v>
      </c>
      <c r="AK23" s="49">
        <f>SUM(AK8:AK22)</f>
        <v>3261.4973904</v>
      </c>
      <c r="AM23" s="49">
        <f>SUM(AM8:AM22)</f>
        <v>130228.56000000001</v>
      </c>
      <c r="AN23" s="49">
        <f>SUM(AN8:AN22)</f>
        <v>7813.713600000001</v>
      </c>
      <c r="AO23" s="49">
        <f>SUM(AO8:AO22)</f>
        <v>138042.27360000001</v>
      </c>
      <c r="AP23" s="49">
        <f>SUM(AP8:AP22)</f>
        <v>5632.09812</v>
      </c>
      <c r="AQ23" s="49">
        <f>SUM(AQ8:AQ22)</f>
        <v>2372.043168</v>
      </c>
      <c r="AR23" s="33"/>
      <c r="AS23" s="49">
        <f>SUM(AS8:AS22)</f>
        <v>14917.203000000001</v>
      </c>
      <c r="AT23" s="49">
        <f>SUM(AT8:AT22)</f>
        <v>895.0321799999999</v>
      </c>
      <c r="AU23" s="49">
        <f>SUM(AU8:AU22)</f>
        <v>15812.235180000001</v>
      </c>
      <c r="AV23" s="49">
        <f>SUM(AV8:AV22)</f>
        <v>645.1361435</v>
      </c>
      <c r="AW23" s="49">
        <f>SUM(AW8:AW22)</f>
        <v>271.70882839999996</v>
      </c>
      <c r="AX23" s="33"/>
      <c r="AY23" s="49">
        <f>SUM(AY8:AY22)</f>
        <v>236001.84299999996</v>
      </c>
      <c r="AZ23" s="49">
        <f>SUM(AZ8:AZ22)</f>
        <v>14160.11058</v>
      </c>
      <c r="BA23" s="49">
        <f>SUM(BA8:BA22)</f>
        <v>250161.95357999997</v>
      </c>
      <c r="BB23" s="49">
        <f>SUM(BB8:BB22)</f>
        <v>10206.559423499999</v>
      </c>
      <c r="BC23" s="49">
        <f>SUM(BC8:BC22)</f>
        <v>4298.6466204</v>
      </c>
      <c r="BD23" s="33"/>
      <c r="BE23" s="49">
        <f>SUM(BE8:BE22)</f>
        <v>25583.607000000004</v>
      </c>
      <c r="BF23" s="49">
        <f>SUM(BF8:BF22)</f>
        <v>1535.01642</v>
      </c>
      <c r="BG23" s="49">
        <f>SUM(BG8:BG22)</f>
        <v>27118.623420000004</v>
      </c>
      <c r="BH23" s="49">
        <f>SUM(BH8:BH22)</f>
        <v>1106.4346014999999</v>
      </c>
      <c r="BI23" s="49">
        <f>SUM(BI8:BI22)</f>
        <v>465.9916396</v>
      </c>
      <c r="BJ23" s="33"/>
      <c r="BK23" s="49">
        <f>SUM(BK8:BK22)</f>
        <v>80030.349</v>
      </c>
      <c r="BL23" s="49">
        <f>SUM(BL8:BL22)</f>
        <v>4801.82094</v>
      </c>
      <c r="BM23" s="49">
        <f>SUM(BM8:BM22)</f>
        <v>84832.16994</v>
      </c>
      <c r="BN23" s="49">
        <f>SUM(BN8:BN22)</f>
        <v>3461.1361604999997</v>
      </c>
      <c r="BO23" s="49">
        <f>SUM(BO8:BO22)</f>
        <v>1457.7097572000002</v>
      </c>
      <c r="BP23" s="33"/>
      <c r="BQ23" s="49">
        <f>SUM(BQ8:BQ22)</f>
        <v>40585.293000000005</v>
      </c>
      <c r="BR23" s="49">
        <f>SUM(BR8:BR22)</f>
        <v>2435.11758</v>
      </c>
      <c r="BS23" s="49">
        <f>SUM(BS8:BS22)</f>
        <v>43020.41058</v>
      </c>
      <c r="BT23" s="49">
        <f>SUM(BT8:BT22)</f>
        <v>1755.2244485</v>
      </c>
      <c r="BU23" s="49">
        <f>SUM(BU8:BU22)</f>
        <v>739.2392804</v>
      </c>
      <c r="BV23" s="33"/>
      <c r="BW23" s="49">
        <f>SUM(BW8:BW22)</f>
        <v>7881.866999999999</v>
      </c>
      <c r="BX23" s="49">
        <f>SUM(BX8:BX22)</f>
        <v>472.91202</v>
      </c>
      <c r="BY23" s="49">
        <f>SUM(BY8:BY22)</f>
        <v>8354.77902</v>
      </c>
      <c r="BZ23" s="49">
        <f>SUM(BZ8:BZ22)</f>
        <v>340.8733715</v>
      </c>
      <c r="CA23" s="49">
        <f>SUM(CA8:CA22)</f>
        <v>143.56396759999998</v>
      </c>
      <c r="CB23" s="33"/>
      <c r="CC23" s="49">
        <f>SUM(CC8:CC22)</f>
        <v>31317.678000000004</v>
      </c>
      <c r="CD23" s="49">
        <f>SUM(CD8:CD22)</f>
        <v>1879.0606800000003</v>
      </c>
      <c r="CE23" s="49">
        <f>SUM(CE8:CE22)</f>
        <v>33196.73868</v>
      </c>
      <c r="CF23" s="49">
        <f>SUM(CF8:CF22)</f>
        <v>1354.420531</v>
      </c>
      <c r="CG23" s="49">
        <f>SUM(CG8:CG22)</f>
        <v>570.4346584</v>
      </c>
      <c r="CH23" s="33"/>
      <c r="CI23" s="49">
        <f>SUM(CI8:CI22)</f>
        <v>76382.271</v>
      </c>
      <c r="CJ23" s="49">
        <f>SUM(CJ8:CJ22)</f>
        <v>4582.9362599999995</v>
      </c>
      <c r="CK23" s="49">
        <f>SUM(CK8:CK22)</f>
        <v>80965.20726</v>
      </c>
      <c r="CL23" s="49">
        <f>SUM(CL8:CL22)</f>
        <v>3303.3648295</v>
      </c>
      <c r="CM23" s="49">
        <f>SUM(CM8:CM22)</f>
        <v>1391.2619788000002</v>
      </c>
      <c r="CN23" s="33"/>
      <c r="CO23" s="49">
        <f>SUM(CO8:CO22)</f>
        <v>170964.108</v>
      </c>
      <c r="CP23" s="49">
        <f>SUM(CP8:CP22)</f>
        <v>10257.84648</v>
      </c>
      <c r="CQ23" s="49">
        <f>SUM(CQ8:CQ22)</f>
        <v>181221.95448</v>
      </c>
      <c r="CR23" s="49">
        <f>SUM(CR8:CR22)</f>
        <v>7393.820765999999</v>
      </c>
      <c r="CS23" s="49">
        <f>SUM(CS8:CS22)</f>
        <v>3114.0192623999997</v>
      </c>
      <c r="CT23" s="33"/>
      <c r="CU23" s="49">
        <f>SUM(CU8:CU22)</f>
        <v>25865.972999999998</v>
      </c>
      <c r="CV23" s="49">
        <f>SUM(CV8:CV22)</f>
        <v>1551.9583799999998</v>
      </c>
      <c r="CW23" s="49">
        <f>SUM(CW8:CW22)</f>
        <v>27417.931379999998</v>
      </c>
      <c r="CX23" s="49">
        <f>SUM(CX8:CX22)</f>
        <v>1118.6463085</v>
      </c>
      <c r="CY23" s="49">
        <f>SUM(CY8:CY22)</f>
        <v>471.1347844</v>
      </c>
      <c r="CZ23" s="33"/>
      <c r="DA23" s="49">
        <f>SUM(DA8:DA22)</f>
        <v>74321.793</v>
      </c>
      <c r="DB23" s="49">
        <f>SUM(DB8:DB22)</f>
        <v>4459.30758</v>
      </c>
      <c r="DC23" s="49">
        <f>SUM(DC8:DC22)</f>
        <v>78781.10058000001</v>
      </c>
      <c r="DD23" s="49">
        <f>SUM(DD8:DD22)</f>
        <v>3214.2536984999997</v>
      </c>
      <c r="DE23" s="49">
        <f>SUM(DE8:DE22)</f>
        <v>1353.7314804</v>
      </c>
      <c r="DF23" s="33"/>
      <c r="DG23" s="49">
        <f>SUM(DG8:DG22)</f>
        <v>2863.917</v>
      </c>
      <c r="DH23" s="49">
        <f>SUM(DH8:DH22)</f>
        <v>171.83502000000001</v>
      </c>
      <c r="DI23" s="49">
        <f>SUM(DI8:DI22)</f>
        <v>3035.75202</v>
      </c>
      <c r="DJ23" s="49">
        <f>SUM(DJ8:DJ22)</f>
        <v>123.85809649999999</v>
      </c>
      <c r="DK23" s="49">
        <f>SUM(DK8:DK22)</f>
        <v>52.1647076</v>
      </c>
      <c r="DL23" s="33"/>
      <c r="DM23" s="97">
        <f>SUM(DM8:DM22)</f>
        <v>156785.706</v>
      </c>
      <c r="DN23" s="97">
        <f>SUM(DN8:DN22)</f>
        <v>9407.14236</v>
      </c>
      <c r="DO23" s="97">
        <f>SUM(DO8:DO22)</f>
        <v>166192.84836000003</v>
      </c>
      <c r="DP23" s="97">
        <f>SUM(DP8:DP22)</f>
        <v>6780.6361369999995</v>
      </c>
      <c r="DQ23" s="97">
        <f>SUM(DQ8:DQ22)</f>
        <v>2855.7672967999997</v>
      </c>
      <c r="DR23" s="33"/>
      <c r="DS23" s="49">
        <f>SUM(DS8:DS22)</f>
        <v>24683.778</v>
      </c>
      <c r="DT23" s="49">
        <f>SUM(DT8:DT22)</f>
        <v>1481.02668</v>
      </c>
      <c r="DU23" s="49">
        <f>SUM(DU8:DU22)</f>
        <v>26164.804679999997</v>
      </c>
      <c r="DV23" s="49">
        <f>SUM(DV8:DV22)</f>
        <v>1067.5189810000002</v>
      </c>
      <c r="DW23" s="49">
        <f>SUM(DW8:DW22)</f>
        <v>449.60173840000004</v>
      </c>
      <c r="DX23" s="33"/>
      <c r="DY23" s="49">
        <f>SUM(DY8:DY22)</f>
        <v>127024.44299999998</v>
      </c>
      <c r="DZ23" s="49">
        <f>SUM(DZ8:DZ22)</f>
        <v>7621.466579999999</v>
      </c>
      <c r="EA23" s="49">
        <f>SUM(EA8:EA22)</f>
        <v>134645.90957999998</v>
      </c>
      <c r="EB23" s="49">
        <f>SUM(EB8:EB22)</f>
        <v>5493.5271235</v>
      </c>
      <c r="EC23" s="49">
        <f>SUM(EC8:EC22)</f>
        <v>2313.6819004000004</v>
      </c>
      <c r="ED23" s="33"/>
      <c r="EE23" s="49">
        <f>SUM(EE8:EE22)</f>
        <v>36264.186</v>
      </c>
      <c r="EF23" s="49">
        <f>SUM(EF8:EF22)</f>
        <v>2175.85116</v>
      </c>
      <c r="EG23" s="49">
        <f>SUM(EG8:EG22)</f>
        <v>38440.03716</v>
      </c>
      <c r="EH23" s="49">
        <f>SUM(EH8:EH22)</f>
        <v>1568.3460969999999</v>
      </c>
      <c r="EI23" s="49">
        <f>SUM(EI8:EI22)</f>
        <v>660.5326408</v>
      </c>
      <c r="EJ23" s="33"/>
      <c r="EK23" s="49">
        <f>SUM(EK8:EK22)</f>
        <v>364.014</v>
      </c>
      <c r="EL23" s="49">
        <f>SUM(EL8:EL22)</f>
        <v>21.840840000000004</v>
      </c>
      <c r="EM23" s="49">
        <f>SUM(EM8:EM22)</f>
        <v>385.85484</v>
      </c>
      <c r="EN23" s="49">
        <f>SUM(EN8:EN22)</f>
        <v>15.742803000000002</v>
      </c>
      <c r="EO23" s="49">
        <f>SUM(EO8:EO22)</f>
        <v>6.630319200000001</v>
      </c>
      <c r="EP23" s="33"/>
      <c r="EQ23" s="49">
        <f>SUM(EQ8:EQ22)</f>
        <v>675.8639999999999</v>
      </c>
      <c r="ER23" s="49">
        <f>SUM(ER8:ER22)</f>
        <v>40.55184</v>
      </c>
      <c r="ES23" s="49">
        <f>SUM(ES8:ES22)</f>
        <v>716.4158399999999</v>
      </c>
      <c r="ET23" s="49">
        <f>SUM(ET8:ET22)</f>
        <v>29.229628</v>
      </c>
      <c r="EU23" s="49">
        <f>SUM(EU8:EU22)</f>
        <v>12.3104992</v>
      </c>
      <c r="EV23" s="33"/>
      <c r="EW23" s="49">
        <f>SUM(EW8:EW22)</f>
        <v>122174.89199999999</v>
      </c>
      <c r="EX23" s="49">
        <f>SUM(EX8:EX22)</f>
        <v>7330.49352</v>
      </c>
      <c r="EY23" s="49">
        <f>SUM(EY8:EY22)</f>
        <v>129505.38552</v>
      </c>
      <c r="EZ23" s="49">
        <f>SUM(EZ8:EZ22)</f>
        <v>5283.794734</v>
      </c>
      <c r="FA23" s="49">
        <f>SUM(FA8:FA22)</f>
        <v>2225.3499376</v>
      </c>
      <c r="FB23" s="33"/>
      <c r="FC23" s="49">
        <f>SUM(FC8:FC22)</f>
        <v>227092.572</v>
      </c>
      <c r="FD23" s="49">
        <f>SUM(FD8:FD22)</f>
        <v>13625.554320000001</v>
      </c>
      <c r="FE23" s="49">
        <f>SUM(FE8:FE22)</f>
        <v>240718.12631999998</v>
      </c>
      <c r="FF23" s="49">
        <f>SUM(FF8:FF22)</f>
        <v>9821.253094</v>
      </c>
      <c r="FG23" s="49">
        <f>SUM(FG8:FG22)</f>
        <v>4136.3690416</v>
      </c>
      <c r="FH23" s="33"/>
      <c r="FI23" s="49">
        <f>SUM(FI8:FI22)</f>
        <v>0</v>
      </c>
      <c r="FJ23" s="49">
        <f>SUM(FJ8:FJ22)</f>
        <v>0</v>
      </c>
      <c r="FK23" s="49">
        <f>SUM(FK8:IV22)</f>
        <v>0</v>
      </c>
      <c r="FL23" s="42"/>
      <c r="FM23" s="49">
        <f>SUM(FM8:FM22)</f>
        <v>0</v>
      </c>
    </row>
    <row r="24" spans="33:43" ht="13.5" thickTop="1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16:43" ht="12.75">
      <c r="P25" s="33"/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1:43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1:43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1:43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1:43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1:43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1:43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1:43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1:43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1:43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</row>
    <row r="46" spans="1:43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</row>
    <row r="47" spans="1:43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</row>
    <row r="48" spans="1:43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</row>
    <row r="49" spans="1:43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</row>
    <row r="50" spans="1:43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</row>
    <row r="51" spans="1:37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</row>
    <row r="52" spans="1:37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</row>
    <row r="53" spans="1:37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</row>
    <row r="54" spans="1:37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</row>
    <row r="55" spans="1:37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</row>
    <row r="56" spans="1:37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</row>
    <row r="57" spans="1:37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</row>
    <row r="58" spans="1:37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</row>
    <row r="59" spans="1:37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</row>
    <row r="60" spans="1:37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</row>
    <row r="61" spans="1:37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</row>
    <row r="62" spans="1:37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</row>
    <row r="63" spans="1:37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</row>
  </sheetData>
  <sheetProtection/>
  <printOptions/>
  <pageMargins left="0.75" right="0.75" top="1" bottom="1" header="0.3" footer="0.3"/>
  <pageSetup horizontalDpi="600" verticalDpi="600" orientation="landscape" scale="72"/>
  <colBreaks count="3" manualBreakCount="3">
    <brk id="13" max="65535" man="1"/>
    <brk id="26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6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7" sqref="C27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851562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F1" s="45"/>
      <c r="G1" s="45"/>
      <c r="I1" s="45"/>
      <c r="J1" s="45"/>
      <c r="K1" s="36"/>
      <c r="N1" s="45"/>
      <c r="R1" s="45" t="s">
        <v>171</v>
      </c>
      <c r="S1" s="45"/>
      <c r="AB1" s="45"/>
      <c r="AG1" s="45" t="s">
        <v>171</v>
      </c>
      <c r="AL1"/>
      <c r="AM1"/>
      <c r="AN1"/>
      <c r="AP1" s="45"/>
      <c r="AQ1" s="45"/>
      <c r="AR1"/>
      <c r="AS1"/>
      <c r="AT1"/>
      <c r="AU1" s="45" t="s">
        <v>171</v>
      </c>
      <c r="AV1"/>
      <c r="AW1"/>
      <c r="AX1"/>
      <c r="AY1"/>
      <c r="AZ1"/>
      <c r="BA1"/>
      <c r="BB1"/>
      <c r="BC1"/>
      <c r="BD1"/>
      <c r="BE1" s="45"/>
      <c r="BF1"/>
      <c r="BG1"/>
      <c r="BH1" s="20"/>
      <c r="BI1" s="20"/>
      <c r="BJ1" s="45" t="s">
        <v>171</v>
      </c>
      <c r="BK1" s="20"/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20"/>
      <c r="BX1" s="45" t="s">
        <v>171</v>
      </c>
      <c r="BY1" s="20"/>
      <c r="BZ1" s="20"/>
      <c r="CA1" s="20"/>
      <c r="CB1" s="20"/>
      <c r="CC1" s="20"/>
      <c r="CD1" s="20"/>
      <c r="CE1" s="20"/>
      <c r="CF1" s="20"/>
      <c r="CG1" s="20"/>
      <c r="CH1" s="45"/>
      <c r="CI1" s="20"/>
      <c r="CJ1" s="20"/>
      <c r="CK1" s="20"/>
      <c r="CL1" s="45" t="s">
        <v>171</v>
      </c>
      <c r="CM1" s="45"/>
      <c r="CN1" s="20"/>
      <c r="CO1" s="20"/>
      <c r="CP1" s="20"/>
      <c r="CQ1" s="20"/>
      <c r="CR1" s="20"/>
      <c r="CS1" s="20"/>
      <c r="CT1" s="20"/>
      <c r="CU1" s="20"/>
      <c r="CV1" s="45"/>
      <c r="CW1" s="20"/>
      <c r="CX1" s="20"/>
      <c r="CY1" s="20"/>
      <c r="CZ1" s="20"/>
      <c r="DA1" s="45" t="s">
        <v>171</v>
      </c>
      <c r="DB1" s="20"/>
      <c r="DC1" s="20"/>
      <c r="DD1" s="20"/>
      <c r="DE1" s="20"/>
      <c r="DF1" s="20"/>
      <c r="DG1" s="20"/>
      <c r="DH1" s="20"/>
      <c r="DI1" s="20"/>
      <c r="DJ1" s="45"/>
      <c r="DK1" s="45"/>
      <c r="DL1" s="20"/>
      <c r="DM1" s="20"/>
      <c r="DN1" s="20"/>
      <c r="DO1" s="45" t="s">
        <v>171</v>
      </c>
      <c r="DP1" s="20"/>
      <c r="DQ1" s="20"/>
      <c r="DR1" s="20"/>
      <c r="DS1" s="20"/>
      <c r="DT1" s="20"/>
      <c r="DU1" s="20"/>
      <c r="DV1" s="20"/>
      <c r="DW1" s="20"/>
      <c r="DX1" s="20"/>
      <c r="DY1" s="45"/>
      <c r="DZ1" s="20"/>
      <c r="EA1" s="20"/>
      <c r="EB1" s="20"/>
      <c r="EC1" s="20"/>
      <c r="ED1" s="45" t="s">
        <v>171</v>
      </c>
      <c r="EE1" s="20"/>
      <c r="EF1" s="20"/>
      <c r="EG1" s="20"/>
      <c r="EH1" s="20"/>
      <c r="EI1" s="20"/>
      <c r="EJ1" s="20"/>
      <c r="EK1" s="20"/>
      <c r="EL1" s="20"/>
      <c r="EM1" s="45"/>
      <c r="EN1" s="20"/>
      <c r="EO1" s="20"/>
      <c r="EP1" s="20"/>
      <c r="EQ1" s="20"/>
      <c r="ER1" s="45" t="s">
        <v>171</v>
      </c>
      <c r="ES1" s="20"/>
      <c r="ET1" s="20"/>
      <c r="EU1" s="20"/>
      <c r="EV1" s="20"/>
      <c r="EW1" s="20"/>
      <c r="EX1" s="20"/>
      <c r="EY1" s="20"/>
      <c r="EZ1" s="20"/>
      <c r="FA1" s="20"/>
      <c r="FB1" s="45"/>
      <c r="FC1" s="20"/>
      <c r="FD1" s="20"/>
      <c r="FE1" s="45" t="s">
        <v>171</v>
      </c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172</v>
      </c>
      <c r="F2" s="43"/>
      <c r="G2" s="43"/>
      <c r="I2" s="45"/>
      <c r="J2" s="45"/>
      <c r="K2" s="36"/>
      <c r="N2" s="45"/>
      <c r="R2" s="43" t="s">
        <v>172</v>
      </c>
      <c r="S2" s="43"/>
      <c r="AB2" s="45"/>
      <c r="AG2" s="43" t="s">
        <v>172</v>
      </c>
      <c r="AL2"/>
      <c r="AM2"/>
      <c r="AN2"/>
      <c r="AP2" s="45"/>
      <c r="AQ2" s="45"/>
      <c r="AR2"/>
      <c r="AS2"/>
      <c r="AT2"/>
      <c r="AU2" s="43" t="s">
        <v>172</v>
      </c>
      <c r="AV2"/>
      <c r="AW2"/>
      <c r="AX2"/>
      <c r="AY2"/>
      <c r="AZ2"/>
      <c r="BA2"/>
      <c r="BB2"/>
      <c r="BC2"/>
      <c r="BD2"/>
      <c r="BE2" s="45"/>
      <c r="BF2"/>
      <c r="BG2"/>
      <c r="BH2" s="20"/>
      <c r="BI2" s="20"/>
      <c r="BJ2" s="43" t="s">
        <v>172</v>
      </c>
      <c r="BK2" s="20"/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20"/>
      <c r="BX2" s="43" t="s">
        <v>172</v>
      </c>
      <c r="BY2" s="20"/>
      <c r="BZ2" s="20"/>
      <c r="CA2" s="20"/>
      <c r="CB2" s="20"/>
      <c r="CC2" s="20"/>
      <c r="CD2" s="20"/>
      <c r="CE2" s="20"/>
      <c r="CF2" s="20"/>
      <c r="CG2" s="20"/>
      <c r="CH2" s="45"/>
      <c r="CI2" s="20"/>
      <c r="CJ2" s="20"/>
      <c r="CK2" s="20"/>
      <c r="CL2" s="43" t="s">
        <v>172</v>
      </c>
      <c r="CM2" s="43"/>
      <c r="CN2" s="20"/>
      <c r="CO2" s="20"/>
      <c r="CP2" s="20"/>
      <c r="CQ2" s="20"/>
      <c r="CR2" s="20"/>
      <c r="CS2" s="20"/>
      <c r="CT2" s="20"/>
      <c r="CU2" s="20"/>
      <c r="CV2" s="45"/>
      <c r="CW2" s="20"/>
      <c r="CX2" s="20"/>
      <c r="CY2" s="20"/>
      <c r="CZ2" s="20"/>
      <c r="DA2" s="43" t="s">
        <v>172</v>
      </c>
      <c r="DB2" s="20"/>
      <c r="DC2" s="20"/>
      <c r="DD2" s="20"/>
      <c r="DE2" s="20"/>
      <c r="DF2" s="20"/>
      <c r="DG2" s="20"/>
      <c r="DH2" s="20"/>
      <c r="DI2" s="20"/>
      <c r="DJ2" s="45"/>
      <c r="DK2" s="45"/>
      <c r="DL2" s="20"/>
      <c r="DM2" s="20"/>
      <c r="DN2" s="20"/>
      <c r="DO2" s="43" t="s">
        <v>172</v>
      </c>
      <c r="DP2" s="20"/>
      <c r="DQ2" s="20"/>
      <c r="DR2" s="20"/>
      <c r="DS2" s="20"/>
      <c r="DT2" s="20"/>
      <c r="DU2" s="20"/>
      <c r="DV2" s="20"/>
      <c r="DW2" s="20"/>
      <c r="DX2" s="20"/>
      <c r="DY2" s="45"/>
      <c r="DZ2" s="20"/>
      <c r="EA2" s="20"/>
      <c r="EB2" s="20"/>
      <c r="EC2" s="20"/>
      <c r="ED2" s="43" t="s">
        <v>172</v>
      </c>
      <c r="EE2" s="20"/>
      <c r="EF2" s="20"/>
      <c r="EG2" s="20"/>
      <c r="EH2" s="20"/>
      <c r="EI2" s="20"/>
      <c r="EJ2" s="20"/>
      <c r="EK2" s="20"/>
      <c r="EL2" s="20"/>
      <c r="EM2" s="45"/>
      <c r="EN2" s="20"/>
      <c r="EO2" s="20"/>
      <c r="EP2" s="20"/>
      <c r="EQ2" s="20"/>
      <c r="ER2" s="43" t="s">
        <v>172</v>
      </c>
      <c r="ES2" s="20"/>
      <c r="ET2" s="20"/>
      <c r="EU2" s="20"/>
      <c r="EV2" s="20"/>
      <c r="EW2" s="20"/>
      <c r="EX2" s="20"/>
      <c r="EY2" s="20"/>
      <c r="EZ2" s="20"/>
      <c r="FA2" s="20"/>
      <c r="FB2" s="45"/>
      <c r="FC2" s="20"/>
      <c r="FD2" s="20"/>
      <c r="FE2" s="43" t="s">
        <v>172</v>
      </c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F3" s="45"/>
      <c r="G3" s="45"/>
      <c r="I3" s="43"/>
      <c r="J3" s="43"/>
      <c r="K3" s="36"/>
      <c r="N3" s="45"/>
      <c r="R3" s="45" t="s">
        <v>173</v>
      </c>
      <c r="S3" s="45"/>
      <c r="AB3" s="45"/>
      <c r="AG3" s="45" t="s">
        <v>173</v>
      </c>
      <c r="AL3"/>
      <c r="AM3" s="12"/>
      <c r="AN3"/>
      <c r="AP3" s="45"/>
      <c r="AQ3" s="45"/>
      <c r="AR3"/>
      <c r="AS3"/>
      <c r="AT3"/>
      <c r="AU3" s="45" t="s">
        <v>173</v>
      </c>
      <c r="AV3"/>
      <c r="AW3"/>
      <c r="AX3"/>
      <c r="AY3"/>
      <c r="AZ3"/>
      <c r="BA3"/>
      <c r="BB3"/>
      <c r="BC3"/>
      <c r="BD3"/>
      <c r="BE3" s="45"/>
      <c r="BF3"/>
      <c r="BG3"/>
      <c r="BH3" s="20"/>
      <c r="BI3" s="20"/>
      <c r="BJ3" s="45" t="s">
        <v>173</v>
      </c>
      <c r="BK3" s="20"/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20"/>
      <c r="BX3" s="45" t="s">
        <v>173</v>
      </c>
      <c r="BY3" s="20"/>
      <c r="BZ3" s="20"/>
      <c r="CA3" s="20"/>
      <c r="CB3" s="20"/>
      <c r="CC3" s="20"/>
      <c r="CD3" s="20"/>
      <c r="CE3" s="20"/>
      <c r="CF3" s="20"/>
      <c r="CG3" s="20"/>
      <c r="CH3" s="45"/>
      <c r="CI3" s="20"/>
      <c r="CJ3" s="20"/>
      <c r="CK3" s="20"/>
      <c r="CL3" s="45" t="s">
        <v>173</v>
      </c>
      <c r="CM3" s="45"/>
      <c r="CN3" s="20"/>
      <c r="CO3" s="20"/>
      <c r="CP3" s="20"/>
      <c r="CQ3" s="20"/>
      <c r="CR3" s="20"/>
      <c r="CS3" s="20"/>
      <c r="CT3" s="20"/>
      <c r="CU3" s="20"/>
      <c r="CV3" s="45"/>
      <c r="CW3" s="20"/>
      <c r="CX3" s="20"/>
      <c r="CY3" s="20"/>
      <c r="CZ3" s="20"/>
      <c r="DA3" s="45" t="s">
        <v>173</v>
      </c>
      <c r="DB3" s="20"/>
      <c r="DC3" s="20"/>
      <c r="DD3" s="20"/>
      <c r="DE3" s="20"/>
      <c r="DF3" s="20"/>
      <c r="DG3" s="20"/>
      <c r="DH3" s="20"/>
      <c r="DI3" s="20"/>
      <c r="DJ3" s="45"/>
      <c r="DK3" s="45"/>
      <c r="DL3" s="20"/>
      <c r="DM3" s="20"/>
      <c r="DN3" s="20"/>
      <c r="DO3" s="45" t="s">
        <v>173</v>
      </c>
      <c r="DP3" s="20"/>
      <c r="DQ3" s="20"/>
      <c r="DR3" s="20"/>
      <c r="DS3" s="20"/>
      <c r="DT3" s="20"/>
      <c r="DU3" s="20"/>
      <c r="DV3" s="20"/>
      <c r="DW3" s="20"/>
      <c r="DX3" s="20"/>
      <c r="DY3" s="45"/>
      <c r="DZ3" s="20"/>
      <c r="EA3" s="20"/>
      <c r="EB3" s="20"/>
      <c r="EC3" s="20"/>
      <c r="ED3" s="45" t="s">
        <v>173</v>
      </c>
      <c r="EE3" s="20"/>
      <c r="EF3" s="20"/>
      <c r="EG3" s="20"/>
      <c r="EH3" s="20"/>
      <c r="EI3" s="20"/>
      <c r="EJ3" s="20"/>
      <c r="EK3" s="20"/>
      <c r="EL3" s="20"/>
      <c r="EM3" s="45"/>
      <c r="EN3" s="20"/>
      <c r="EO3" s="20"/>
      <c r="EP3" s="20"/>
      <c r="EQ3" s="20"/>
      <c r="ER3" s="45" t="s">
        <v>173</v>
      </c>
      <c r="ES3" s="20"/>
      <c r="ET3" s="20"/>
      <c r="EU3" s="20"/>
      <c r="EV3" s="20"/>
      <c r="EW3" s="20"/>
      <c r="EX3" s="20"/>
      <c r="EY3" s="20"/>
      <c r="EZ3" s="20"/>
      <c r="FA3" s="20"/>
      <c r="FB3" s="45"/>
      <c r="FC3" s="20"/>
      <c r="FD3" s="20"/>
      <c r="FE3" s="45" t="s">
        <v>173</v>
      </c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174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ht="12.75">
      <c r="A8" s="19">
        <v>43009</v>
      </c>
      <c r="C8" s="77"/>
      <c r="D8" s="77">
        <v>85050</v>
      </c>
      <c r="E8" s="77">
        <f aca="true" t="shared" si="0" ref="E8:E21">C8+D8</f>
        <v>85050</v>
      </c>
      <c r="F8" s="77">
        <v>61306</v>
      </c>
      <c r="G8" s="77">
        <v>25821</v>
      </c>
      <c r="H8" s="78"/>
      <c r="I8" s="79"/>
      <c r="J8" s="79">
        <f aca="true" t="shared" si="1" ref="J8:J21">P8+V8+AB8+AH8+AN8+AT8+AZ8+BF8+BL8+BR8+BX8+CD8+CJ8+CP8+CV8+DB8+DH8+DN8+DT8+DZ8+EF8+EL8+ER8+EX8+FD8+FJ8+FP8+FV8+GB8+GH8+GN8+GT8+GZ8</f>
        <v>46167.342795000004</v>
      </c>
      <c r="K8" s="79">
        <f aca="true" t="shared" si="2" ref="K8:K21">I8+J8</f>
        <v>46167.342795000004</v>
      </c>
      <c r="L8" s="79">
        <f aca="true" t="shared" si="3" ref="L8:L21">R8+X8+AD8+AJ8+AP8+AV8+BB8+BH8+BN8+BT8+BZ8+CF8+CL8+CR8+CX8+DD8+DJ8+DP8+DV8+EB8+EH8+EN8+ET8+EZ8+FF8+FL8+FR8+FX8+GD8+GJ8+GP8+GV8+HB8</f>
        <v>33278.484625400015</v>
      </c>
      <c r="M8" s="79">
        <f aca="true" t="shared" si="4" ref="M8:M21">S8+Y8+AE8+AK8+AQ8+AW8+BC8+BI8+BO8+BU8+CA8+CG8+CM8+CS8+CY8+DE8+DK8+DQ8+DW8+EC8+EI8+EO8+EU8+FA8+FG8+FM8+FS8+FY8+GE8+GK8+GQ8+GW8+HC8</f>
        <v>14016.3075639</v>
      </c>
      <c r="N8" s="78"/>
      <c r="O8" s="78"/>
      <c r="P8" s="78">
        <f aca="true" t="shared" si="5" ref="P8:P21">D8*6.61452/100</f>
        <v>5625.64926</v>
      </c>
      <c r="Q8" s="79">
        <f aca="true" t="shared" si="6" ref="Q8:Q20">O8+P8</f>
        <v>5625.64926</v>
      </c>
      <c r="R8" s="79">
        <f aca="true" t="shared" si="7" ref="R8:R21">P$6*$F8</f>
        <v>4055.0976312000003</v>
      </c>
      <c r="S8" s="77">
        <f aca="true" t="shared" si="8" ref="S8:S21">P$6*$G8</f>
        <v>1707.9352092000001</v>
      </c>
      <c r="T8" s="78"/>
      <c r="U8" s="78"/>
      <c r="V8" s="78">
        <f aca="true" t="shared" si="9" ref="V8:V21">D8*0.11296/100</f>
        <v>96.07248</v>
      </c>
      <c r="W8" s="78">
        <f aca="true" t="shared" si="10" ref="W8:W21">U8+V8</f>
        <v>96.07248</v>
      </c>
      <c r="X8" s="79">
        <f aca="true" t="shared" si="11" ref="X8:X21">V$6*$F8</f>
        <v>69.25125759999999</v>
      </c>
      <c r="Y8" s="77">
        <f aca="true" t="shared" si="12" ref="Y8:Y21">V$6*$G8</f>
        <v>29.167401599999998</v>
      </c>
      <c r="Z8" s="78"/>
      <c r="AA8" s="79"/>
      <c r="AB8" s="78">
        <f aca="true" t="shared" si="13" ref="AB8:AB21">D8*0.50994/100</f>
        <v>433.70396999999997</v>
      </c>
      <c r="AC8" s="78">
        <f aca="true" t="shared" si="14" ref="AC8:AC21">AA8+AB8</f>
        <v>433.70396999999997</v>
      </c>
      <c r="AD8" s="79">
        <f aca="true" t="shared" si="15" ref="AD8:AD21">AB$6*$F8</f>
        <v>312.62381639999995</v>
      </c>
      <c r="AE8" s="77">
        <f aca="true" t="shared" si="16" ref="AE8:AE21">AB$6*$G8</f>
        <v>131.6716074</v>
      </c>
      <c r="AF8" s="78"/>
      <c r="AG8" s="78"/>
      <c r="AH8" s="78">
        <f aca="true" t="shared" si="17" ref="AH8:AH21">D8*8.86797/100</f>
        <v>7542.208484999999</v>
      </c>
      <c r="AI8" s="78">
        <f aca="true" t="shared" si="18" ref="AI8:AI21">AG8+AH8</f>
        <v>7542.208484999999</v>
      </c>
      <c r="AJ8" s="79">
        <f aca="true" t="shared" si="19" ref="AJ8:AJ21">AH$6*$F8</f>
        <v>5436.5976882</v>
      </c>
      <c r="AK8" s="77">
        <f aca="true" t="shared" si="20" ref="AK8:AK21">AH$6*$G8</f>
        <v>2289.7985337</v>
      </c>
      <c r="AL8" s="78"/>
      <c r="AM8" s="78"/>
      <c r="AN8" s="78">
        <f aca="true" t="shared" si="21" ref="AN8:AN21">D8*0.10742/100</f>
        <v>91.36071</v>
      </c>
      <c r="AO8" s="78">
        <f aca="true" t="shared" si="22" ref="AO8:AO21">AM8+AN8</f>
        <v>91.36071</v>
      </c>
      <c r="AP8" s="79">
        <f aca="true" t="shared" si="23" ref="AP8:AP21">AN$6*$F8</f>
        <v>65.8549052</v>
      </c>
      <c r="AQ8" s="77">
        <f aca="true" t="shared" si="24" ref="AQ8:AQ21">AN$6*$G8</f>
        <v>27.736918199999998</v>
      </c>
      <c r="AR8" s="78"/>
      <c r="AS8" s="78"/>
      <c r="AT8" s="78">
        <f aca="true" t="shared" si="25" ref="AT8:AT21">D8*0.09059/100</f>
        <v>77.046795</v>
      </c>
      <c r="AU8" s="78">
        <f aca="true" t="shared" si="26" ref="AU8:AU21">AS8+AT8</f>
        <v>77.046795</v>
      </c>
      <c r="AV8" s="79">
        <f aca="true" t="shared" si="27" ref="AV8:AV21">AT$6*$F8</f>
        <v>55.537105399999994</v>
      </c>
      <c r="AW8" s="77">
        <f aca="true" t="shared" si="28" ref="AW8:AW21">AT$6*$G8</f>
        <v>23.3912439</v>
      </c>
      <c r="AX8" s="78"/>
      <c r="AY8" s="78"/>
      <c r="AZ8" s="78">
        <f aca="true" t="shared" si="29" ref="AZ8:AZ21">D8*3.71668/100</f>
        <v>3161.03634</v>
      </c>
      <c r="BA8" s="78">
        <f aca="true" t="shared" si="30" ref="BA8:BA21">AY8+AZ8</f>
        <v>3161.03634</v>
      </c>
      <c r="BB8" s="79">
        <f aca="true" t="shared" si="31" ref="BB8:BB21">AZ$6*$F8</f>
        <v>2278.5478408</v>
      </c>
      <c r="BC8" s="77">
        <f aca="true" t="shared" si="32" ref="BC8:BC21">AZ$6*$G8</f>
        <v>959.6839428</v>
      </c>
      <c r="BD8" s="78"/>
      <c r="BE8" s="78"/>
      <c r="BF8" s="78">
        <f aca="true" t="shared" si="33" ref="BF8:BF21">D8*7.62623/100</f>
        <v>6486.108615</v>
      </c>
      <c r="BG8" s="78">
        <f aca="true" t="shared" si="34" ref="BG8:BG21">BE8+BF8</f>
        <v>6486.108615</v>
      </c>
      <c r="BH8" s="79">
        <f aca="true" t="shared" si="35" ref="BH8:BH21">BF$6*$F8</f>
        <v>4675.3365638000005</v>
      </c>
      <c r="BI8" s="77">
        <f aca="true" t="shared" si="36" ref="BI8:BI21">BF$6*$G8</f>
        <v>1969.1688483</v>
      </c>
      <c r="BJ8" s="78"/>
      <c r="BK8" s="78"/>
      <c r="BL8" s="78">
        <f aca="true" t="shared" si="37" ref="BL8:BL21">D8*0.08804/100</f>
        <v>74.87801999999999</v>
      </c>
      <c r="BM8" s="78">
        <f aca="true" t="shared" si="38" ref="BM8:BM21">BK8+BL8</f>
        <v>74.87801999999999</v>
      </c>
      <c r="BN8" s="79">
        <f aca="true" t="shared" si="39" ref="BN8:BN21">BL$6*$F8</f>
        <v>53.973802400000004</v>
      </c>
      <c r="BO8" s="77">
        <f aca="true" t="shared" si="40" ref="BO8:BO21">BL$6*$G8</f>
        <v>22.7328084</v>
      </c>
      <c r="BP8" s="78"/>
      <c r="BQ8" s="78"/>
      <c r="BR8" s="78">
        <f aca="true" t="shared" si="41" ref="BR8:BR21">D8*0.05914/100</f>
        <v>50.29857</v>
      </c>
      <c r="BS8" s="78">
        <f aca="true" t="shared" si="42" ref="BS8:BS21">BQ8+BR8</f>
        <v>50.29857</v>
      </c>
      <c r="BT8" s="79">
        <f aca="true" t="shared" si="43" ref="BT8:BT21">BR$6*$F8</f>
        <v>36.2563684</v>
      </c>
      <c r="BU8" s="77">
        <f aca="true" t="shared" si="44" ref="BU8:BU21">BR$6*$G8</f>
        <v>15.270539399999999</v>
      </c>
      <c r="BV8" s="78"/>
      <c r="BW8" s="78"/>
      <c r="BX8" s="78">
        <f aca="true" t="shared" si="45" ref="BX8:BX21">D8*-0.00881/100</f>
        <v>-7.492905</v>
      </c>
      <c r="BY8" s="78">
        <f aca="true" t="shared" si="46" ref="BY8:BY21">BW8+BX8</f>
        <v>-7.492905</v>
      </c>
      <c r="BZ8" s="79">
        <f aca="true" t="shared" si="47" ref="BZ8:BZ21">BX$6*$F8</f>
        <v>-5.4010586</v>
      </c>
      <c r="CA8" s="77">
        <f aca="true" t="shared" si="48" ref="CA8:CA21">BX$6*$G8</f>
        <v>-2.2748301</v>
      </c>
      <c r="CB8" s="78"/>
      <c r="CC8" s="78"/>
      <c r="CD8" s="78">
        <f aca="true" t="shared" si="49" ref="CD8:CD21">D8*-0.00574/100</f>
        <v>-4.88187</v>
      </c>
      <c r="CE8" s="78">
        <f aca="true" t="shared" si="50" ref="CE8:CE21">CC8+CD8</f>
        <v>-4.88187</v>
      </c>
      <c r="CF8" s="79">
        <f aca="true" t="shared" si="51" ref="CF8:CF21">CD$6*$F8</f>
        <v>-3.5189643999999998</v>
      </c>
      <c r="CG8" s="77">
        <f aca="true" t="shared" si="52" ref="CG8:CG21">CD$6*$G8</f>
        <v>-1.4821254</v>
      </c>
      <c r="CH8" s="78"/>
      <c r="CI8" s="78"/>
      <c r="CJ8" s="78">
        <f aca="true" t="shared" si="53" ref="CJ8:CJ21">D8*0.21346/100</f>
        <v>181.54773</v>
      </c>
      <c r="CK8" s="78">
        <f aca="true" t="shared" si="54" ref="CK8:CK21">CI8+CJ8</f>
        <v>181.54773</v>
      </c>
      <c r="CL8" s="79">
        <f aca="true" t="shared" si="55" ref="CL8:CL21">CJ$6*$F8</f>
        <v>130.8637876</v>
      </c>
      <c r="CM8" s="77">
        <f aca="true" t="shared" si="56" ref="CM8:CM21">CJ$6*$G8</f>
        <v>55.1175066</v>
      </c>
      <c r="CN8" s="78"/>
      <c r="CO8" s="78"/>
      <c r="CP8" s="78">
        <f aca="true" t="shared" si="57" ref="CP8:CP21">D8*1.3127/100</f>
        <v>1116.45135</v>
      </c>
      <c r="CQ8" s="78">
        <f aca="true" t="shared" si="58" ref="CQ8:CQ21">CO8+CP8</f>
        <v>1116.45135</v>
      </c>
      <c r="CR8" s="79">
        <f aca="true" t="shared" si="59" ref="CR8:CR21">CP$6*$F8</f>
        <v>804.763862</v>
      </c>
      <c r="CS8" s="77">
        <f aca="true" t="shared" si="60" ref="CS8:CS21">CP$6*$G8</f>
        <v>338.952267</v>
      </c>
      <c r="CT8" s="78"/>
      <c r="CU8" s="78"/>
      <c r="CV8" s="78">
        <f aca="true" t="shared" si="61" ref="CV8:CV21">D8*8.81851/100</f>
        <v>7500.142755</v>
      </c>
      <c r="CW8" s="78">
        <f aca="true" t="shared" si="62" ref="CW8:CW21">CU8+CV8</f>
        <v>7500.142755</v>
      </c>
      <c r="CX8" s="79">
        <f aca="true" t="shared" si="63" ref="CX8:CX21">CV$6*$F8</f>
        <v>5406.2757406</v>
      </c>
      <c r="CY8" s="77">
        <f aca="true" t="shared" si="64" ref="CY8:CY21">CV$6*$G8</f>
        <v>2277.0274671</v>
      </c>
      <c r="CZ8" s="78"/>
      <c r="DA8" s="78"/>
      <c r="DB8" s="78">
        <f aca="true" t="shared" si="65" ref="DB8:DB21">D8*1.27232/100</f>
        <v>1082.10816</v>
      </c>
      <c r="DC8" s="78">
        <f aca="true" t="shared" si="66" ref="DC8:DC21">DA8+DB8</f>
        <v>1082.10816</v>
      </c>
      <c r="DD8" s="79">
        <f aca="true" t="shared" si="67" ref="DD8:DD21">DB$6*$F8</f>
        <v>780.0084992000001</v>
      </c>
      <c r="DE8" s="77">
        <f aca="true" t="shared" si="68" ref="DE8:DE21">DB$6*$G8</f>
        <v>328.5257472</v>
      </c>
      <c r="DF8" s="78"/>
      <c r="DG8" s="78"/>
      <c r="DH8" s="78">
        <f aca="true" t="shared" si="69" ref="DH8:DH21">D8*2.59972/100</f>
        <v>2211.0618600000003</v>
      </c>
      <c r="DI8" s="78">
        <f aca="true" t="shared" si="70" ref="DI8:DI21">DG8+DH8</f>
        <v>2211.0618600000003</v>
      </c>
      <c r="DJ8" s="79">
        <f aca="true" t="shared" si="71" ref="DJ8:DJ21">DH$6*$F8</f>
        <v>1593.7843432000002</v>
      </c>
      <c r="DK8" s="77">
        <f aca="true" t="shared" si="72" ref="DK8:DK21">DH$6*$G8</f>
        <v>671.2737012</v>
      </c>
      <c r="DL8" s="78"/>
      <c r="DM8" s="78"/>
      <c r="DN8" s="78">
        <f aca="true" t="shared" si="73" ref="DN8:DN21">D8*0.42162/100</f>
        <v>358.58781000000005</v>
      </c>
      <c r="DO8" s="78">
        <f aca="true" t="shared" si="74" ref="DO8:DO21">DM8+DN8</f>
        <v>358.58781000000005</v>
      </c>
      <c r="DP8" s="79">
        <f aca="true" t="shared" si="75" ref="DP8:DP21">DN$6*$F8</f>
        <v>258.4783572</v>
      </c>
      <c r="DQ8" s="77">
        <f aca="true" t="shared" si="76" ref="DQ8:DQ21">DN$6*$G8</f>
        <v>108.86650019999999</v>
      </c>
      <c r="DR8" s="78"/>
      <c r="DS8" s="78"/>
      <c r="DT8" s="78">
        <f aca="true" t="shared" si="77" ref="DT8:DT21">D8*2.16282/100</f>
        <v>1839.47841</v>
      </c>
      <c r="DU8" s="78">
        <f aca="true" t="shared" si="78" ref="DU8:DU21">DS8+DT8</f>
        <v>1839.47841</v>
      </c>
      <c r="DV8" s="79">
        <f aca="true" t="shared" si="79" ref="DV8:DV21">DT$6*$F8</f>
        <v>1325.9384292</v>
      </c>
      <c r="DW8" s="77">
        <f aca="true" t="shared" si="80" ref="DW8:DW21">DT$6*$G8</f>
        <v>558.4617522</v>
      </c>
      <c r="DX8" s="78"/>
      <c r="DY8" s="78"/>
      <c r="DZ8" s="78">
        <f aca="true" t="shared" si="81" ref="DZ8:DZ21">D8*0.01933/100</f>
        <v>16.440165</v>
      </c>
      <c r="EA8" s="78">
        <f aca="true" t="shared" si="82" ref="EA8:EA21">DY8+DZ8</f>
        <v>16.440165</v>
      </c>
      <c r="EB8" s="79">
        <f aca="true" t="shared" si="83" ref="EB8:EB21">DZ$6*$F8</f>
        <v>11.8504498</v>
      </c>
      <c r="EC8" s="77">
        <f aca="true" t="shared" si="84" ref="EC8:EC21">DZ$6*$G8</f>
        <v>4.9911993</v>
      </c>
      <c r="ED8" s="78"/>
      <c r="EE8" s="78"/>
      <c r="EF8" s="78">
        <f aca="true" t="shared" si="85" ref="EF8:EF21">D8*0.02544/100</f>
        <v>21.63672</v>
      </c>
      <c r="EG8" s="78">
        <f aca="true" t="shared" si="86" ref="EG8:EG21">EE8+EF8</f>
        <v>21.63672</v>
      </c>
      <c r="EH8" s="79">
        <f aca="true" t="shared" si="87" ref="EH8:EH21">EF$6*$F8</f>
        <v>15.5962464</v>
      </c>
      <c r="EI8" s="77">
        <f aca="true" t="shared" si="88" ref="EI8:EI21">EF$6*$G8</f>
        <v>6.5688624</v>
      </c>
      <c r="EJ8" s="78"/>
      <c r="EK8" s="78"/>
      <c r="EL8" s="78">
        <f aca="true" t="shared" si="89" ref="EL8:EL21">D8*1.28187/100</f>
        <v>1090.230435</v>
      </c>
      <c r="EM8" s="78">
        <f aca="true" t="shared" si="90" ref="EM8:EM21">EK8+EL8</f>
        <v>1090.230435</v>
      </c>
      <c r="EN8" s="79">
        <f aca="true" t="shared" si="91" ref="EN8:EN21">EL$6*$F8</f>
        <v>785.8632222</v>
      </c>
      <c r="EO8" s="77">
        <f aca="true" t="shared" si="92" ref="EO8:EO21">EL$6*$G8</f>
        <v>330.99165270000003</v>
      </c>
      <c r="EP8" s="78"/>
      <c r="EQ8" s="78"/>
      <c r="ER8" s="78">
        <f aca="true" t="shared" si="93" ref="ER8:ER21">D8*0.0244/100</f>
        <v>20.752200000000002</v>
      </c>
      <c r="ES8" s="78">
        <f aca="true" t="shared" si="94" ref="ES8:ES21">EQ8+ER8</f>
        <v>20.752200000000002</v>
      </c>
      <c r="ET8" s="79">
        <f aca="true" t="shared" si="95" ref="ET8:ET21">ER$6*$F8</f>
        <v>14.958663999999999</v>
      </c>
      <c r="EU8" s="77">
        <f aca="true" t="shared" si="96" ref="EU8:EU21">ER$6*$G8</f>
        <v>6.300324</v>
      </c>
      <c r="EV8" s="78"/>
      <c r="EW8" s="78"/>
      <c r="EX8" s="78">
        <f aca="true" t="shared" si="97" ref="EX8:EX21">D8*0.36459/100</f>
        <v>310.083795</v>
      </c>
      <c r="EY8" s="78">
        <f aca="true" t="shared" si="98" ref="EY8:EY21">EW8+EX8</f>
        <v>310.083795</v>
      </c>
      <c r="EZ8" s="79">
        <f aca="true" t="shared" si="99" ref="EZ8:EZ21">EX$6*$F8</f>
        <v>223.5155454</v>
      </c>
      <c r="FA8" s="77">
        <f aca="true" t="shared" si="100" ref="FA8:FA21">EX$6*$G8</f>
        <v>94.1407839</v>
      </c>
      <c r="FB8" s="78"/>
      <c r="FC8" s="78"/>
      <c r="FD8" s="78">
        <f aca="true" t="shared" si="101" ref="FD8:FD21">D8*0.25327/100</f>
        <v>215.406135</v>
      </c>
      <c r="FE8" s="78">
        <f aca="true" t="shared" si="102" ref="FE8:FE21">FC8+FD8</f>
        <v>215.406135</v>
      </c>
      <c r="FF8" s="79">
        <f aca="true" t="shared" si="103" ref="FF8:FF21">FD$6*$F8</f>
        <v>155.2697062</v>
      </c>
      <c r="FG8" s="77">
        <f aca="true" t="shared" si="104" ref="FG8:FG21">FD$6*$G8</f>
        <v>65.3968467</v>
      </c>
      <c r="FH8" s="78"/>
      <c r="FI8" s="78"/>
      <c r="FJ8" s="78">
        <f aca="true" t="shared" si="105" ref="FJ8:FJ21">D8*0.09887/100</f>
        <v>84.088935</v>
      </c>
      <c r="FK8" s="78">
        <f aca="true" t="shared" si="106" ref="FK8:FK21">FI8+FJ8</f>
        <v>84.088935</v>
      </c>
      <c r="FL8" s="79">
        <f aca="true" t="shared" si="107" ref="FL8:FL21">FJ$6*$F8</f>
        <v>60.613242199999995</v>
      </c>
      <c r="FM8" s="77">
        <f aca="true" t="shared" si="108" ref="FM8:FM21">FJ$6*$G8</f>
        <v>25.5292227</v>
      </c>
      <c r="FN8" s="78"/>
      <c r="FO8" s="78"/>
      <c r="FP8" s="78">
        <f aca="true" t="shared" si="109" ref="FP8:FP21">D8*1.11111/100</f>
        <v>944.9990550000001</v>
      </c>
      <c r="FQ8" s="78">
        <f aca="true" t="shared" si="110" ref="FQ8:FQ21">FO8+FP8</f>
        <v>944.9990550000001</v>
      </c>
      <c r="FR8" s="79">
        <f aca="true" t="shared" si="111" ref="FR8:FR21">FP$6*$F8</f>
        <v>681.1770966</v>
      </c>
      <c r="FS8" s="77">
        <f aca="true" t="shared" si="112" ref="FS8:FS21">FP$6*$G8</f>
        <v>286.8997131</v>
      </c>
      <c r="FT8" s="78"/>
      <c r="FU8" s="78"/>
      <c r="FV8" s="78">
        <f aca="true" t="shared" si="113" ref="FV8:FV21">D8*2.50422/100</f>
        <v>2129.8391100000003</v>
      </c>
      <c r="FW8" s="78">
        <f aca="true" t="shared" si="114" ref="FW8:FW21">FU8+FV8</f>
        <v>2129.8391100000003</v>
      </c>
      <c r="FX8" s="79">
        <f aca="true" t="shared" si="115" ref="FX8:FX21">FV$6*$F8</f>
        <v>1535.2371132</v>
      </c>
      <c r="FY8" s="77">
        <f aca="true" t="shared" si="116" ref="FY8:FY21">FV$6*$G8</f>
        <v>646.6146462</v>
      </c>
      <c r="FZ8" s="78"/>
      <c r="GA8" s="78"/>
      <c r="GB8" s="78">
        <f aca="true" t="shared" si="117" ref="GB8:GB21">D8*0.31957/100</f>
        <v>271.794285</v>
      </c>
      <c r="GC8" s="78">
        <f aca="true" t="shared" si="118" ref="GC8:GC21">GA8+GB8</f>
        <v>271.794285</v>
      </c>
      <c r="GD8" s="79">
        <f aca="true" t="shared" si="119" ref="GD8:GD21">GB$6*$F8</f>
        <v>195.9155842</v>
      </c>
      <c r="GE8" s="77">
        <f aca="true" t="shared" si="120" ref="GE8:GE21">GB$6*$G8</f>
        <v>82.5161697</v>
      </c>
      <c r="GF8" s="78"/>
      <c r="GG8" s="78"/>
      <c r="GH8" s="78">
        <f aca="true" t="shared" si="121" ref="GH8:GH21">D8*0.50748/100</f>
        <v>431.61174000000005</v>
      </c>
      <c r="GI8" s="78">
        <f aca="true" t="shared" si="122" ref="GI8:GI21">GG8+GH8</f>
        <v>431.61174000000005</v>
      </c>
      <c r="GJ8" s="79">
        <f aca="true" t="shared" si="123" ref="GJ8:GJ21">GH$6*$F8</f>
        <v>311.1156888</v>
      </c>
      <c r="GK8" s="77">
        <f aca="true" t="shared" si="124" ref="GK8:GK21">GH$6*$G8</f>
        <v>131.0364108</v>
      </c>
      <c r="GL8" s="78"/>
      <c r="GM8" s="78"/>
      <c r="GN8" s="78">
        <f aca="true" t="shared" si="125" ref="GN8:GN21">D8*2.35189/100</f>
        <v>2000.282445</v>
      </c>
      <c r="GO8" s="78">
        <f aca="true" t="shared" si="126" ref="GO8:GO21">GM8+GN8</f>
        <v>2000.282445</v>
      </c>
      <c r="GP8" s="79">
        <f aca="true" t="shared" si="127" ref="GP8:GP21">GN$6*$F8</f>
        <v>1441.8496834</v>
      </c>
      <c r="GQ8" s="77">
        <f aca="true" t="shared" si="128" ref="GQ8:GQ21">GN$6*$G8</f>
        <v>607.2815168999999</v>
      </c>
      <c r="GR8" s="78"/>
      <c r="GS8" s="78"/>
      <c r="GT8" s="78">
        <f aca="true" t="shared" si="129" ref="GT8:GT21">D8*0.12482/100</f>
        <v>106.15941000000001</v>
      </c>
      <c r="GU8" s="78">
        <f aca="true" t="shared" si="130" ref="GU8:GU21">GS8+GT8</f>
        <v>106.15941000000001</v>
      </c>
      <c r="GV8" s="79">
        <f aca="true" t="shared" si="131" ref="GV8:GV21">GT$6*$F8</f>
        <v>76.5221492</v>
      </c>
      <c r="GW8" s="77">
        <f aca="true" t="shared" si="132" ref="GW8:GW21">GT$6*$G8</f>
        <v>32.2297722</v>
      </c>
      <c r="GX8" s="78"/>
      <c r="GY8" s="78"/>
      <c r="GZ8" s="78">
        <f aca="true" t="shared" si="133" ref="GZ8:GZ21">D8*0.71564/100</f>
        <v>608.65182</v>
      </c>
      <c r="HA8" s="78">
        <f aca="true" t="shared" si="134" ref="HA8:HA21">GY8+GZ8</f>
        <v>608.65182</v>
      </c>
      <c r="HB8" s="79">
        <f aca="true" t="shared" si="135" ref="HB8:HB21">GZ$6*$F8</f>
        <v>438.7302584</v>
      </c>
      <c r="HC8" s="77">
        <f aca="true" t="shared" si="136" ref="HC8:HC21">GZ$6*$G8</f>
        <v>184.7854044</v>
      </c>
      <c r="HD8" s="78"/>
      <c r="HE8" s="78"/>
      <c r="HF8" s="78"/>
      <c r="HG8" s="78"/>
      <c r="HH8" s="78"/>
      <c r="HI8" s="78"/>
    </row>
    <row r="9" spans="1:217" s="52" customFormat="1" ht="12.75">
      <c r="A9" s="51">
        <v>43191</v>
      </c>
      <c r="C9" s="80">
        <v>0</v>
      </c>
      <c r="D9" s="80">
        <v>85050</v>
      </c>
      <c r="E9" s="77">
        <f t="shared" si="0"/>
        <v>85050</v>
      </c>
      <c r="F9" s="77">
        <v>61306</v>
      </c>
      <c r="G9" s="77">
        <v>25821</v>
      </c>
      <c r="H9" s="79"/>
      <c r="I9" s="79">
        <f>O9+U9+AA9+AG9+AM9+AS9+AY9+BE9+BK9+BQ9+BW9+CC9+CI9+CO9+CU9+DA9+DG9+DM9+DS9+DY9+EE9+EK9+EQ9+EW9+FC9+FI9+FO9+FU9+GA9+GG9+GM9+GS9+GY9</f>
        <v>0</v>
      </c>
      <c r="J9" s="79">
        <f t="shared" si="1"/>
        <v>46167.342795000004</v>
      </c>
      <c r="K9" s="79">
        <f t="shared" si="2"/>
        <v>46167.342795000004</v>
      </c>
      <c r="L9" s="79">
        <f t="shared" si="3"/>
        <v>33278.484625400015</v>
      </c>
      <c r="M9" s="79">
        <f t="shared" si="4"/>
        <v>14016.3075639</v>
      </c>
      <c r="N9" s="79"/>
      <c r="O9" s="78">
        <f aca="true" t="shared" si="137" ref="O9:O21">C9*6.61452/100</f>
        <v>0</v>
      </c>
      <c r="P9" s="78">
        <f t="shared" si="5"/>
        <v>5625.64926</v>
      </c>
      <c r="Q9" s="79">
        <f t="shared" si="6"/>
        <v>5625.64926</v>
      </c>
      <c r="R9" s="79">
        <f t="shared" si="7"/>
        <v>4055.0976312000003</v>
      </c>
      <c r="S9" s="77">
        <f t="shared" si="8"/>
        <v>1707.9352092000001</v>
      </c>
      <c r="T9" s="79"/>
      <c r="U9" s="78">
        <f aca="true" t="shared" si="138" ref="U9:U21">C9*0.11296/100</f>
        <v>0</v>
      </c>
      <c r="V9" s="78">
        <f t="shared" si="9"/>
        <v>96.07248</v>
      </c>
      <c r="W9" s="78">
        <f t="shared" si="10"/>
        <v>96.07248</v>
      </c>
      <c r="X9" s="79">
        <f t="shared" si="11"/>
        <v>69.25125759999999</v>
      </c>
      <c r="Y9" s="77">
        <f t="shared" si="12"/>
        <v>29.167401599999998</v>
      </c>
      <c r="Z9" s="79"/>
      <c r="AA9" s="79">
        <f aca="true" t="shared" si="139" ref="AA9:AA21">C9*0.50994/100</f>
        <v>0</v>
      </c>
      <c r="AB9" s="78">
        <f t="shared" si="13"/>
        <v>433.70396999999997</v>
      </c>
      <c r="AC9" s="78">
        <f t="shared" si="14"/>
        <v>433.70396999999997</v>
      </c>
      <c r="AD9" s="79">
        <f t="shared" si="15"/>
        <v>312.62381639999995</v>
      </c>
      <c r="AE9" s="77">
        <f t="shared" si="16"/>
        <v>131.6716074</v>
      </c>
      <c r="AF9" s="79"/>
      <c r="AG9" s="78">
        <f aca="true" t="shared" si="140" ref="AG9:AG21">C9*8.86797/100</f>
        <v>0</v>
      </c>
      <c r="AH9" s="78">
        <f t="shared" si="17"/>
        <v>7542.208484999999</v>
      </c>
      <c r="AI9" s="78">
        <f t="shared" si="18"/>
        <v>7542.208484999999</v>
      </c>
      <c r="AJ9" s="79">
        <f t="shared" si="19"/>
        <v>5436.5976882</v>
      </c>
      <c r="AK9" s="77">
        <f t="shared" si="20"/>
        <v>2289.7985337</v>
      </c>
      <c r="AL9" s="79"/>
      <c r="AM9" s="78">
        <f aca="true" t="shared" si="141" ref="AM9:AM21">C9*0.10742/100</f>
        <v>0</v>
      </c>
      <c r="AN9" s="78">
        <f t="shared" si="21"/>
        <v>91.36071</v>
      </c>
      <c r="AO9" s="78">
        <f t="shared" si="22"/>
        <v>91.36071</v>
      </c>
      <c r="AP9" s="79">
        <f t="shared" si="23"/>
        <v>65.8549052</v>
      </c>
      <c r="AQ9" s="77">
        <f t="shared" si="24"/>
        <v>27.736918199999998</v>
      </c>
      <c r="AR9" s="78"/>
      <c r="AS9" s="78">
        <f aca="true" t="shared" si="142" ref="AS9:AS21">C9*0.09059/100</f>
        <v>0</v>
      </c>
      <c r="AT9" s="78">
        <f t="shared" si="25"/>
        <v>77.046795</v>
      </c>
      <c r="AU9" s="78">
        <f t="shared" si="26"/>
        <v>77.046795</v>
      </c>
      <c r="AV9" s="79">
        <f t="shared" si="27"/>
        <v>55.537105399999994</v>
      </c>
      <c r="AW9" s="77">
        <f t="shared" si="28"/>
        <v>23.3912439</v>
      </c>
      <c r="AX9" s="79"/>
      <c r="AY9" s="78">
        <f aca="true" t="shared" si="143" ref="AY9:AY21">C9*3.71668/100</f>
        <v>0</v>
      </c>
      <c r="AZ9" s="78">
        <f t="shared" si="29"/>
        <v>3161.03634</v>
      </c>
      <c r="BA9" s="78">
        <f t="shared" si="30"/>
        <v>3161.03634</v>
      </c>
      <c r="BB9" s="79">
        <f t="shared" si="31"/>
        <v>2278.5478408</v>
      </c>
      <c r="BC9" s="77">
        <f t="shared" si="32"/>
        <v>959.6839428</v>
      </c>
      <c r="BD9" s="79"/>
      <c r="BE9" s="78">
        <f aca="true" t="shared" si="144" ref="BE9:BE21">C9*7.62623/100</f>
        <v>0</v>
      </c>
      <c r="BF9" s="78">
        <f t="shared" si="33"/>
        <v>6486.108615</v>
      </c>
      <c r="BG9" s="78">
        <f t="shared" si="34"/>
        <v>6486.108615</v>
      </c>
      <c r="BH9" s="79">
        <f t="shared" si="35"/>
        <v>4675.3365638000005</v>
      </c>
      <c r="BI9" s="77">
        <f t="shared" si="36"/>
        <v>1969.1688483</v>
      </c>
      <c r="BJ9" s="79"/>
      <c r="BK9" s="78">
        <f aca="true" t="shared" si="145" ref="BK9:BK21">C9*0.08804/100</f>
        <v>0</v>
      </c>
      <c r="BL9" s="78">
        <f t="shared" si="37"/>
        <v>74.87801999999999</v>
      </c>
      <c r="BM9" s="78">
        <f t="shared" si="38"/>
        <v>74.87801999999999</v>
      </c>
      <c r="BN9" s="79">
        <f t="shared" si="39"/>
        <v>53.973802400000004</v>
      </c>
      <c r="BO9" s="77">
        <f t="shared" si="40"/>
        <v>22.7328084</v>
      </c>
      <c r="BP9" s="79"/>
      <c r="BQ9" s="78">
        <f aca="true" t="shared" si="146" ref="BQ9:BQ21">C9*0.05914/100</f>
        <v>0</v>
      </c>
      <c r="BR9" s="78">
        <f t="shared" si="41"/>
        <v>50.29857</v>
      </c>
      <c r="BS9" s="78">
        <f t="shared" si="42"/>
        <v>50.29857</v>
      </c>
      <c r="BT9" s="79">
        <f t="shared" si="43"/>
        <v>36.2563684</v>
      </c>
      <c r="BU9" s="77">
        <f t="shared" si="44"/>
        <v>15.270539399999999</v>
      </c>
      <c r="BV9" s="79"/>
      <c r="BW9" s="78">
        <f aca="true" t="shared" si="147" ref="BW9:BW21">C9*-0.00881/100</f>
        <v>0</v>
      </c>
      <c r="BX9" s="78">
        <f t="shared" si="45"/>
        <v>-7.492905</v>
      </c>
      <c r="BY9" s="78">
        <f t="shared" si="46"/>
        <v>-7.492905</v>
      </c>
      <c r="BZ9" s="79">
        <f t="shared" si="47"/>
        <v>-5.4010586</v>
      </c>
      <c r="CA9" s="77">
        <f t="shared" si="48"/>
        <v>-2.2748301</v>
      </c>
      <c r="CB9" s="78"/>
      <c r="CC9" s="78">
        <f aca="true" t="shared" si="148" ref="CC9:CC21">C9*-0.00574/100</f>
        <v>0</v>
      </c>
      <c r="CD9" s="78">
        <f t="shared" si="49"/>
        <v>-4.88187</v>
      </c>
      <c r="CE9" s="78">
        <f t="shared" si="50"/>
        <v>-4.88187</v>
      </c>
      <c r="CF9" s="79">
        <f t="shared" si="51"/>
        <v>-3.5189643999999998</v>
      </c>
      <c r="CG9" s="77">
        <f t="shared" si="52"/>
        <v>-1.4821254</v>
      </c>
      <c r="CH9" s="79"/>
      <c r="CI9" s="78">
        <f aca="true" t="shared" si="149" ref="CI9:CI21">C9*0.21346/100</f>
        <v>0</v>
      </c>
      <c r="CJ9" s="78">
        <f t="shared" si="53"/>
        <v>181.54773</v>
      </c>
      <c r="CK9" s="78">
        <f t="shared" si="54"/>
        <v>181.54773</v>
      </c>
      <c r="CL9" s="79">
        <f t="shared" si="55"/>
        <v>130.8637876</v>
      </c>
      <c r="CM9" s="77">
        <f t="shared" si="56"/>
        <v>55.1175066</v>
      </c>
      <c r="CN9" s="79"/>
      <c r="CO9" s="78">
        <f aca="true" t="shared" si="150" ref="CO9:CO21">C9*1.3127/100</f>
        <v>0</v>
      </c>
      <c r="CP9" s="78">
        <f t="shared" si="57"/>
        <v>1116.45135</v>
      </c>
      <c r="CQ9" s="78">
        <f t="shared" si="58"/>
        <v>1116.45135</v>
      </c>
      <c r="CR9" s="79">
        <f t="shared" si="59"/>
        <v>804.763862</v>
      </c>
      <c r="CS9" s="77">
        <f t="shared" si="60"/>
        <v>338.952267</v>
      </c>
      <c r="CT9" s="79"/>
      <c r="CU9" s="78">
        <f aca="true" t="shared" si="151" ref="CU9:CU21">C9*8.81851/100</f>
        <v>0</v>
      </c>
      <c r="CV9" s="78">
        <f t="shared" si="61"/>
        <v>7500.142755</v>
      </c>
      <c r="CW9" s="78">
        <f t="shared" si="62"/>
        <v>7500.142755</v>
      </c>
      <c r="CX9" s="79">
        <f t="shared" si="63"/>
        <v>5406.2757406</v>
      </c>
      <c r="CY9" s="77">
        <f t="shared" si="64"/>
        <v>2277.0274671</v>
      </c>
      <c r="CZ9" s="79"/>
      <c r="DA9" s="78">
        <f aca="true" t="shared" si="152" ref="DA9:DA21">C9*1.27232/100</f>
        <v>0</v>
      </c>
      <c r="DB9" s="78">
        <f t="shared" si="65"/>
        <v>1082.10816</v>
      </c>
      <c r="DC9" s="78">
        <f t="shared" si="66"/>
        <v>1082.10816</v>
      </c>
      <c r="DD9" s="79">
        <f t="shared" si="67"/>
        <v>780.0084992000001</v>
      </c>
      <c r="DE9" s="77">
        <f t="shared" si="68"/>
        <v>328.5257472</v>
      </c>
      <c r="DF9" s="79"/>
      <c r="DG9" s="78">
        <f aca="true" t="shared" si="153" ref="DG9:DG21">C9*2.59972/100</f>
        <v>0</v>
      </c>
      <c r="DH9" s="78">
        <f t="shared" si="69"/>
        <v>2211.0618600000003</v>
      </c>
      <c r="DI9" s="78">
        <f t="shared" si="70"/>
        <v>2211.0618600000003</v>
      </c>
      <c r="DJ9" s="79">
        <f t="shared" si="71"/>
        <v>1593.7843432000002</v>
      </c>
      <c r="DK9" s="77">
        <f t="shared" si="72"/>
        <v>671.2737012</v>
      </c>
      <c r="DL9" s="79"/>
      <c r="DM9" s="78">
        <f aca="true" t="shared" si="154" ref="DM9:DM21">C9*0.42162/100</f>
        <v>0</v>
      </c>
      <c r="DN9" s="78">
        <f t="shared" si="73"/>
        <v>358.58781000000005</v>
      </c>
      <c r="DO9" s="78">
        <f t="shared" si="74"/>
        <v>358.58781000000005</v>
      </c>
      <c r="DP9" s="79">
        <f t="shared" si="75"/>
        <v>258.4783572</v>
      </c>
      <c r="DQ9" s="77">
        <f t="shared" si="76"/>
        <v>108.86650019999999</v>
      </c>
      <c r="DR9" s="79"/>
      <c r="DS9" s="78">
        <f aca="true" t="shared" si="155" ref="DS9:DS21">C9*2.16282/100</f>
        <v>0</v>
      </c>
      <c r="DT9" s="78">
        <f t="shared" si="77"/>
        <v>1839.47841</v>
      </c>
      <c r="DU9" s="78">
        <f t="shared" si="78"/>
        <v>1839.47841</v>
      </c>
      <c r="DV9" s="79">
        <f t="shared" si="79"/>
        <v>1325.9384292</v>
      </c>
      <c r="DW9" s="77">
        <f t="shared" si="80"/>
        <v>558.4617522</v>
      </c>
      <c r="DX9" s="79"/>
      <c r="DY9" s="78">
        <f aca="true" t="shared" si="156" ref="DY9:DY21">C9*0.01933/100</f>
        <v>0</v>
      </c>
      <c r="DZ9" s="78">
        <f t="shared" si="81"/>
        <v>16.440165</v>
      </c>
      <c r="EA9" s="78">
        <f t="shared" si="82"/>
        <v>16.440165</v>
      </c>
      <c r="EB9" s="79">
        <f t="shared" si="83"/>
        <v>11.8504498</v>
      </c>
      <c r="EC9" s="77">
        <f t="shared" si="84"/>
        <v>4.9911993</v>
      </c>
      <c r="ED9" s="79"/>
      <c r="EE9" s="78">
        <f aca="true" t="shared" si="157" ref="EE9:EE21">C9*0.02544/100</f>
        <v>0</v>
      </c>
      <c r="EF9" s="78">
        <f t="shared" si="85"/>
        <v>21.63672</v>
      </c>
      <c r="EG9" s="78">
        <f t="shared" si="86"/>
        <v>21.63672</v>
      </c>
      <c r="EH9" s="79">
        <f t="shared" si="87"/>
        <v>15.5962464</v>
      </c>
      <c r="EI9" s="77">
        <f t="shared" si="88"/>
        <v>6.5688624</v>
      </c>
      <c r="EJ9" s="79"/>
      <c r="EK9" s="78">
        <f aca="true" t="shared" si="158" ref="EK9:EK21">C9*1.28187/100</f>
        <v>0</v>
      </c>
      <c r="EL9" s="78">
        <f t="shared" si="89"/>
        <v>1090.230435</v>
      </c>
      <c r="EM9" s="78">
        <f t="shared" si="90"/>
        <v>1090.230435</v>
      </c>
      <c r="EN9" s="79">
        <f t="shared" si="91"/>
        <v>785.8632222</v>
      </c>
      <c r="EO9" s="77">
        <f t="shared" si="92"/>
        <v>330.99165270000003</v>
      </c>
      <c r="EP9" s="79"/>
      <c r="EQ9" s="78">
        <f aca="true" t="shared" si="159" ref="EQ9:EQ21">C9*0.0244/100</f>
        <v>0</v>
      </c>
      <c r="ER9" s="78">
        <f t="shared" si="93"/>
        <v>20.752200000000002</v>
      </c>
      <c r="ES9" s="78">
        <f t="shared" si="94"/>
        <v>20.752200000000002</v>
      </c>
      <c r="ET9" s="79">
        <f t="shared" si="95"/>
        <v>14.958663999999999</v>
      </c>
      <c r="EU9" s="77">
        <f t="shared" si="96"/>
        <v>6.300324</v>
      </c>
      <c r="EV9" s="79"/>
      <c r="EW9" s="78">
        <f aca="true" t="shared" si="160" ref="EW9:EW21">C9*0.36459/100</f>
        <v>0</v>
      </c>
      <c r="EX9" s="78">
        <f t="shared" si="97"/>
        <v>310.083795</v>
      </c>
      <c r="EY9" s="78">
        <f t="shared" si="98"/>
        <v>310.083795</v>
      </c>
      <c r="EZ9" s="79">
        <f t="shared" si="99"/>
        <v>223.5155454</v>
      </c>
      <c r="FA9" s="77">
        <f t="shared" si="100"/>
        <v>94.1407839</v>
      </c>
      <c r="FB9" s="79"/>
      <c r="FC9" s="78">
        <f aca="true" t="shared" si="161" ref="FC9:FC21">C9*0.25327/100</f>
        <v>0</v>
      </c>
      <c r="FD9" s="78">
        <f t="shared" si="101"/>
        <v>215.406135</v>
      </c>
      <c r="FE9" s="78">
        <f t="shared" si="102"/>
        <v>215.406135</v>
      </c>
      <c r="FF9" s="79">
        <f t="shared" si="103"/>
        <v>155.2697062</v>
      </c>
      <c r="FG9" s="77">
        <f t="shared" si="104"/>
        <v>65.3968467</v>
      </c>
      <c r="FH9" s="79"/>
      <c r="FI9" s="78">
        <f aca="true" t="shared" si="162" ref="FI9:FI21">C9*0.09887/100</f>
        <v>0</v>
      </c>
      <c r="FJ9" s="78">
        <f t="shared" si="105"/>
        <v>84.088935</v>
      </c>
      <c r="FK9" s="78">
        <f t="shared" si="106"/>
        <v>84.088935</v>
      </c>
      <c r="FL9" s="79">
        <f t="shared" si="107"/>
        <v>60.613242199999995</v>
      </c>
      <c r="FM9" s="77">
        <f t="shared" si="108"/>
        <v>25.5292227</v>
      </c>
      <c r="FN9" s="79"/>
      <c r="FO9" s="78">
        <f aca="true" t="shared" si="163" ref="FO9:FO21">C9*1.11111/100</f>
        <v>0</v>
      </c>
      <c r="FP9" s="78">
        <f t="shared" si="109"/>
        <v>944.9990550000001</v>
      </c>
      <c r="FQ9" s="78">
        <f t="shared" si="110"/>
        <v>944.9990550000001</v>
      </c>
      <c r="FR9" s="79">
        <f t="shared" si="111"/>
        <v>681.1770966</v>
      </c>
      <c r="FS9" s="77">
        <f t="shared" si="112"/>
        <v>286.8997131</v>
      </c>
      <c r="FT9" s="79"/>
      <c r="FU9" s="78">
        <f aca="true" t="shared" si="164" ref="FU9:FU21">C9*2.50422/100</f>
        <v>0</v>
      </c>
      <c r="FV9" s="78">
        <f t="shared" si="113"/>
        <v>2129.8391100000003</v>
      </c>
      <c r="FW9" s="78">
        <f t="shared" si="114"/>
        <v>2129.8391100000003</v>
      </c>
      <c r="FX9" s="79">
        <f t="shared" si="115"/>
        <v>1535.2371132</v>
      </c>
      <c r="FY9" s="77">
        <f t="shared" si="116"/>
        <v>646.6146462</v>
      </c>
      <c r="FZ9" s="79"/>
      <c r="GA9" s="78">
        <f aca="true" t="shared" si="165" ref="GA9:GA21">C9*0.31957/100</f>
        <v>0</v>
      </c>
      <c r="GB9" s="78">
        <f t="shared" si="117"/>
        <v>271.794285</v>
      </c>
      <c r="GC9" s="78">
        <f t="shared" si="118"/>
        <v>271.794285</v>
      </c>
      <c r="GD9" s="79">
        <f t="shared" si="119"/>
        <v>195.9155842</v>
      </c>
      <c r="GE9" s="77">
        <f t="shared" si="120"/>
        <v>82.5161697</v>
      </c>
      <c r="GF9" s="79"/>
      <c r="GG9" s="78">
        <f aca="true" t="shared" si="166" ref="GG9:GG21">C9*0.50748/100</f>
        <v>0</v>
      </c>
      <c r="GH9" s="78">
        <f t="shared" si="121"/>
        <v>431.61174000000005</v>
      </c>
      <c r="GI9" s="78">
        <f t="shared" si="122"/>
        <v>431.61174000000005</v>
      </c>
      <c r="GJ9" s="79">
        <f t="shared" si="123"/>
        <v>311.1156888</v>
      </c>
      <c r="GK9" s="77">
        <f t="shared" si="124"/>
        <v>131.0364108</v>
      </c>
      <c r="GL9" s="79"/>
      <c r="GM9" s="78">
        <f aca="true" t="shared" si="167" ref="GM9:GM21">C9*2.35189/100</f>
        <v>0</v>
      </c>
      <c r="GN9" s="78">
        <f t="shared" si="125"/>
        <v>2000.282445</v>
      </c>
      <c r="GO9" s="78">
        <f t="shared" si="126"/>
        <v>2000.282445</v>
      </c>
      <c r="GP9" s="79">
        <f t="shared" si="127"/>
        <v>1441.8496834</v>
      </c>
      <c r="GQ9" s="77">
        <f t="shared" si="128"/>
        <v>607.2815168999999</v>
      </c>
      <c r="GR9" s="79"/>
      <c r="GS9" s="78">
        <f aca="true" t="shared" si="168" ref="GS9:GS21">C9*0.12482/100</f>
        <v>0</v>
      </c>
      <c r="GT9" s="78">
        <f t="shared" si="129"/>
        <v>106.15941000000001</v>
      </c>
      <c r="GU9" s="78">
        <f t="shared" si="130"/>
        <v>106.15941000000001</v>
      </c>
      <c r="GV9" s="79">
        <f t="shared" si="131"/>
        <v>76.5221492</v>
      </c>
      <c r="GW9" s="77">
        <f t="shared" si="132"/>
        <v>32.2297722</v>
      </c>
      <c r="GX9" s="79"/>
      <c r="GY9" s="78">
        <f aca="true" t="shared" si="169" ref="GY9:GY21">C9*0.71564/100</f>
        <v>0</v>
      </c>
      <c r="GZ9" s="78">
        <f t="shared" si="133"/>
        <v>608.65182</v>
      </c>
      <c r="HA9" s="78">
        <f t="shared" si="134"/>
        <v>608.65182</v>
      </c>
      <c r="HB9" s="79">
        <f t="shared" si="135"/>
        <v>438.7302584</v>
      </c>
      <c r="HC9" s="77">
        <f t="shared" si="136"/>
        <v>184.7854044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43374</v>
      </c>
      <c r="C10" s="80"/>
      <c r="D10" s="80">
        <v>85050</v>
      </c>
      <c r="E10" s="77">
        <f t="shared" si="0"/>
        <v>85050</v>
      </c>
      <c r="F10" s="77">
        <v>61306</v>
      </c>
      <c r="G10" s="77">
        <v>25821</v>
      </c>
      <c r="H10" s="79"/>
      <c r="I10" s="79"/>
      <c r="J10" s="79">
        <f t="shared" si="1"/>
        <v>46167.342795000004</v>
      </c>
      <c r="K10" s="79">
        <f t="shared" si="2"/>
        <v>46167.342795000004</v>
      </c>
      <c r="L10" s="79">
        <f t="shared" si="3"/>
        <v>33278.484625400015</v>
      </c>
      <c r="M10" s="79">
        <f t="shared" si="4"/>
        <v>14016.3075639</v>
      </c>
      <c r="N10" s="79"/>
      <c r="O10" s="78"/>
      <c r="P10" s="78">
        <f t="shared" si="5"/>
        <v>5625.64926</v>
      </c>
      <c r="Q10" s="79">
        <f t="shared" si="6"/>
        <v>5625.64926</v>
      </c>
      <c r="R10" s="79">
        <f t="shared" si="7"/>
        <v>4055.0976312000003</v>
      </c>
      <c r="S10" s="77">
        <f t="shared" si="8"/>
        <v>1707.9352092000001</v>
      </c>
      <c r="T10" s="79"/>
      <c r="U10" s="78"/>
      <c r="V10" s="78">
        <f t="shared" si="9"/>
        <v>96.07248</v>
      </c>
      <c r="W10" s="78">
        <f t="shared" si="10"/>
        <v>96.07248</v>
      </c>
      <c r="X10" s="79">
        <f t="shared" si="11"/>
        <v>69.25125759999999</v>
      </c>
      <c r="Y10" s="77">
        <f t="shared" si="12"/>
        <v>29.167401599999998</v>
      </c>
      <c r="Z10" s="79"/>
      <c r="AA10" s="79"/>
      <c r="AB10" s="78">
        <f t="shared" si="13"/>
        <v>433.70396999999997</v>
      </c>
      <c r="AC10" s="78">
        <f t="shared" si="14"/>
        <v>433.70396999999997</v>
      </c>
      <c r="AD10" s="79">
        <f t="shared" si="15"/>
        <v>312.62381639999995</v>
      </c>
      <c r="AE10" s="77">
        <f t="shared" si="16"/>
        <v>131.6716074</v>
      </c>
      <c r="AF10" s="79"/>
      <c r="AG10" s="78"/>
      <c r="AH10" s="78">
        <f t="shared" si="17"/>
        <v>7542.208484999999</v>
      </c>
      <c r="AI10" s="78">
        <f t="shared" si="18"/>
        <v>7542.208484999999</v>
      </c>
      <c r="AJ10" s="79">
        <f t="shared" si="19"/>
        <v>5436.5976882</v>
      </c>
      <c r="AK10" s="77">
        <f t="shared" si="20"/>
        <v>2289.7985337</v>
      </c>
      <c r="AL10" s="79"/>
      <c r="AM10" s="78"/>
      <c r="AN10" s="78">
        <f t="shared" si="21"/>
        <v>91.36071</v>
      </c>
      <c r="AO10" s="78">
        <f t="shared" si="22"/>
        <v>91.36071</v>
      </c>
      <c r="AP10" s="79">
        <f t="shared" si="23"/>
        <v>65.8549052</v>
      </c>
      <c r="AQ10" s="77">
        <f t="shared" si="24"/>
        <v>27.736918199999998</v>
      </c>
      <c r="AR10" s="78"/>
      <c r="AS10" s="78"/>
      <c r="AT10" s="78">
        <f t="shared" si="25"/>
        <v>77.046795</v>
      </c>
      <c r="AU10" s="78">
        <f t="shared" si="26"/>
        <v>77.046795</v>
      </c>
      <c r="AV10" s="79">
        <f t="shared" si="27"/>
        <v>55.537105399999994</v>
      </c>
      <c r="AW10" s="77">
        <f t="shared" si="28"/>
        <v>23.3912439</v>
      </c>
      <c r="AX10" s="79"/>
      <c r="AY10" s="78"/>
      <c r="AZ10" s="78">
        <f t="shared" si="29"/>
        <v>3161.03634</v>
      </c>
      <c r="BA10" s="78">
        <f t="shared" si="30"/>
        <v>3161.03634</v>
      </c>
      <c r="BB10" s="79">
        <f t="shared" si="31"/>
        <v>2278.5478408</v>
      </c>
      <c r="BC10" s="77">
        <f t="shared" si="32"/>
        <v>959.6839428</v>
      </c>
      <c r="BD10" s="79"/>
      <c r="BE10" s="78"/>
      <c r="BF10" s="78">
        <f t="shared" si="33"/>
        <v>6486.108615</v>
      </c>
      <c r="BG10" s="78">
        <f t="shared" si="34"/>
        <v>6486.108615</v>
      </c>
      <c r="BH10" s="79">
        <f t="shared" si="35"/>
        <v>4675.3365638000005</v>
      </c>
      <c r="BI10" s="77">
        <f t="shared" si="36"/>
        <v>1969.1688483</v>
      </c>
      <c r="BJ10" s="79"/>
      <c r="BK10" s="78"/>
      <c r="BL10" s="78">
        <f t="shared" si="37"/>
        <v>74.87801999999999</v>
      </c>
      <c r="BM10" s="78">
        <f t="shared" si="38"/>
        <v>74.87801999999999</v>
      </c>
      <c r="BN10" s="79">
        <f t="shared" si="39"/>
        <v>53.973802400000004</v>
      </c>
      <c r="BO10" s="77">
        <f t="shared" si="40"/>
        <v>22.7328084</v>
      </c>
      <c r="BP10" s="79"/>
      <c r="BQ10" s="78"/>
      <c r="BR10" s="78">
        <f t="shared" si="41"/>
        <v>50.29857</v>
      </c>
      <c r="BS10" s="78">
        <f t="shared" si="42"/>
        <v>50.29857</v>
      </c>
      <c r="BT10" s="79">
        <f t="shared" si="43"/>
        <v>36.2563684</v>
      </c>
      <c r="BU10" s="77">
        <f t="shared" si="44"/>
        <v>15.270539399999999</v>
      </c>
      <c r="BV10" s="79"/>
      <c r="BW10" s="78"/>
      <c r="BX10" s="78">
        <f t="shared" si="45"/>
        <v>-7.492905</v>
      </c>
      <c r="BY10" s="78">
        <f t="shared" si="46"/>
        <v>-7.492905</v>
      </c>
      <c r="BZ10" s="79">
        <f t="shared" si="47"/>
        <v>-5.4010586</v>
      </c>
      <c r="CA10" s="77">
        <f t="shared" si="48"/>
        <v>-2.2748301</v>
      </c>
      <c r="CB10" s="78"/>
      <c r="CC10" s="78"/>
      <c r="CD10" s="78">
        <f t="shared" si="49"/>
        <v>-4.88187</v>
      </c>
      <c r="CE10" s="78">
        <f t="shared" si="50"/>
        <v>-4.88187</v>
      </c>
      <c r="CF10" s="79">
        <f t="shared" si="51"/>
        <v>-3.5189643999999998</v>
      </c>
      <c r="CG10" s="77">
        <f t="shared" si="52"/>
        <v>-1.4821254</v>
      </c>
      <c r="CH10" s="79"/>
      <c r="CI10" s="78"/>
      <c r="CJ10" s="78">
        <f t="shared" si="53"/>
        <v>181.54773</v>
      </c>
      <c r="CK10" s="78">
        <f t="shared" si="54"/>
        <v>181.54773</v>
      </c>
      <c r="CL10" s="79">
        <f t="shared" si="55"/>
        <v>130.8637876</v>
      </c>
      <c r="CM10" s="77">
        <f t="shared" si="56"/>
        <v>55.1175066</v>
      </c>
      <c r="CN10" s="79"/>
      <c r="CO10" s="78"/>
      <c r="CP10" s="78">
        <f t="shared" si="57"/>
        <v>1116.45135</v>
      </c>
      <c r="CQ10" s="78">
        <f t="shared" si="58"/>
        <v>1116.45135</v>
      </c>
      <c r="CR10" s="79">
        <f t="shared" si="59"/>
        <v>804.763862</v>
      </c>
      <c r="CS10" s="77">
        <f t="shared" si="60"/>
        <v>338.952267</v>
      </c>
      <c r="CT10" s="79"/>
      <c r="CU10" s="78"/>
      <c r="CV10" s="78">
        <f t="shared" si="61"/>
        <v>7500.142755</v>
      </c>
      <c r="CW10" s="78">
        <f t="shared" si="62"/>
        <v>7500.142755</v>
      </c>
      <c r="CX10" s="79">
        <f t="shared" si="63"/>
        <v>5406.2757406</v>
      </c>
      <c r="CY10" s="77">
        <f t="shared" si="64"/>
        <v>2277.0274671</v>
      </c>
      <c r="CZ10" s="79"/>
      <c r="DA10" s="78"/>
      <c r="DB10" s="78">
        <f t="shared" si="65"/>
        <v>1082.10816</v>
      </c>
      <c r="DC10" s="78">
        <f t="shared" si="66"/>
        <v>1082.10816</v>
      </c>
      <c r="DD10" s="79">
        <f t="shared" si="67"/>
        <v>780.0084992000001</v>
      </c>
      <c r="DE10" s="77">
        <f t="shared" si="68"/>
        <v>328.5257472</v>
      </c>
      <c r="DF10" s="79"/>
      <c r="DG10" s="78"/>
      <c r="DH10" s="78">
        <f t="shared" si="69"/>
        <v>2211.0618600000003</v>
      </c>
      <c r="DI10" s="78">
        <f t="shared" si="70"/>
        <v>2211.0618600000003</v>
      </c>
      <c r="DJ10" s="79">
        <f t="shared" si="71"/>
        <v>1593.7843432000002</v>
      </c>
      <c r="DK10" s="77">
        <f t="shared" si="72"/>
        <v>671.2737012</v>
      </c>
      <c r="DL10" s="79"/>
      <c r="DM10" s="78"/>
      <c r="DN10" s="78">
        <f t="shared" si="73"/>
        <v>358.58781000000005</v>
      </c>
      <c r="DO10" s="78">
        <f t="shared" si="74"/>
        <v>358.58781000000005</v>
      </c>
      <c r="DP10" s="79">
        <f t="shared" si="75"/>
        <v>258.4783572</v>
      </c>
      <c r="DQ10" s="77">
        <f t="shared" si="76"/>
        <v>108.86650019999999</v>
      </c>
      <c r="DR10" s="79"/>
      <c r="DS10" s="78"/>
      <c r="DT10" s="78">
        <f t="shared" si="77"/>
        <v>1839.47841</v>
      </c>
      <c r="DU10" s="78">
        <f t="shared" si="78"/>
        <v>1839.47841</v>
      </c>
      <c r="DV10" s="79">
        <f t="shared" si="79"/>
        <v>1325.9384292</v>
      </c>
      <c r="DW10" s="77">
        <f t="shared" si="80"/>
        <v>558.4617522</v>
      </c>
      <c r="DX10" s="79"/>
      <c r="DY10" s="78"/>
      <c r="DZ10" s="78">
        <f t="shared" si="81"/>
        <v>16.440165</v>
      </c>
      <c r="EA10" s="78">
        <f t="shared" si="82"/>
        <v>16.440165</v>
      </c>
      <c r="EB10" s="79">
        <f t="shared" si="83"/>
        <v>11.8504498</v>
      </c>
      <c r="EC10" s="77">
        <f t="shared" si="84"/>
        <v>4.9911993</v>
      </c>
      <c r="ED10" s="79"/>
      <c r="EE10" s="78"/>
      <c r="EF10" s="78">
        <f t="shared" si="85"/>
        <v>21.63672</v>
      </c>
      <c r="EG10" s="78">
        <f t="shared" si="86"/>
        <v>21.63672</v>
      </c>
      <c r="EH10" s="79">
        <f t="shared" si="87"/>
        <v>15.5962464</v>
      </c>
      <c r="EI10" s="77">
        <f t="shared" si="88"/>
        <v>6.5688624</v>
      </c>
      <c r="EJ10" s="79"/>
      <c r="EK10" s="78"/>
      <c r="EL10" s="78">
        <f t="shared" si="89"/>
        <v>1090.230435</v>
      </c>
      <c r="EM10" s="78">
        <f t="shared" si="90"/>
        <v>1090.230435</v>
      </c>
      <c r="EN10" s="79">
        <f t="shared" si="91"/>
        <v>785.8632222</v>
      </c>
      <c r="EO10" s="77">
        <f t="shared" si="92"/>
        <v>330.99165270000003</v>
      </c>
      <c r="EP10" s="79"/>
      <c r="EQ10" s="78"/>
      <c r="ER10" s="78">
        <f t="shared" si="93"/>
        <v>20.752200000000002</v>
      </c>
      <c r="ES10" s="78">
        <f t="shared" si="94"/>
        <v>20.752200000000002</v>
      </c>
      <c r="ET10" s="79">
        <f t="shared" si="95"/>
        <v>14.958663999999999</v>
      </c>
      <c r="EU10" s="77">
        <f t="shared" si="96"/>
        <v>6.300324</v>
      </c>
      <c r="EV10" s="79"/>
      <c r="EW10" s="78"/>
      <c r="EX10" s="78">
        <f t="shared" si="97"/>
        <v>310.083795</v>
      </c>
      <c r="EY10" s="78">
        <f t="shared" si="98"/>
        <v>310.083795</v>
      </c>
      <c r="EZ10" s="79">
        <f t="shared" si="99"/>
        <v>223.5155454</v>
      </c>
      <c r="FA10" s="77">
        <f t="shared" si="100"/>
        <v>94.1407839</v>
      </c>
      <c r="FB10" s="79"/>
      <c r="FC10" s="78"/>
      <c r="FD10" s="78">
        <f t="shared" si="101"/>
        <v>215.406135</v>
      </c>
      <c r="FE10" s="78">
        <f t="shared" si="102"/>
        <v>215.406135</v>
      </c>
      <c r="FF10" s="79">
        <f t="shared" si="103"/>
        <v>155.2697062</v>
      </c>
      <c r="FG10" s="77">
        <f t="shared" si="104"/>
        <v>65.3968467</v>
      </c>
      <c r="FH10" s="79"/>
      <c r="FI10" s="78"/>
      <c r="FJ10" s="78">
        <f t="shared" si="105"/>
        <v>84.088935</v>
      </c>
      <c r="FK10" s="78">
        <f t="shared" si="106"/>
        <v>84.088935</v>
      </c>
      <c r="FL10" s="79">
        <f t="shared" si="107"/>
        <v>60.613242199999995</v>
      </c>
      <c r="FM10" s="77">
        <f t="shared" si="108"/>
        <v>25.5292227</v>
      </c>
      <c r="FN10" s="79"/>
      <c r="FO10" s="78"/>
      <c r="FP10" s="78">
        <f t="shared" si="109"/>
        <v>944.9990550000001</v>
      </c>
      <c r="FQ10" s="78">
        <f t="shared" si="110"/>
        <v>944.9990550000001</v>
      </c>
      <c r="FR10" s="79">
        <f t="shared" si="111"/>
        <v>681.1770966</v>
      </c>
      <c r="FS10" s="77">
        <f t="shared" si="112"/>
        <v>286.8997131</v>
      </c>
      <c r="FT10" s="79"/>
      <c r="FU10" s="78"/>
      <c r="FV10" s="78">
        <f t="shared" si="113"/>
        <v>2129.8391100000003</v>
      </c>
      <c r="FW10" s="78">
        <f t="shared" si="114"/>
        <v>2129.8391100000003</v>
      </c>
      <c r="FX10" s="79">
        <f t="shared" si="115"/>
        <v>1535.2371132</v>
      </c>
      <c r="FY10" s="77">
        <f t="shared" si="116"/>
        <v>646.6146462</v>
      </c>
      <c r="FZ10" s="79"/>
      <c r="GA10" s="78"/>
      <c r="GB10" s="78">
        <f t="shared" si="117"/>
        <v>271.794285</v>
      </c>
      <c r="GC10" s="78">
        <f t="shared" si="118"/>
        <v>271.794285</v>
      </c>
      <c r="GD10" s="79">
        <f t="shared" si="119"/>
        <v>195.9155842</v>
      </c>
      <c r="GE10" s="77">
        <f t="shared" si="120"/>
        <v>82.5161697</v>
      </c>
      <c r="GF10" s="79"/>
      <c r="GG10" s="78"/>
      <c r="GH10" s="78">
        <f t="shared" si="121"/>
        <v>431.61174000000005</v>
      </c>
      <c r="GI10" s="78">
        <f t="shared" si="122"/>
        <v>431.61174000000005</v>
      </c>
      <c r="GJ10" s="79">
        <f t="shared" si="123"/>
        <v>311.1156888</v>
      </c>
      <c r="GK10" s="77">
        <f t="shared" si="124"/>
        <v>131.0364108</v>
      </c>
      <c r="GL10" s="79"/>
      <c r="GM10" s="78"/>
      <c r="GN10" s="78">
        <f t="shared" si="125"/>
        <v>2000.282445</v>
      </c>
      <c r="GO10" s="78">
        <f t="shared" si="126"/>
        <v>2000.282445</v>
      </c>
      <c r="GP10" s="79">
        <f t="shared" si="127"/>
        <v>1441.8496834</v>
      </c>
      <c r="GQ10" s="77">
        <f t="shared" si="128"/>
        <v>607.2815168999999</v>
      </c>
      <c r="GR10" s="79"/>
      <c r="GS10" s="78"/>
      <c r="GT10" s="78">
        <f t="shared" si="129"/>
        <v>106.15941000000001</v>
      </c>
      <c r="GU10" s="78">
        <f t="shared" si="130"/>
        <v>106.15941000000001</v>
      </c>
      <c r="GV10" s="79">
        <f t="shared" si="131"/>
        <v>76.5221492</v>
      </c>
      <c r="GW10" s="77">
        <f t="shared" si="132"/>
        <v>32.2297722</v>
      </c>
      <c r="GX10" s="79"/>
      <c r="GY10" s="78"/>
      <c r="GZ10" s="78">
        <f t="shared" si="133"/>
        <v>608.65182</v>
      </c>
      <c r="HA10" s="78">
        <f t="shared" si="134"/>
        <v>608.65182</v>
      </c>
      <c r="HB10" s="79">
        <f t="shared" si="135"/>
        <v>438.7302584</v>
      </c>
      <c r="HC10" s="77">
        <f t="shared" si="136"/>
        <v>184.7854044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43556</v>
      </c>
      <c r="C11" s="80">
        <v>5670000</v>
      </c>
      <c r="D11" s="80">
        <v>85050</v>
      </c>
      <c r="E11" s="77">
        <f t="shared" si="0"/>
        <v>5755050</v>
      </c>
      <c r="F11" s="77">
        <v>61297</v>
      </c>
      <c r="G11" s="77">
        <v>25813</v>
      </c>
      <c r="H11" s="79"/>
      <c r="I11" s="79">
        <f>O11+U11+AA11+AG11+AM11+AS11+AY11+BE11+BK11+BQ11+BW11+CC11+CI11+CO11+CU11+DA11+DG11+DM11+DS11+DY11+EE11+EK11+EQ11+EW11+FC11+FI11+FO11+FU11+GA11+GG11+GM11+GS11+GY11</f>
        <v>3077822.8529999997</v>
      </c>
      <c r="J11" s="79">
        <f t="shared" si="1"/>
        <v>46167.342795000004</v>
      </c>
      <c r="K11" s="79">
        <f t="shared" si="2"/>
        <v>3123990.1957949996</v>
      </c>
      <c r="L11" s="79">
        <f t="shared" si="3"/>
        <v>33273.5991923</v>
      </c>
      <c r="M11" s="79">
        <f t="shared" si="4"/>
        <v>14011.964956700001</v>
      </c>
      <c r="N11" s="79"/>
      <c r="O11" s="78">
        <f t="shared" si="137"/>
        <v>375043.284</v>
      </c>
      <c r="P11" s="78">
        <f t="shared" si="5"/>
        <v>5625.64926</v>
      </c>
      <c r="Q11" s="79">
        <f t="shared" si="6"/>
        <v>380668.93325999996</v>
      </c>
      <c r="R11" s="79">
        <f t="shared" si="7"/>
        <v>4054.5023244</v>
      </c>
      <c r="S11" s="77">
        <f t="shared" si="8"/>
        <v>1707.4060476</v>
      </c>
      <c r="T11" s="79"/>
      <c r="U11" s="78">
        <f t="shared" si="138"/>
        <v>6404.832</v>
      </c>
      <c r="V11" s="78">
        <f t="shared" si="9"/>
        <v>96.07248</v>
      </c>
      <c r="W11" s="78">
        <f t="shared" si="10"/>
        <v>6500.90448</v>
      </c>
      <c r="X11" s="79">
        <f t="shared" si="11"/>
        <v>69.2410912</v>
      </c>
      <c r="Y11" s="77">
        <f t="shared" si="12"/>
        <v>29.158364799999998</v>
      </c>
      <c r="Z11" s="79"/>
      <c r="AA11" s="79">
        <f t="shared" si="139"/>
        <v>28913.597999999998</v>
      </c>
      <c r="AB11" s="78">
        <f t="shared" si="13"/>
        <v>433.70396999999997</v>
      </c>
      <c r="AC11" s="78">
        <f t="shared" si="14"/>
        <v>29347.301969999997</v>
      </c>
      <c r="AD11" s="79">
        <f t="shared" si="15"/>
        <v>312.57792179999996</v>
      </c>
      <c r="AE11" s="77">
        <f t="shared" si="16"/>
        <v>131.63081219999998</v>
      </c>
      <c r="AF11" s="79"/>
      <c r="AG11" s="78">
        <f t="shared" si="140"/>
        <v>502813.899</v>
      </c>
      <c r="AH11" s="78">
        <f t="shared" si="17"/>
        <v>7542.208484999999</v>
      </c>
      <c r="AI11" s="78">
        <f t="shared" si="18"/>
        <v>510356.107485</v>
      </c>
      <c r="AJ11" s="79">
        <f t="shared" si="19"/>
        <v>5435.7995709</v>
      </c>
      <c r="AK11" s="77">
        <f t="shared" si="20"/>
        <v>2289.0890961</v>
      </c>
      <c r="AL11" s="79"/>
      <c r="AM11" s="78">
        <f t="shared" si="141"/>
        <v>6090.714</v>
      </c>
      <c r="AN11" s="78">
        <f t="shared" si="21"/>
        <v>91.36071</v>
      </c>
      <c r="AO11" s="78">
        <f t="shared" si="22"/>
        <v>6182.07471</v>
      </c>
      <c r="AP11" s="79">
        <f t="shared" si="23"/>
        <v>65.8452374</v>
      </c>
      <c r="AQ11" s="77">
        <f t="shared" si="24"/>
        <v>27.7283246</v>
      </c>
      <c r="AR11" s="78"/>
      <c r="AS11" s="78">
        <f t="shared" si="142"/>
        <v>5136.453</v>
      </c>
      <c r="AT11" s="78">
        <f t="shared" si="25"/>
        <v>77.046795</v>
      </c>
      <c r="AU11" s="78">
        <f t="shared" si="26"/>
        <v>5213.499795000001</v>
      </c>
      <c r="AV11" s="79">
        <f t="shared" si="27"/>
        <v>55.5289523</v>
      </c>
      <c r="AW11" s="77">
        <f t="shared" si="28"/>
        <v>23.383996699999997</v>
      </c>
      <c r="AX11" s="79"/>
      <c r="AY11" s="78">
        <f t="shared" si="143"/>
        <v>210735.75600000002</v>
      </c>
      <c r="AZ11" s="78">
        <f t="shared" si="29"/>
        <v>3161.03634</v>
      </c>
      <c r="BA11" s="78">
        <f t="shared" si="30"/>
        <v>213896.79234</v>
      </c>
      <c r="BB11" s="79">
        <f t="shared" si="31"/>
        <v>2278.2133396</v>
      </c>
      <c r="BC11" s="77">
        <f t="shared" si="32"/>
        <v>959.3866084</v>
      </c>
      <c r="BD11" s="79"/>
      <c r="BE11" s="78">
        <f t="shared" si="144"/>
        <v>432407.24100000004</v>
      </c>
      <c r="BF11" s="78">
        <f t="shared" si="33"/>
        <v>6486.108615</v>
      </c>
      <c r="BG11" s="78">
        <f t="shared" si="34"/>
        <v>438893.349615</v>
      </c>
      <c r="BH11" s="79">
        <f t="shared" si="35"/>
        <v>4674.6502031</v>
      </c>
      <c r="BI11" s="77">
        <f t="shared" si="36"/>
        <v>1968.5587499</v>
      </c>
      <c r="BJ11" s="79"/>
      <c r="BK11" s="78">
        <f t="shared" si="145"/>
        <v>4991.8679999999995</v>
      </c>
      <c r="BL11" s="78">
        <f t="shared" si="37"/>
        <v>74.87801999999999</v>
      </c>
      <c r="BM11" s="78">
        <f t="shared" si="38"/>
        <v>5066.74602</v>
      </c>
      <c r="BN11" s="79">
        <f t="shared" si="39"/>
        <v>53.965878800000006</v>
      </c>
      <c r="BO11" s="77">
        <f t="shared" si="40"/>
        <v>22.7257652</v>
      </c>
      <c r="BP11" s="79"/>
      <c r="BQ11" s="78">
        <f t="shared" si="146"/>
        <v>3353.238</v>
      </c>
      <c r="BR11" s="78">
        <f t="shared" si="41"/>
        <v>50.29857</v>
      </c>
      <c r="BS11" s="78">
        <f t="shared" si="42"/>
        <v>3403.5365699999998</v>
      </c>
      <c r="BT11" s="79">
        <f t="shared" si="43"/>
        <v>36.2510458</v>
      </c>
      <c r="BU11" s="77">
        <f t="shared" si="44"/>
        <v>15.265808199999999</v>
      </c>
      <c r="BV11" s="79"/>
      <c r="BW11" s="78">
        <f t="shared" si="147"/>
        <v>-499.527</v>
      </c>
      <c r="BX11" s="78">
        <f t="shared" si="45"/>
        <v>-7.492905</v>
      </c>
      <c r="BY11" s="78">
        <f t="shared" si="46"/>
        <v>-507.019905</v>
      </c>
      <c r="BZ11" s="79">
        <f t="shared" si="47"/>
        <v>-5.4002657</v>
      </c>
      <c r="CA11" s="77">
        <f t="shared" si="48"/>
        <v>-2.2741253</v>
      </c>
      <c r="CB11" s="78"/>
      <c r="CC11" s="78">
        <f t="shared" si="148"/>
        <v>-325.458</v>
      </c>
      <c r="CD11" s="78">
        <f t="shared" si="49"/>
        <v>-4.88187</v>
      </c>
      <c r="CE11" s="78">
        <f t="shared" si="50"/>
        <v>-330.33987</v>
      </c>
      <c r="CF11" s="79">
        <f t="shared" si="51"/>
        <v>-3.5184478</v>
      </c>
      <c r="CG11" s="77">
        <f t="shared" si="52"/>
        <v>-1.4816662</v>
      </c>
      <c r="CH11" s="79"/>
      <c r="CI11" s="78">
        <f t="shared" si="149"/>
        <v>12103.181999999999</v>
      </c>
      <c r="CJ11" s="78">
        <f t="shared" si="53"/>
        <v>181.54773</v>
      </c>
      <c r="CK11" s="78">
        <f t="shared" si="54"/>
        <v>12284.72973</v>
      </c>
      <c r="CL11" s="79">
        <f t="shared" si="55"/>
        <v>130.8445762</v>
      </c>
      <c r="CM11" s="77">
        <f t="shared" si="56"/>
        <v>55.1004298</v>
      </c>
      <c r="CN11" s="79"/>
      <c r="CO11" s="78">
        <f t="shared" si="150"/>
        <v>74430.09</v>
      </c>
      <c r="CP11" s="78">
        <f t="shared" si="57"/>
        <v>1116.45135</v>
      </c>
      <c r="CQ11" s="78">
        <f t="shared" si="58"/>
        <v>75546.54135</v>
      </c>
      <c r="CR11" s="79">
        <f t="shared" si="59"/>
        <v>804.645719</v>
      </c>
      <c r="CS11" s="77">
        <f t="shared" si="60"/>
        <v>338.84725099999997</v>
      </c>
      <c r="CT11" s="79"/>
      <c r="CU11" s="78">
        <f t="shared" si="151"/>
        <v>500009.51699999993</v>
      </c>
      <c r="CV11" s="78">
        <f t="shared" si="61"/>
        <v>7500.142755</v>
      </c>
      <c r="CW11" s="78">
        <f t="shared" si="62"/>
        <v>507509.6597549999</v>
      </c>
      <c r="CX11" s="79">
        <f t="shared" si="63"/>
        <v>5405.4820747</v>
      </c>
      <c r="CY11" s="77">
        <f t="shared" si="64"/>
        <v>2276.3219863</v>
      </c>
      <c r="CZ11" s="79"/>
      <c r="DA11" s="78">
        <f t="shared" si="152"/>
        <v>72140.544</v>
      </c>
      <c r="DB11" s="78">
        <f t="shared" si="65"/>
        <v>1082.10816</v>
      </c>
      <c r="DC11" s="78">
        <f t="shared" si="66"/>
        <v>73222.65216</v>
      </c>
      <c r="DD11" s="79">
        <f t="shared" si="67"/>
        <v>779.8939904</v>
      </c>
      <c r="DE11" s="77">
        <f t="shared" si="68"/>
        <v>328.4239616</v>
      </c>
      <c r="DF11" s="79"/>
      <c r="DG11" s="78">
        <f t="shared" si="153"/>
        <v>147404.124</v>
      </c>
      <c r="DH11" s="78">
        <f t="shared" si="69"/>
        <v>2211.0618600000003</v>
      </c>
      <c r="DI11" s="78">
        <f t="shared" si="70"/>
        <v>149615.18586</v>
      </c>
      <c r="DJ11" s="79">
        <f t="shared" si="71"/>
        <v>1593.5503684</v>
      </c>
      <c r="DK11" s="77">
        <f t="shared" si="72"/>
        <v>671.0657236000001</v>
      </c>
      <c r="DL11" s="79"/>
      <c r="DM11" s="78">
        <f t="shared" si="154"/>
        <v>23905.854</v>
      </c>
      <c r="DN11" s="78">
        <f t="shared" si="73"/>
        <v>358.58781000000005</v>
      </c>
      <c r="DO11" s="78">
        <f t="shared" si="74"/>
        <v>24264.44181</v>
      </c>
      <c r="DP11" s="79">
        <f t="shared" si="75"/>
        <v>258.4404114</v>
      </c>
      <c r="DQ11" s="77">
        <f t="shared" si="76"/>
        <v>108.83277059999999</v>
      </c>
      <c r="DR11" s="79"/>
      <c r="DS11" s="78">
        <f t="shared" si="155"/>
        <v>122631.894</v>
      </c>
      <c r="DT11" s="78">
        <f t="shared" si="77"/>
        <v>1839.47841</v>
      </c>
      <c r="DU11" s="78">
        <f t="shared" si="78"/>
        <v>124471.37241</v>
      </c>
      <c r="DV11" s="79">
        <f t="shared" si="79"/>
        <v>1325.7437754</v>
      </c>
      <c r="DW11" s="77">
        <f t="shared" si="80"/>
        <v>558.2887266</v>
      </c>
      <c r="DX11" s="79"/>
      <c r="DY11" s="78">
        <f t="shared" si="156"/>
        <v>1096.011</v>
      </c>
      <c r="DZ11" s="78">
        <f t="shared" si="81"/>
        <v>16.440165</v>
      </c>
      <c r="EA11" s="78">
        <f t="shared" si="82"/>
        <v>1112.451165</v>
      </c>
      <c r="EB11" s="79">
        <f t="shared" si="83"/>
        <v>11.8487101</v>
      </c>
      <c r="EC11" s="77">
        <f t="shared" si="84"/>
        <v>4.9896529</v>
      </c>
      <c r="ED11" s="79"/>
      <c r="EE11" s="78">
        <f t="shared" si="157"/>
        <v>1442.448</v>
      </c>
      <c r="EF11" s="78">
        <f t="shared" si="85"/>
        <v>21.63672</v>
      </c>
      <c r="EG11" s="78">
        <f t="shared" si="86"/>
        <v>1464.08472</v>
      </c>
      <c r="EH11" s="79">
        <f t="shared" si="87"/>
        <v>15.5939568</v>
      </c>
      <c r="EI11" s="77">
        <f t="shared" si="88"/>
        <v>6.5668272000000005</v>
      </c>
      <c r="EJ11" s="79"/>
      <c r="EK11" s="78">
        <f t="shared" si="158"/>
        <v>72682.02900000001</v>
      </c>
      <c r="EL11" s="78">
        <f t="shared" si="89"/>
        <v>1090.230435</v>
      </c>
      <c r="EM11" s="78">
        <f t="shared" si="90"/>
        <v>73772.25943500001</v>
      </c>
      <c r="EN11" s="79">
        <f t="shared" si="91"/>
        <v>785.7478539</v>
      </c>
      <c r="EO11" s="77">
        <f t="shared" si="92"/>
        <v>330.8891031</v>
      </c>
      <c r="EP11" s="79"/>
      <c r="EQ11" s="78">
        <f t="shared" si="159"/>
        <v>1383.48</v>
      </c>
      <c r="ER11" s="78">
        <f t="shared" si="93"/>
        <v>20.752200000000002</v>
      </c>
      <c r="ES11" s="78">
        <f t="shared" si="94"/>
        <v>1404.2322</v>
      </c>
      <c r="ET11" s="79">
        <f t="shared" si="95"/>
        <v>14.956468</v>
      </c>
      <c r="EU11" s="77">
        <f t="shared" si="96"/>
        <v>6.298372</v>
      </c>
      <c r="EV11" s="79"/>
      <c r="EW11" s="78">
        <f t="shared" si="160"/>
        <v>20672.253</v>
      </c>
      <c r="EX11" s="78">
        <f t="shared" si="97"/>
        <v>310.083795</v>
      </c>
      <c r="EY11" s="78">
        <f t="shared" si="98"/>
        <v>20982.336795</v>
      </c>
      <c r="EZ11" s="79">
        <f t="shared" si="99"/>
        <v>223.4827323</v>
      </c>
      <c r="FA11" s="77">
        <f t="shared" si="100"/>
        <v>94.1116167</v>
      </c>
      <c r="FB11" s="79"/>
      <c r="FC11" s="78">
        <f t="shared" si="161"/>
        <v>14360.409</v>
      </c>
      <c r="FD11" s="78">
        <f t="shared" si="101"/>
        <v>215.406135</v>
      </c>
      <c r="FE11" s="78">
        <f t="shared" si="102"/>
        <v>14575.815134999999</v>
      </c>
      <c r="FF11" s="79">
        <f t="shared" si="103"/>
        <v>155.24691190000001</v>
      </c>
      <c r="FG11" s="77">
        <f t="shared" si="104"/>
        <v>65.3765851</v>
      </c>
      <c r="FH11" s="79"/>
      <c r="FI11" s="78">
        <f t="shared" si="162"/>
        <v>5605.929</v>
      </c>
      <c r="FJ11" s="78">
        <f t="shared" si="105"/>
        <v>84.088935</v>
      </c>
      <c r="FK11" s="78">
        <f t="shared" si="106"/>
        <v>5690.017935</v>
      </c>
      <c r="FL11" s="79">
        <f t="shared" si="107"/>
        <v>60.604343899999996</v>
      </c>
      <c r="FM11" s="77">
        <f t="shared" si="108"/>
        <v>25.521313099999997</v>
      </c>
      <c r="FN11" s="79"/>
      <c r="FO11" s="78">
        <f t="shared" si="163"/>
        <v>62999.937000000005</v>
      </c>
      <c r="FP11" s="78">
        <f t="shared" si="109"/>
        <v>944.9990550000001</v>
      </c>
      <c r="FQ11" s="78">
        <f t="shared" si="110"/>
        <v>63944.936055000006</v>
      </c>
      <c r="FR11" s="79">
        <f t="shared" si="111"/>
        <v>681.0770967000001</v>
      </c>
      <c r="FS11" s="77">
        <f t="shared" si="112"/>
        <v>286.81082430000004</v>
      </c>
      <c r="FT11" s="79"/>
      <c r="FU11" s="78">
        <f t="shared" si="164"/>
        <v>141989.274</v>
      </c>
      <c r="FV11" s="78">
        <f t="shared" si="113"/>
        <v>2129.8391100000003</v>
      </c>
      <c r="FW11" s="78">
        <f t="shared" si="114"/>
        <v>144119.11311</v>
      </c>
      <c r="FX11" s="79">
        <f t="shared" si="115"/>
        <v>1535.0117334000001</v>
      </c>
      <c r="FY11" s="77">
        <f t="shared" si="116"/>
        <v>646.4143086</v>
      </c>
      <c r="FZ11" s="79"/>
      <c r="GA11" s="78">
        <f t="shared" si="165"/>
        <v>18119.619000000002</v>
      </c>
      <c r="GB11" s="78">
        <f t="shared" si="117"/>
        <v>271.794285</v>
      </c>
      <c r="GC11" s="78">
        <f t="shared" si="118"/>
        <v>18391.413285000002</v>
      </c>
      <c r="GD11" s="79">
        <f t="shared" si="119"/>
        <v>195.8868229</v>
      </c>
      <c r="GE11" s="77">
        <f t="shared" si="120"/>
        <v>82.4906041</v>
      </c>
      <c r="GF11" s="79"/>
      <c r="GG11" s="78">
        <f t="shared" si="166"/>
        <v>28774.116</v>
      </c>
      <c r="GH11" s="78">
        <f t="shared" si="121"/>
        <v>431.61174000000005</v>
      </c>
      <c r="GI11" s="78">
        <f t="shared" si="122"/>
        <v>29205.727740000002</v>
      </c>
      <c r="GJ11" s="79">
        <f t="shared" si="123"/>
        <v>311.0700156</v>
      </c>
      <c r="GK11" s="77">
        <f t="shared" si="124"/>
        <v>130.9958124</v>
      </c>
      <c r="GL11" s="79"/>
      <c r="GM11" s="78">
        <f t="shared" si="167"/>
        <v>133352.163</v>
      </c>
      <c r="GN11" s="78">
        <f t="shared" si="125"/>
        <v>2000.282445</v>
      </c>
      <c r="GO11" s="78">
        <f t="shared" si="126"/>
        <v>135352.445445</v>
      </c>
      <c r="GP11" s="79">
        <f t="shared" si="127"/>
        <v>1441.6380133</v>
      </c>
      <c r="GQ11" s="77">
        <f t="shared" si="128"/>
        <v>607.0933656999999</v>
      </c>
      <c r="GR11" s="79"/>
      <c r="GS11" s="78">
        <f t="shared" si="168"/>
        <v>7077.294</v>
      </c>
      <c r="GT11" s="78">
        <f t="shared" si="129"/>
        <v>106.15941000000001</v>
      </c>
      <c r="GU11" s="78">
        <f t="shared" si="130"/>
        <v>7183.45341</v>
      </c>
      <c r="GV11" s="79">
        <f t="shared" si="131"/>
        <v>76.5109154</v>
      </c>
      <c r="GW11" s="77">
        <f t="shared" si="132"/>
        <v>32.2197866</v>
      </c>
      <c r="GX11" s="79"/>
      <c r="GY11" s="78">
        <f t="shared" si="169"/>
        <v>40576.788</v>
      </c>
      <c r="GZ11" s="78">
        <f t="shared" si="133"/>
        <v>608.65182</v>
      </c>
      <c r="HA11" s="78">
        <f t="shared" si="134"/>
        <v>41185.43982</v>
      </c>
      <c r="HB11" s="79">
        <f t="shared" si="135"/>
        <v>438.66585080000004</v>
      </c>
      <c r="HC11" s="77">
        <f t="shared" si="136"/>
        <v>184.7281532</v>
      </c>
      <c r="HD11" s="79"/>
      <c r="HE11" s="79"/>
      <c r="HF11" s="79"/>
      <c r="HG11" s="79"/>
      <c r="HH11" s="79"/>
      <c r="HI11" s="79"/>
    </row>
    <row r="12" spans="1:217" s="52" customFormat="1" ht="12.75" hidden="1">
      <c r="A12" s="51">
        <v>43739</v>
      </c>
      <c r="C12" s="80"/>
      <c r="D12" s="80"/>
      <c r="E12" s="77">
        <f t="shared" si="0"/>
        <v>0</v>
      </c>
      <c r="F12" s="77"/>
      <c r="G12" s="77"/>
      <c r="H12" s="79"/>
      <c r="I12" s="79"/>
      <c r="J12" s="79">
        <f t="shared" si="1"/>
        <v>0</v>
      </c>
      <c r="K12" s="79">
        <f t="shared" si="2"/>
        <v>0</v>
      </c>
      <c r="L12" s="79">
        <f t="shared" si="3"/>
        <v>0</v>
      </c>
      <c r="M12" s="79">
        <f t="shared" si="4"/>
        <v>0</v>
      </c>
      <c r="N12" s="79"/>
      <c r="O12" s="78"/>
      <c r="P12" s="78">
        <f t="shared" si="5"/>
        <v>0</v>
      </c>
      <c r="Q12" s="79">
        <f t="shared" si="6"/>
        <v>0</v>
      </c>
      <c r="R12" s="79">
        <f t="shared" si="7"/>
        <v>0</v>
      </c>
      <c r="S12" s="77">
        <f t="shared" si="8"/>
        <v>0</v>
      </c>
      <c r="T12" s="79"/>
      <c r="U12" s="78"/>
      <c r="V12" s="78">
        <f t="shared" si="9"/>
        <v>0</v>
      </c>
      <c r="W12" s="78">
        <f t="shared" si="10"/>
        <v>0</v>
      </c>
      <c r="X12" s="79">
        <f t="shared" si="11"/>
        <v>0</v>
      </c>
      <c r="Y12" s="77">
        <f t="shared" si="12"/>
        <v>0</v>
      </c>
      <c r="Z12" s="79"/>
      <c r="AA12" s="79"/>
      <c r="AB12" s="78">
        <f t="shared" si="13"/>
        <v>0</v>
      </c>
      <c r="AC12" s="78">
        <f t="shared" si="14"/>
        <v>0</v>
      </c>
      <c r="AD12" s="79">
        <f t="shared" si="15"/>
        <v>0</v>
      </c>
      <c r="AE12" s="77">
        <f t="shared" si="16"/>
        <v>0</v>
      </c>
      <c r="AF12" s="79"/>
      <c r="AG12" s="78"/>
      <c r="AH12" s="78">
        <f t="shared" si="17"/>
        <v>0</v>
      </c>
      <c r="AI12" s="78">
        <f t="shared" si="18"/>
        <v>0</v>
      </c>
      <c r="AJ12" s="79">
        <f t="shared" si="19"/>
        <v>0</v>
      </c>
      <c r="AK12" s="77">
        <f t="shared" si="20"/>
        <v>0</v>
      </c>
      <c r="AL12" s="79"/>
      <c r="AM12" s="78"/>
      <c r="AN12" s="78">
        <f t="shared" si="21"/>
        <v>0</v>
      </c>
      <c r="AO12" s="78">
        <f t="shared" si="22"/>
        <v>0</v>
      </c>
      <c r="AP12" s="79">
        <f t="shared" si="23"/>
        <v>0</v>
      </c>
      <c r="AQ12" s="77">
        <f t="shared" si="24"/>
        <v>0</v>
      </c>
      <c r="AR12" s="78"/>
      <c r="AS12" s="78"/>
      <c r="AT12" s="78">
        <f t="shared" si="25"/>
        <v>0</v>
      </c>
      <c r="AU12" s="78">
        <f t="shared" si="26"/>
        <v>0</v>
      </c>
      <c r="AV12" s="79">
        <f t="shared" si="27"/>
        <v>0</v>
      </c>
      <c r="AW12" s="77">
        <f t="shared" si="28"/>
        <v>0</v>
      </c>
      <c r="AX12" s="79"/>
      <c r="AY12" s="78"/>
      <c r="AZ12" s="78">
        <f t="shared" si="29"/>
        <v>0</v>
      </c>
      <c r="BA12" s="78">
        <f t="shared" si="30"/>
        <v>0</v>
      </c>
      <c r="BB12" s="79">
        <f t="shared" si="31"/>
        <v>0</v>
      </c>
      <c r="BC12" s="77">
        <f t="shared" si="32"/>
        <v>0</v>
      </c>
      <c r="BD12" s="79"/>
      <c r="BE12" s="78"/>
      <c r="BF12" s="78">
        <f t="shared" si="33"/>
        <v>0</v>
      </c>
      <c r="BG12" s="78">
        <f t="shared" si="34"/>
        <v>0</v>
      </c>
      <c r="BH12" s="79">
        <f t="shared" si="35"/>
        <v>0</v>
      </c>
      <c r="BI12" s="77">
        <f t="shared" si="36"/>
        <v>0</v>
      </c>
      <c r="BJ12" s="79"/>
      <c r="BK12" s="78"/>
      <c r="BL12" s="78">
        <f t="shared" si="37"/>
        <v>0</v>
      </c>
      <c r="BM12" s="78">
        <f t="shared" si="38"/>
        <v>0</v>
      </c>
      <c r="BN12" s="79">
        <f t="shared" si="39"/>
        <v>0</v>
      </c>
      <c r="BO12" s="77">
        <f t="shared" si="40"/>
        <v>0</v>
      </c>
      <c r="BP12" s="79"/>
      <c r="BQ12" s="78"/>
      <c r="BR12" s="78">
        <f t="shared" si="41"/>
        <v>0</v>
      </c>
      <c r="BS12" s="78">
        <f t="shared" si="42"/>
        <v>0</v>
      </c>
      <c r="BT12" s="79">
        <f t="shared" si="43"/>
        <v>0</v>
      </c>
      <c r="BU12" s="77">
        <f t="shared" si="44"/>
        <v>0</v>
      </c>
      <c r="BV12" s="79"/>
      <c r="BW12" s="78"/>
      <c r="BX12" s="78">
        <f t="shared" si="45"/>
        <v>0</v>
      </c>
      <c r="BY12" s="78">
        <f t="shared" si="46"/>
        <v>0</v>
      </c>
      <c r="BZ12" s="79">
        <f t="shared" si="47"/>
        <v>0</v>
      </c>
      <c r="CA12" s="77">
        <f t="shared" si="48"/>
        <v>0</v>
      </c>
      <c r="CB12" s="78"/>
      <c r="CC12" s="78"/>
      <c r="CD12" s="78">
        <f t="shared" si="49"/>
        <v>0</v>
      </c>
      <c r="CE12" s="78">
        <f t="shared" si="50"/>
        <v>0</v>
      </c>
      <c r="CF12" s="79">
        <f t="shared" si="51"/>
        <v>0</v>
      </c>
      <c r="CG12" s="77">
        <f t="shared" si="52"/>
        <v>0</v>
      </c>
      <c r="CH12" s="79"/>
      <c r="CI12" s="78"/>
      <c r="CJ12" s="78">
        <f t="shared" si="53"/>
        <v>0</v>
      </c>
      <c r="CK12" s="78">
        <f t="shared" si="54"/>
        <v>0</v>
      </c>
      <c r="CL12" s="79">
        <f t="shared" si="55"/>
        <v>0</v>
      </c>
      <c r="CM12" s="77">
        <f t="shared" si="56"/>
        <v>0</v>
      </c>
      <c r="CN12" s="79"/>
      <c r="CO12" s="78"/>
      <c r="CP12" s="78">
        <f t="shared" si="57"/>
        <v>0</v>
      </c>
      <c r="CQ12" s="78">
        <f t="shared" si="58"/>
        <v>0</v>
      </c>
      <c r="CR12" s="79">
        <f t="shared" si="59"/>
        <v>0</v>
      </c>
      <c r="CS12" s="77">
        <f t="shared" si="60"/>
        <v>0</v>
      </c>
      <c r="CT12" s="79"/>
      <c r="CU12" s="78"/>
      <c r="CV12" s="78">
        <f t="shared" si="61"/>
        <v>0</v>
      </c>
      <c r="CW12" s="78">
        <f t="shared" si="62"/>
        <v>0</v>
      </c>
      <c r="CX12" s="79">
        <f t="shared" si="63"/>
        <v>0</v>
      </c>
      <c r="CY12" s="77">
        <f t="shared" si="64"/>
        <v>0</v>
      </c>
      <c r="CZ12" s="79"/>
      <c r="DA12" s="78"/>
      <c r="DB12" s="78">
        <f t="shared" si="65"/>
        <v>0</v>
      </c>
      <c r="DC12" s="78">
        <f t="shared" si="66"/>
        <v>0</v>
      </c>
      <c r="DD12" s="79">
        <f t="shared" si="67"/>
        <v>0</v>
      </c>
      <c r="DE12" s="77">
        <f t="shared" si="68"/>
        <v>0</v>
      </c>
      <c r="DF12" s="79"/>
      <c r="DG12" s="78"/>
      <c r="DH12" s="78">
        <f t="shared" si="69"/>
        <v>0</v>
      </c>
      <c r="DI12" s="78">
        <f t="shared" si="70"/>
        <v>0</v>
      </c>
      <c r="DJ12" s="79">
        <f t="shared" si="71"/>
        <v>0</v>
      </c>
      <c r="DK12" s="77">
        <f t="shared" si="72"/>
        <v>0</v>
      </c>
      <c r="DL12" s="79"/>
      <c r="DM12" s="78"/>
      <c r="DN12" s="78">
        <f t="shared" si="73"/>
        <v>0</v>
      </c>
      <c r="DO12" s="78">
        <f t="shared" si="74"/>
        <v>0</v>
      </c>
      <c r="DP12" s="79">
        <f t="shared" si="75"/>
        <v>0</v>
      </c>
      <c r="DQ12" s="77">
        <f t="shared" si="76"/>
        <v>0</v>
      </c>
      <c r="DR12" s="79"/>
      <c r="DS12" s="78"/>
      <c r="DT12" s="78">
        <f t="shared" si="77"/>
        <v>0</v>
      </c>
      <c r="DU12" s="78">
        <f t="shared" si="78"/>
        <v>0</v>
      </c>
      <c r="DV12" s="79">
        <f t="shared" si="79"/>
        <v>0</v>
      </c>
      <c r="DW12" s="77">
        <f t="shared" si="80"/>
        <v>0</v>
      </c>
      <c r="DX12" s="79"/>
      <c r="DY12" s="78"/>
      <c r="DZ12" s="78">
        <f t="shared" si="81"/>
        <v>0</v>
      </c>
      <c r="EA12" s="78">
        <f t="shared" si="82"/>
        <v>0</v>
      </c>
      <c r="EB12" s="79">
        <f t="shared" si="83"/>
        <v>0</v>
      </c>
      <c r="EC12" s="77">
        <f t="shared" si="84"/>
        <v>0</v>
      </c>
      <c r="ED12" s="79"/>
      <c r="EE12" s="78"/>
      <c r="EF12" s="78">
        <f t="shared" si="85"/>
        <v>0</v>
      </c>
      <c r="EG12" s="78">
        <f t="shared" si="86"/>
        <v>0</v>
      </c>
      <c r="EH12" s="79">
        <f t="shared" si="87"/>
        <v>0</v>
      </c>
      <c r="EI12" s="77">
        <f t="shared" si="88"/>
        <v>0</v>
      </c>
      <c r="EJ12" s="79"/>
      <c r="EK12" s="78"/>
      <c r="EL12" s="78">
        <f t="shared" si="89"/>
        <v>0</v>
      </c>
      <c r="EM12" s="78">
        <f t="shared" si="90"/>
        <v>0</v>
      </c>
      <c r="EN12" s="79">
        <f t="shared" si="91"/>
        <v>0</v>
      </c>
      <c r="EO12" s="77">
        <f t="shared" si="92"/>
        <v>0</v>
      </c>
      <c r="EP12" s="79"/>
      <c r="EQ12" s="78"/>
      <c r="ER12" s="78">
        <f t="shared" si="93"/>
        <v>0</v>
      </c>
      <c r="ES12" s="78">
        <f t="shared" si="94"/>
        <v>0</v>
      </c>
      <c r="ET12" s="79">
        <f t="shared" si="95"/>
        <v>0</v>
      </c>
      <c r="EU12" s="77">
        <f t="shared" si="96"/>
        <v>0</v>
      </c>
      <c r="EV12" s="79"/>
      <c r="EW12" s="78"/>
      <c r="EX12" s="78">
        <f t="shared" si="97"/>
        <v>0</v>
      </c>
      <c r="EY12" s="78">
        <f t="shared" si="98"/>
        <v>0</v>
      </c>
      <c r="EZ12" s="79">
        <f t="shared" si="99"/>
        <v>0</v>
      </c>
      <c r="FA12" s="77">
        <f t="shared" si="100"/>
        <v>0</v>
      </c>
      <c r="FB12" s="79"/>
      <c r="FC12" s="78"/>
      <c r="FD12" s="78">
        <f t="shared" si="101"/>
        <v>0</v>
      </c>
      <c r="FE12" s="78">
        <f t="shared" si="102"/>
        <v>0</v>
      </c>
      <c r="FF12" s="79">
        <f t="shared" si="103"/>
        <v>0</v>
      </c>
      <c r="FG12" s="77">
        <f t="shared" si="104"/>
        <v>0</v>
      </c>
      <c r="FH12" s="79"/>
      <c r="FI12" s="78"/>
      <c r="FJ12" s="78">
        <f t="shared" si="105"/>
        <v>0</v>
      </c>
      <c r="FK12" s="78">
        <f t="shared" si="106"/>
        <v>0</v>
      </c>
      <c r="FL12" s="79">
        <f t="shared" si="107"/>
        <v>0</v>
      </c>
      <c r="FM12" s="77">
        <f t="shared" si="108"/>
        <v>0</v>
      </c>
      <c r="FN12" s="79"/>
      <c r="FO12" s="78"/>
      <c r="FP12" s="78">
        <f t="shared" si="109"/>
        <v>0</v>
      </c>
      <c r="FQ12" s="78">
        <f t="shared" si="110"/>
        <v>0</v>
      </c>
      <c r="FR12" s="79">
        <f t="shared" si="111"/>
        <v>0</v>
      </c>
      <c r="FS12" s="77">
        <f t="shared" si="112"/>
        <v>0</v>
      </c>
      <c r="FT12" s="79"/>
      <c r="FU12" s="78"/>
      <c r="FV12" s="78">
        <f t="shared" si="113"/>
        <v>0</v>
      </c>
      <c r="FW12" s="78">
        <f t="shared" si="114"/>
        <v>0</v>
      </c>
      <c r="FX12" s="79">
        <f t="shared" si="115"/>
        <v>0</v>
      </c>
      <c r="FY12" s="77">
        <f t="shared" si="116"/>
        <v>0</v>
      </c>
      <c r="FZ12" s="79"/>
      <c r="GA12" s="78"/>
      <c r="GB12" s="78">
        <f t="shared" si="117"/>
        <v>0</v>
      </c>
      <c r="GC12" s="78">
        <f t="shared" si="118"/>
        <v>0</v>
      </c>
      <c r="GD12" s="79">
        <f t="shared" si="119"/>
        <v>0</v>
      </c>
      <c r="GE12" s="77">
        <f t="shared" si="120"/>
        <v>0</v>
      </c>
      <c r="GF12" s="79"/>
      <c r="GG12" s="78"/>
      <c r="GH12" s="78">
        <f t="shared" si="121"/>
        <v>0</v>
      </c>
      <c r="GI12" s="78">
        <f t="shared" si="122"/>
        <v>0</v>
      </c>
      <c r="GJ12" s="79">
        <f t="shared" si="123"/>
        <v>0</v>
      </c>
      <c r="GK12" s="77">
        <f t="shared" si="124"/>
        <v>0</v>
      </c>
      <c r="GL12" s="79"/>
      <c r="GM12" s="78"/>
      <c r="GN12" s="78">
        <f t="shared" si="125"/>
        <v>0</v>
      </c>
      <c r="GO12" s="78">
        <f t="shared" si="126"/>
        <v>0</v>
      </c>
      <c r="GP12" s="79">
        <f t="shared" si="127"/>
        <v>0</v>
      </c>
      <c r="GQ12" s="77">
        <f t="shared" si="128"/>
        <v>0</v>
      </c>
      <c r="GR12" s="79"/>
      <c r="GS12" s="78"/>
      <c r="GT12" s="78">
        <f t="shared" si="129"/>
        <v>0</v>
      </c>
      <c r="GU12" s="78">
        <f t="shared" si="130"/>
        <v>0</v>
      </c>
      <c r="GV12" s="79">
        <f t="shared" si="131"/>
        <v>0</v>
      </c>
      <c r="GW12" s="77">
        <f t="shared" si="132"/>
        <v>0</v>
      </c>
      <c r="GX12" s="79"/>
      <c r="GY12" s="78"/>
      <c r="GZ12" s="78">
        <f t="shared" si="133"/>
        <v>0</v>
      </c>
      <c r="HA12" s="78">
        <f t="shared" si="134"/>
        <v>0</v>
      </c>
      <c r="HB12" s="79">
        <f t="shared" si="135"/>
        <v>0</v>
      </c>
      <c r="HC12" s="77">
        <f t="shared" si="136"/>
        <v>0</v>
      </c>
      <c r="HD12" s="79"/>
      <c r="HE12" s="79"/>
      <c r="HF12" s="79"/>
      <c r="HG12" s="79"/>
      <c r="HH12" s="79"/>
      <c r="HI12" s="79"/>
    </row>
    <row r="13" spans="1:217" s="52" customFormat="1" ht="12.75" hidden="1">
      <c r="A13" s="51">
        <v>43922</v>
      </c>
      <c r="C13" s="80"/>
      <c r="D13" s="80"/>
      <c r="E13" s="77">
        <f t="shared" si="0"/>
        <v>0</v>
      </c>
      <c r="F13" s="77"/>
      <c r="G13" s="77"/>
      <c r="H13" s="79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0</v>
      </c>
      <c r="K13" s="79">
        <f t="shared" si="2"/>
        <v>0</v>
      </c>
      <c r="L13" s="79">
        <f t="shared" si="3"/>
        <v>0</v>
      </c>
      <c r="M13" s="79">
        <f t="shared" si="4"/>
        <v>0</v>
      </c>
      <c r="N13" s="79"/>
      <c r="O13" s="78">
        <f t="shared" si="137"/>
        <v>0</v>
      </c>
      <c r="P13" s="78">
        <f t="shared" si="5"/>
        <v>0</v>
      </c>
      <c r="Q13" s="79">
        <f t="shared" si="6"/>
        <v>0</v>
      </c>
      <c r="R13" s="79">
        <f t="shared" si="7"/>
        <v>0</v>
      </c>
      <c r="S13" s="77">
        <f t="shared" si="8"/>
        <v>0</v>
      </c>
      <c r="T13" s="79"/>
      <c r="U13" s="78">
        <f t="shared" si="138"/>
        <v>0</v>
      </c>
      <c r="V13" s="78">
        <f t="shared" si="9"/>
        <v>0</v>
      </c>
      <c r="W13" s="78">
        <f t="shared" si="10"/>
        <v>0</v>
      </c>
      <c r="X13" s="79">
        <f t="shared" si="11"/>
        <v>0</v>
      </c>
      <c r="Y13" s="77">
        <f t="shared" si="12"/>
        <v>0</v>
      </c>
      <c r="Z13" s="79"/>
      <c r="AA13" s="79">
        <f t="shared" si="139"/>
        <v>0</v>
      </c>
      <c r="AB13" s="78">
        <f t="shared" si="13"/>
        <v>0</v>
      </c>
      <c r="AC13" s="78">
        <f t="shared" si="14"/>
        <v>0</v>
      </c>
      <c r="AD13" s="79">
        <f t="shared" si="15"/>
        <v>0</v>
      </c>
      <c r="AE13" s="77">
        <f t="shared" si="16"/>
        <v>0</v>
      </c>
      <c r="AF13" s="79"/>
      <c r="AG13" s="78">
        <f t="shared" si="140"/>
        <v>0</v>
      </c>
      <c r="AH13" s="78">
        <f t="shared" si="17"/>
        <v>0</v>
      </c>
      <c r="AI13" s="78">
        <f t="shared" si="18"/>
        <v>0</v>
      </c>
      <c r="AJ13" s="79">
        <f t="shared" si="19"/>
        <v>0</v>
      </c>
      <c r="AK13" s="77">
        <f t="shared" si="20"/>
        <v>0</v>
      </c>
      <c r="AL13" s="79"/>
      <c r="AM13" s="78">
        <f t="shared" si="141"/>
        <v>0</v>
      </c>
      <c r="AN13" s="78">
        <f t="shared" si="21"/>
        <v>0</v>
      </c>
      <c r="AO13" s="78">
        <f t="shared" si="22"/>
        <v>0</v>
      </c>
      <c r="AP13" s="79">
        <f t="shared" si="23"/>
        <v>0</v>
      </c>
      <c r="AQ13" s="77">
        <f t="shared" si="24"/>
        <v>0</v>
      </c>
      <c r="AR13" s="78"/>
      <c r="AS13" s="78">
        <f t="shared" si="142"/>
        <v>0</v>
      </c>
      <c r="AT13" s="78">
        <f t="shared" si="25"/>
        <v>0</v>
      </c>
      <c r="AU13" s="78">
        <f t="shared" si="26"/>
        <v>0</v>
      </c>
      <c r="AV13" s="79">
        <f t="shared" si="27"/>
        <v>0</v>
      </c>
      <c r="AW13" s="77">
        <f t="shared" si="28"/>
        <v>0</v>
      </c>
      <c r="AX13" s="79"/>
      <c r="AY13" s="78">
        <f t="shared" si="143"/>
        <v>0</v>
      </c>
      <c r="AZ13" s="78">
        <f t="shared" si="29"/>
        <v>0</v>
      </c>
      <c r="BA13" s="78">
        <f t="shared" si="30"/>
        <v>0</v>
      </c>
      <c r="BB13" s="79">
        <f t="shared" si="31"/>
        <v>0</v>
      </c>
      <c r="BC13" s="77">
        <f t="shared" si="32"/>
        <v>0</v>
      </c>
      <c r="BD13" s="79"/>
      <c r="BE13" s="78">
        <f t="shared" si="144"/>
        <v>0</v>
      </c>
      <c r="BF13" s="78">
        <f t="shared" si="33"/>
        <v>0</v>
      </c>
      <c r="BG13" s="78">
        <f t="shared" si="34"/>
        <v>0</v>
      </c>
      <c r="BH13" s="79">
        <f t="shared" si="35"/>
        <v>0</v>
      </c>
      <c r="BI13" s="77">
        <f t="shared" si="36"/>
        <v>0</v>
      </c>
      <c r="BJ13" s="79"/>
      <c r="BK13" s="78">
        <f t="shared" si="145"/>
        <v>0</v>
      </c>
      <c r="BL13" s="78">
        <f t="shared" si="37"/>
        <v>0</v>
      </c>
      <c r="BM13" s="78">
        <f t="shared" si="38"/>
        <v>0</v>
      </c>
      <c r="BN13" s="79">
        <f t="shared" si="39"/>
        <v>0</v>
      </c>
      <c r="BO13" s="77">
        <f t="shared" si="40"/>
        <v>0</v>
      </c>
      <c r="BP13" s="79"/>
      <c r="BQ13" s="78">
        <f t="shared" si="146"/>
        <v>0</v>
      </c>
      <c r="BR13" s="78">
        <f t="shared" si="41"/>
        <v>0</v>
      </c>
      <c r="BS13" s="78">
        <f t="shared" si="42"/>
        <v>0</v>
      </c>
      <c r="BT13" s="79">
        <f t="shared" si="43"/>
        <v>0</v>
      </c>
      <c r="BU13" s="77">
        <f t="shared" si="44"/>
        <v>0</v>
      </c>
      <c r="BV13" s="79"/>
      <c r="BW13" s="78">
        <f t="shared" si="147"/>
        <v>0</v>
      </c>
      <c r="BX13" s="78">
        <f t="shared" si="45"/>
        <v>0</v>
      </c>
      <c r="BY13" s="78">
        <f t="shared" si="46"/>
        <v>0</v>
      </c>
      <c r="BZ13" s="79">
        <f t="shared" si="47"/>
        <v>0</v>
      </c>
      <c r="CA13" s="77">
        <f t="shared" si="48"/>
        <v>0</v>
      </c>
      <c r="CB13" s="78"/>
      <c r="CC13" s="78">
        <f t="shared" si="148"/>
        <v>0</v>
      </c>
      <c r="CD13" s="78">
        <f t="shared" si="49"/>
        <v>0</v>
      </c>
      <c r="CE13" s="78">
        <f t="shared" si="50"/>
        <v>0</v>
      </c>
      <c r="CF13" s="79">
        <f t="shared" si="51"/>
        <v>0</v>
      </c>
      <c r="CG13" s="77">
        <f t="shared" si="52"/>
        <v>0</v>
      </c>
      <c r="CH13" s="79"/>
      <c r="CI13" s="78">
        <f t="shared" si="149"/>
        <v>0</v>
      </c>
      <c r="CJ13" s="78">
        <f t="shared" si="53"/>
        <v>0</v>
      </c>
      <c r="CK13" s="78">
        <f t="shared" si="54"/>
        <v>0</v>
      </c>
      <c r="CL13" s="79">
        <f t="shared" si="55"/>
        <v>0</v>
      </c>
      <c r="CM13" s="77">
        <f t="shared" si="56"/>
        <v>0</v>
      </c>
      <c r="CN13" s="79"/>
      <c r="CO13" s="78">
        <f t="shared" si="150"/>
        <v>0</v>
      </c>
      <c r="CP13" s="78">
        <f t="shared" si="57"/>
        <v>0</v>
      </c>
      <c r="CQ13" s="78">
        <f t="shared" si="58"/>
        <v>0</v>
      </c>
      <c r="CR13" s="79">
        <f t="shared" si="59"/>
        <v>0</v>
      </c>
      <c r="CS13" s="77">
        <f t="shared" si="60"/>
        <v>0</v>
      </c>
      <c r="CT13" s="79"/>
      <c r="CU13" s="78">
        <f t="shared" si="151"/>
        <v>0</v>
      </c>
      <c r="CV13" s="78">
        <f t="shared" si="61"/>
        <v>0</v>
      </c>
      <c r="CW13" s="78">
        <f t="shared" si="62"/>
        <v>0</v>
      </c>
      <c r="CX13" s="79">
        <f t="shared" si="63"/>
        <v>0</v>
      </c>
      <c r="CY13" s="77">
        <f t="shared" si="64"/>
        <v>0</v>
      </c>
      <c r="CZ13" s="79"/>
      <c r="DA13" s="78">
        <f t="shared" si="152"/>
        <v>0</v>
      </c>
      <c r="DB13" s="78">
        <f t="shared" si="65"/>
        <v>0</v>
      </c>
      <c r="DC13" s="78">
        <f t="shared" si="66"/>
        <v>0</v>
      </c>
      <c r="DD13" s="79">
        <f t="shared" si="67"/>
        <v>0</v>
      </c>
      <c r="DE13" s="77">
        <f t="shared" si="68"/>
        <v>0</v>
      </c>
      <c r="DF13" s="79"/>
      <c r="DG13" s="78">
        <f t="shared" si="153"/>
        <v>0</v>
      </c>
      <c r="DH13" s="78">
        <f t="shared" si="69"/>
        <v>0</v>
      </c>
      <c r="DI13" s="78">
        <f t="shared" si="70"/>
        <v>0</v>
      </c>
      <c r="DJ13" s="79">
        <f t="shared" si="71"/>
        <v>0</v>
      </c>
      <c r="DK13" s="77">
        <f t="shared" si="72"/>
        <v>0</v>
      </c>
      <c r="DL13" s="79"/>
      <c r="DM13" s="78">
        <f t="shared" si="154"/>
        <v>0</v>
      </c>
      <c r="DN13" s="78">
        <f t="shared" si="73"/>
        <v>0</v>
      </c>
      <c r="DO13" s="78">
        <f t="shared" si="74"/>
        <v>0</v>
      </c>
      <c r="DP13" s="79">
        <f t="shared" si="75"/>
        <v>0</v>
      </c>
      <c r="DQ13" s="77">
        <f t="shared" si="76"/>
        <v>0</v>
      </c>
      <c r="DR13" s="79"/>
      <c r="DS13" s="78">
        <f t="shared" si="155"/>
        <v>0</v>
      </c>
      <c r="DT13" s="78">
        <f t="shared" si="77"/>
        <v>0</v>
      </c>
      <c r="DU13" s="78">
        <f t="shared" si="78"/>
        <v>0</v>
      </c>
      <c r="DV13" s="79">
        <f t="shared" si="79"/>
        <v>0</v>
      </c>
      <c r="DW13" s="77">
        <f t="shared" si="80"/>
        <v>0</v>
      </c>
      <c r="DX13" s="79"/>
      <c r="DY13" s="78">
        <f t="shared" si="156"/>
        <v>0</v>
      </c>
      <c r="DZ13" s="78">
        <f t="shared" si="81"/>
        <v>0</v>
      </c>
      <c r="EA13" s="78">
        <f t="shared" si="82"/>
        <v>0</v>
      </c>
      <c r="EB13" s="79">
        <f t="shared" si="83"/>
        <v>0</v>
      </c>
      <c r="EC13" s="77">
        <f t="shared" si="84"/>
        <v>0</v>
      </c>
      <c r="ED13" s="79"/>
      <c r="EE13" s="78">
        <f t="shared" si="157"/>
        <v>0</v>
      </c>
      <c r="EF13" s="78">
        <f t="shared" si="85"/>
        <v>0</v>
      </c>
      <c r="EG13" s="78">
        <f t="shared" si="86"/>
        <v>0</v>
      </c>
      <c r="EH13" s="79">
        <f t="shared" si="87"/>
        <v>0</v>
      </c>
      <c r="EI13" s="77">
        <f t="shared" si="88"/>
        <v>0</v>
      </c>
      <c r="EJ13" s="79"/>
      <c r="EK13" s="78">
        <f t="shared" si="158"/>
        <v>0</v>
      </c>
      <c r="EL13" s="78">
        <f t="shared" si="89"/>
        <v>0</v>
      </c>
      <c r="EM13" s="78">
        <f t="shared" si="90"/>
        <v>0</v>
      </c>
      <c r="EN13" s="79">
        <f t="shared" si="91"/>
        <v>0</v>
      </c>
      <c r="EO13" s="77">
        <f t="shared" si="92"/>
        <v>0</v>
      </c>
      <c r="EP13" s="79"/>
      <c r="EQ13" s="78">
        <f t="shared" si="159"/>
        <v>0</v>
      </c>
      <c r="ER13" s="78">
        <f t="shared" si="93"/>
        <v>0</v>
      </c>
      <c r="ES13" s="78">
        <f t="shared" si="94"/>
        <v>0</v>
      </c>
      <c r="ET13" s="79">
        <f t="shared" si="95"/>
        <v>0</v>
      </c>
      <c r="EU13" s="77">
        <f t="shared" si="96"/>
        <v>0</v>
      </c>
      <c r="EV13" s="79"/>
      <c r="EW13" s="78">
        <f t="shared" si="160"/>
        <v>0</v>
      </c>
      <c r="EX13" s="78">
        <f t="shared" si="97"/>
        <v>0</v>
      </c>
      <c r="EY13" s="78">
        <f t="shared" si="98"/>
        <v>0</v>
      </c>
      <c r="EZ13" s="79">
        <f t="shared" si="99"/>
        <v>0</v>
      </c>
      <c r="FA13" s="77">
        <f t="shared" si="100"/>
        <v>0</v>
      </c>
      <c r="FB13" s="79"/>
      <c r="FC13" s="78">
        <f t="shared" si="161"/>
        <v>0</v>
      </c>
      <c r="FD13" s="78">
        <f t="shared" si="101"/>
        <v>0</v>
      </c>
      <c r="FE13" s="78">
        <f t="shared" si="102"/>
        <v>0</v>
      </c>
      <c r="FF13" s="79">
        <f t="shared" si="103"/>
        <v>0</v>
      </c>
      <c r="FG13" s="77">
        <f t="shared" si="104"/>
        <v>0</v>
      </c>
      <c r="FH13" s="79"/>
      <c r="FI13" s="78">
        <f t="shared" si="162"/>
        <v>0</v>
      </c>
      <c r="FJ13" s="78">
        <f t="shared" si="105"/>
        <v>0</v>
      </c>
      <c r="FK13" s="78">
        <f t="shared" si="106"/>
        <v>0</v>
      </c>
      <c r="FL13" s="79">
        <f t="shared" si="107"/>
        <v>0</v>
      </c>
      <c r="FM13" s="77">
        <f t="shared" si="108"/>
        <v>0</v>
      </c>
      <c r="FN13" s="79"/>
      <c r="FO13" s="78">
        <f t="shared" si="163"/>
        <v>0</v>
      </c>
      <c r="FP13" s="78">
        <f t="shared" si="109"/>
        <v>0</v>
      </c>
      <c r="FQ13" s="78">
        <f t="shared" si="110"/>
        <v>0</v>
      </c>
      <c r="FR13" s="79">
        <f t="shared" si="111"/>
        <v>0</v>
      </c>
      <c r="FS13" s="77">
        <f t="shared" si="112"/>
        <v>0</v>
      </c>
      <c r="FT13" s="79"/>
      <c r="FU13" s="78">
        <f t="shared" si="164"/>
        <v>0</v>
      </c>
      <c r="FV13" s="78">
        <f t="shared" si="113"/>
        <v>0</v>
      </c>
      <c r="FW13" s="78">
        <f t="shared" si="114"/>
        <v>0</v>
      </c>
      <c r="FX13" s="79">
        <f t="shared" si="115"/>
        <v>0</v>
      </c>
      <c r="FY13" s="77">
        <f t="shared" si="116"/>
        <v>0</v>
      </c>
      <c r="FZ13" s="79"/>
      <c r="GA13" s="78">
        <f t="shared" si="165"/>
        <v>0</v>
      </c>
      <c r="GB13" s="78">
        <f t="shared" si="117"/>
        <v>0</v>
      </c>
      <c r="GC13" s="78">
        <f t="shared" si="118"/>
        <v>0</v>
      </c>
      <c r="GD13" s="79">
        <f t="shared" si="119"/>
        <v>0</v>
      </c>
      <c r="GE13" s="77">
        <f t="shared" si="120"/>
        <v>0</v>
      </c>
      <c r="GF13" s="79"/>
      <c r="GG13" s="78">
        <f t="shared" si="166"/>
        <v>0</v>
      </c>
      <c r="GH13" s="78">
        <f t="shared" si="121"/>
        <v>0</v>
      </c>
      <c r="GI13" s="78">
        <f t="shared" si="122"/>
        <v>0</v>
      </c>
      <c r="GJ13" s="79">
        <f t="shared" si="123"/>
        <v>0</v>
      </c>
      <c r="GK13" s="77">
        <f t="shared" si="124"/>
        <v>0</v>
      </c>
      <c r="GL13" s="79"/>
      <c r="GM13" s="78">
        <f t="shared" si="167"/>
        <v>0</v>
      </c>
      <c r="GN13" s="78">
        <f t="shared" si="125"/>
        <v>0</v>
      </c>
      <c r="GO13" s="78">
        <f t="shared" si="126"/>
        <v>0</v>
      </c>
      <c r="GP13" s="79">
        <f t="shared" si="127"/>
        <v>0</v>
      </c>
      <c r="GQ13" s="77">
        <f t="shared" si="128"/>
        <v>0</v>
      </c>
      <c r="GR13" s="79"/>
      <c r="GS13" s="78">
        <f t="shared" si="168"/>
        <v>0</v>
      </c>
      <c r="GT13" s="78">
        <f t="shared" si="129"/>
        <v>0</v>
      </c>
      <c r="GU13" s="78">
        <f t="shared" si="130"/>
        <v>0</v>
      </c>
      <c r="GV13" s="79">
        <f t="shared" si="131"/>
        <v>0</v>
      </c>
      <c r="GW13" s="77">
        <f t="shared" si="132"/>
        <v>0</v>
      </c>
      <c r="GX13" s="79"/>
      <c r="GY13" s="78">
        <f t="shared" si="169"/>
        <v>0</v>
      </c>
      <c r="GZ13" s="78">
        <f t="shared" si="133"/>
        <v>0</v>
      </c>
      <c r="HA13" s="78">
        <f t="shared" si="134"/>
        <v>0</v>
      </c>
      <c r="HB13" s="79">
        <f t="shared" si="135"/>
        <v>0</v>
      </c>
      <c r="HC13" s="77">
        <f t="shared" si="136"/>
        <v>0</v>
      </c>
      <c r="HD13" s="79"/>
      <c r="HE13" s="79"/>
      <c r="HF13" s="79"/>
      <c r="HG13" s="79"/>
      <c r="HH13" s="79"/>
      <c r="HI13" s="79"/>
    </row>
    <row r="14" spans="1:217" s="52" customFormat="1" ht="12.75" hidden="1">
      <c r="A14" s="51">
        <v>44105</v>
      </c>
      <c r="C14" s="80"/>
      <c r="D14" s="80"/>
      <c r="E14" s="77">
        <f t="shared" si="0"/>
        <v>0</v>
      </c>
      <c r="F14" s="77"/>
      <c r="G14" s="77"/>
      <c r="H14" s="79"/>
      <c r="I14" s="79"/>
      <c r="J14" s="79">
        <f t="shared" si="1"/>
        <v>0</v>
      </c>
      <c r="K14" s="79">
        <f t="shared" si="2"/>
        <v>0</v>
      </c>
      <c r="L14" s="79">
        <f t="shared" si="3"/>
        <v>0</v>
      </c>
      <c r="M14" s="79">
        <f t="shared" si="4"/>
        <v>0</v>
      </c>
      <c r="N14" s="79"/>
      <c r="O14" s="78"/>
      <c r="P14" s="78">
        <f t="shared" si="5"/>
        <v>0</v>
      </c>
      <c r="Q14" s="79">
        <f t="shared" si="6"/>
        <v>0</v>
      </c>
      <c r="R14" s="79">
        <f t="shared" si="7"/>
        <v>0</v>
      </c>
      <c r="S14" s="77">
        <f t="shared" si="8"/>
        <v>0</v>
      </c>
      <c r="T14" s="79"/>
      <c r="U14" s="78"/>
      <c r="V14" s="78">
        <f t="shared" si="9"/>
        <v>0</v>
      </c>
      <c r="W14" s="78">
        <f t="shared" si="10"/>
        <v>0</v>
      </c>
      <c r="X14" s="79">
        <f t="shared" si="11"/>
        <v>0</v>
      </c>
      <c r="Y14" s="77">
        <f t="shared" si="12"/>
        <v>0</v>
      </c>
      <c r="Z14" s="79"/>
      <c r="AA14" s="79"/>
      <c r="AB14" s="78">
        <f t="shared" si="13"/>
        <v>0</v>
      </c>
      <c r="AC14" s="78">
        <f t="shared" si="14"/>
        <v>0</v>
      </c>
      <c r="AD14" s="79">
        <f t="shared" si="15"/>
        <v>0</v>
      </c>
      <c r="AE14" s="77">
        <f t="shared" si="16"/>
        <v>0</v>
      </c>
      <c r="AF14" s="79"/>
      <c r="AG14" s="78"/>
      <c r="AH14" s="78">
        <f t="shared" si="17"/>
        <v>0</v>
      </c>
      <c r="AI14" s="78">
        <f t="shared" si="18"/>
        <v>0</v>
      </c>
      <c r="AJ14" s="79">
        <f t="shared" si="19"/>
        <v>0</v>
      </c>
      <c r="AK14" s="77">
        <f t="shared" si="20"/>
        <v>0</v>
      </c>
      <c r="AL14" s="79"/>
      <c r="AM14" s="78"/>
      <c r="AN14" s="78">
        <f t="shared" si="21"/>
        <v>0</v>
      </c>
      <c r="AO14" s="78">
        <f t="shared" si="22"/>
        <v>0</v>
      </c>
      <c r="AP14" s="79">
        <f t="shared" si="23"/>
        <v>0</v>
      </c>
      <c r="AQ14" s="77">
        <f t="shared" si="24"/>
        <v>0</v>
      </c>
      <c r="AR14" s="78"/>
      <c r="AS14" s="78"/>
      <c r="AT14" s="78">
        <f t="shared" si="25"/>
        <v>0</v>
      </c>
      <c r="AU14" s="78">
        <f t="shared" si="26"/>
        <v>0</v>
      </c>
      <c r="AV14" s="79">
        <f t="shared" si="27"/>
        <v>0</v>
      </c>
      <c r="AW14" s="77">
        <f t="shared" si="28"/>
        <v>0</v>
      </c>
      <c r="AX14" s="79"/>
      <c r="AY14" s="78"/>
      <c r="AZ14" s="78">
        <f t="shared" si="29"/>
        <v>0</v>
      </c>
      <c r="BA14" s="78">
        <f t="shared" si="30"/>
        <v>0</v>
      </c>
      <c r="BB14" s="79">
        <f t="shared" si="31"/>
        <v>0</v>
      </c>
      <c r="BC14" s="77">
        <f t="shared" si="32"/>
        <v>0</v>
      </c>
      <c r="BD14" s="79"/>
      <c r="BE14" s="78"/>
      <c r="BF14" s="78">
        <f t="shared" si="33"/>
        <v>0</v>
      </c>
      <c r="BG14" s="78">
        <f t="shared" si="34"/>
        <v>0</v>
      </c>
      <c r="BH14" s="79">
        <f t="shared" si="35"/>
        <v>0</v>
      </c>
      <c r="BI14" s="77">
        <f t="shared" si="36"/>
        <v>0</v>
      </c>
      <c r="BJ14" s="79"/>
      <c r="BK14" s="78"/>
      <c r="BL14" s="78">
        <f t="shared" si="37"/>
        <v>0</v>
      </c>
      <c r="BM14" s="78">
        <f t="shared" si="38"/>
        <v>0</v>
      </c>
      <c r="BN14" s="79">
        <f t="shared" si="39"/>
        <v>0</v>
      </c>
      <c r="BO14" s="77">
        <f t="shared" si="40"/>
        <v>0</v>
      </c>
      <c r="BP14" s="79"/>
      <c r="BQ14" s="78"/>
      <c r="BR14" s="78">
        <f t="shared" si="41"/>
        <v>0</v>
      </c>
      <c r="BS14" s="78">
        <f t="shared" si="42"/>
        <v>0</v>
      </c>
      <c r="BT14" s="79">
        <f t="shared" si="43"/>
        <v>0</v>
      </c>
      <c r="BU14" s="77">
        <f t="shared" si="44"/>
        <v>0</v>
      </c>
      <c r="BV14" s="79"/>
      <c r="BW14" s="78"/>
      <c r="BX14" s="78">
        <f t="shared" si="45"/>
        <v>0</v>
      </c>
      <c r="BY14" s="78">
        <f t="shared" si="46"/>
        <v>0</v>
      </c>
      <c r="BZ14" s="79">
        <f t="shared" si="47"/>
        <v>0</v>
      </c>
      <c r="CA14" s="77">
        <f t="shared" si="48"/>
        <v>0</v>
      </c>
      <c r="CB14" s="78"/>
      <c r="CC14" s="78"/>
      <c r="CD14" s="78">
        <f t="shared" si="49"/>
        <v>0</v>
      </c>
      <c r="CE14" s="78">
        <f t="shared" si="50"/>
        <v>0</v>
      </c>
      <c r="CF14" s="79">
        <f t="shared" si="51"/>
        <v>0</v>
      </c>
      <c r="CG14" s="77">
        <f t="shared" si="52"/>
        <v>0</v>
      </c>
      <c r="CH14" s="79"/>
      <c r="CI14" s="78"/>
      <c r="CJ14" s="78">
        <f t="shared" si="53"/>
        <v>0</v>
      </c>
      <c r="CK14" s="78">
        <f t="shared" si="54"/>
        <v>0</v>
      </c>
      <c r="CL14" s="79">
        <f t="shared" si="55"/>
        <v>0</v>
      </c>
      <c r="CM14" s="77">
        <f t="shared" si="56"/>
        <v>0</v>
      </c>
      <c r="CN14" s="79"/>
      <c r="CO14" s="78"/>
      <c r="CP14" s="78">
        <f t="shared" si="57"/>
        <v>0</v>
      </c>
      <c r="CQ14" s="78">
        <f t="shared" si="58"/>
        <v>0</v>
      </c>
      <c r="CR14" s="79">
        <f t="shared" si="59"/>
        <v>0</v>
      </c>
      <c r="CS14" s="77">
        <f t="shared" si="60"/>
        <v>0</v>
      </c>
      <c r="CT14" s="79"/>
      <c r="CU14" s="78"/>
      <c r="CV14" s="78">
        <f t="shared" si="61"/>
        <v>0</v>
      </c>
      <c r="CW14" s="78">
        <f t="shared" si="62"/>
        <v>0</v>
      </c>
      <c r="CX14" s="79">
        <f t="shared" si="63"/>
        <v>0</v>
      </c>
      <c r="CY14" s="77">
        <f t="shared" si="64"/>
        <v>0</v>
      </c>
      <c r="CZ14" s="79"/>
      <c r="DA14" s="78"/>
      <c r="DB14" s="78">
        <f t="shared" si="65"/>
        <v>0</v>
      </c>
      <c r="DC14" s="78">
        <f t="shared" si="66"/>
        <v>0</v>
      </c>
      <c r="DD14" s="79">
        <f t="shared" si="67"/>
        <v>0</v>
      </c>
      <c r="DE14" s="77">
        <f t="shared" si="68"/>
        <v>0</v>
      </c>
      <c r="DF14" s="79"/>
      <c r="DG14" s="78"/>
      <c r="DH14" s="78">
        <f t="shared" si="69"/>
        <v>0</v>
      </c>
      <c r="DI14" s="78">
        <f t="shared" si="70"/>
        <v>0</v>
      </c>
      <c r="DJ14" s="79">
        <f t="shared" si="71"/>
        <v>0</v>
      </c>
      <c r="DK14" s="77">
        <f t="shared" si="72"/>
        <v>0</v>
      </c>
      <c r="DL14" s="79"/>
      <c r="DM14" s="78"/>
      <c r="DN14" s="78">
        <f t="shared" si="73"/>
        <v>0</v>
      </c>
      <c r="DO14" s="78">
        <f t="shared" si="74"/>
        <v>0</v>
      </c>
      <c r="DP14" s="79">
        <f t="shared" si="75"/>
        <v>0</v>
      </c>
      <c r="DQ14" s="77">
        <f t="shared" si="76"/>
        <v>0</v>
      </c>
      <c r="DR14" s="79"/>
      <c r="DS14" s="78"/>
      <c r="DT14" s="78">
        <f t="shared" si="77"/>
        <v>0</v>
      </c>
      <c r="DU14" s="78">
        <f t="shared" si="78"/>
        <v>0</v>
      </c>
      <c r="DV14" s="79">
        <f t="shared" si="79"/>
        <v>0</v>
      </c>
      <c r="DW14" s="77">
        <f t="shared" si="80"/>
        <v>0</v>
      </c>
      <c r="DX14" s="79"/>
      <c r="DY14" s="78"/>
      <c r="DZ14" s="78">
        <f t="shared" si="81"/>
        <v>0</v>
      </c>
      <c r="EA14" s="78">
        <f t="shared" si="82"/>
        <v>0</v>
      </c>
      <c r="EB14" s="79">
        <f t="shared" si="83"/>
        <v>0</v>
      </c>
      <c r="EC14" s="77">
        <f t="shared" si="84"/>
        <v>0</v>
      </c>
      <c r="ED14" s="79"/>
      <c r="EE14" s="78"/>
      <c r="EF14" s="78">
        <f t="shared" si="85"/>
        <v>0</v>
      </c>
      <c r="EG14" s="78">
        <f t="shared" si="86"/>
        <v>0</v>
      </c>
      <c r="EH14" s="79">
        <f t="shared" si="87"/>
        <v>0</v>
      </c>
      <c r="EI14" s="77">
        <f t="shared" si="88"/>
        <v>0</v>
      </c>
      <c r="EJ14" s="79"/>
      <c r="EK14" s="78"/>
      <c r="EL14" s="78">
        <f t="shared" si="89"/>
        <v>0</v>
      </c>
      <c r="EM14" s="78">
        <f t="shared" si="90"/>
        <v>0</v>
      </c>
      <c r="EN14" s="79">
        <f t="shared" si="91"/>
        <v>0</v>
      </c>
      <c r="EO14" s="77">
        <f t="shared" si="92"/>
        <v>0</v>
      </c>
      <c r="EP14" s="79"/>
      <c r="EQ14" s="78"/>
      <c r="ER14" s="78">
        <f t="shared" si="93"/>
        <v>0</v>
      </c>
      <c r="ES14" s="78">
        <f t="shared" si="94"/>
        <v>0</v>
      </c>
      <c r="ET14" s="79">
        <f t="shared" si="95"/>
        <v>0</v>
      </c>
      <c r="EU14" s="77">
        <f t="shared" si="96"/>
        <v>0</v>
      </c>
      <c r="EV14" s="79"/>
      <c r="EW14" s="78"/>
      <c r="EX14" s="78">
        <f t="shared" si="97"/>
        <v>0</v>
      </c>
      <c r="EY14" s="78">
        <f t="shared" si="98"/>
        <v>0</v>
      </c>
      <c r="EZ14" s="79">
        <f t="shared" si="99"/>
        <v>0</v>
      </c>
      <c r="FA14" s="77">
        <f t="shared" si="100"/>
        <v>0</v>
      </c>
      <c r="FB14" s="79"/>
      <c r="FC14" s="78"/>
      <c r="FD14" s="78">
        <f t="shared" si="101"/>
        <v>0</v>
      </c>
      <c r="FE14" s="78">
        <f t="shared" si="102"/>
        <v>0</v>
      </c>
      <c r="FF14" s="79">
        <f t="shared" si="103"/>
        <v>0</v>
      </c>
      <c r="FG14" s="77">
        <f t="shared" si="104"/>
        <v>0</v>
      </c>
      <c r="FH14" s="79"/>
      <c r="FI14" s="78"/>
      <c r="FJ14" s="78">
        <f t="shared" si="105"/>
        <v>0</v>
      </c>
      <c r="FK14" s="78">
        <f t="shared" si="106"/>
        <v>0</v>
      </c>
      <c r="FL14" s="79">
        <f t="shared" si="107"/>
        <v>0</v>
      </c>
      <c r="FM14" s="77">
        <f t="shared" si="108"/>
        <v>0</v>
      </c>
      <c r="FN14" s="79"/>
      <c r="FO14" s="78"/>
      <c r="FP14" s="78">
        <f t="shared" si="109"/>
        <v>0</v>
      </c>
      <c r="FQ14" s="78">
        <f t="shared" si="110"/>
        <v>0</v>
      </c>
      <c r="FR14" s="79">
        <f t="shared" si="111"/>
        <v>0</v>
      </c>
      <c r="FS14" s="77">
        <f t="shared" si="112"/>
        <v>0</v>
      </c>
      <c r="FT14" s="79"/>
      <c r="FU14" s="78"/>
      <c r="FV14" s="78">
        <f t="shared" si="113"/>
        <v>0</v>
      </c>
      <c r="FW14" s="78">
        <f t="shared" si="114"/>
        <v>0</v>
      </c>
      <c r="FX14" s="79">
        <f t="shared" si="115"/>
        <v>0</v>
      </c>
      <c r="FY14" s="77">
        <f t="shared" si="116"/>
        <v>0</v>
      </c>
      <c r="FZ14" s="79"/>
      <c r="GA14" s="78"/>
      <c r="GB14" s="78">
        <f t="shared" si="117"/>
        <v>0</v>
      </c>
      <c r="GC14" s="78">
        <f t="shared" si="118"/>
        <v>0</v>
      </c>
      <c r="GD14" s="79">
        <f t="shared" si="119"/>
        <v>0</v>
      </c>
      <c r="GE14" s="77">
        <f t="shared" si="120"/>
        <v>0</v>
      </c>
      <c r="GF14" s="79"/>
      <c r="GG14" s="78"/>
      <c r="GH14" s="78">
        <f t="shared" si="121"/>
        <v>0</v>
      </c>
      <c r="GI14" s="78">
        <f t="shared" si="122"/>
        <v>0</v>
      </c>
      <c r="GJ14" s="79">
        <f t="shared" si="123"/>
        <v>0</v>
      </c>
      <c r="GK14" s="77">
        <f t="shared" si="124"/>
        <v>0</v>
      </c>
      <c r="GL14" s="79"/>
      <c r="GM14" s="78"/>
      <c r="GN14" s="78">
        <f t="shared" si="125"/>
        <v>0</v>
      </c>
      <c r="GO14" s="78">
        <f t="shared" si="126"/>
        <v>0</v>
      </c>
      <c r="GP14" s="79">
        <f t="shared" si="127"/>
        <v>0</v>
      </c>
      <c r="GQ14" s="77">
        <f t="shared" si="128"/>
        <v>0</v>
      </c>
      <c r="GR14" s="79"/>
      <c r="GS14" s="78"/>
      <c r="GT14" s="78">
        <f t="shared" si="129"/>
        <v>0</v>
      </c>
      <c r="GU14" s="78">
        <f t="shared" si="130"/>
        <v>0</v>
      </c>
      <c r="GV14" s="79">
        <f t="shared" si="131"/>
        <v>0</v>
      </c>
      <c r="GW14" s="77">
        <f t="shared" si="132"/>
        <v>0</v>
      </c>
      <c r="GX14" s="79"/>
      <c r="GY14" s="78"/>
      <c r="GZ14" s="78">
        <f t="shared" si="133"/>
        <v>0</v>
      </c>
      <c r="HA14" s="78">
        <f t="shared" si="134"/>
        <v>0</v>
      </c>
      <c r="HB14" s="79">
        <f t="shared" si="135"/>
        <v>0</v>
      </c>
      <c r="HC14" s="77">
        <f t="shared" si="136"/>
        <v>0</v>
      </c>
      <c r="HD14" s="79"/>
      <c r="HE14" s="79"/>
      <c r="HF14" s="79"/>
      <c r="HG14" s="79"/>
      <c r="HH14" s="79"/>
      <c r="HI14" s="79"/>
    </row>
    <row r="15" spans="1:217" s="52" customFormat="1" ht="12.75" hidden="1">
      <c r="A15" s="51">
        <v>44287</v>
      </c>
      <c r="C15" s="80"/>
      <c r="D15" s="80"/>
      <c r="E15" s="77">
        <f t="shared" si="0"/>
        <v>0</v>
      </c>
      <c r="F15" s="77"/>
      <c r="G15" s="77"/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0</v>
      </c>
      <c r="K15" s="79">
        <f t="shared" si="2"/>
        <v>0</v>
      </c>
      <c r="L15" s="79">
        <f t="shared" si="3"/>
        <v>0</v>
      </c>
      <c r="M15" s="79">
        <f t="shared" si="4"/>
        <v>0</v>
      </c>
      <c r="N15" s="79"/>
      <c r="O15" s="78">
        <f t="shared" si="137"/>
        <v>0</v>
      </c>
      <c r="P15" s="78">
        <f t="shared" si="5"/>
        <v>0</v>
      </c>
      <c r="Q15" s="79">
        <f t="shared" si="6"/>
        <v>0</v>
      </c>
      <c r="R15" s="79">
        <f t="shared" si="7"/>
        <v>0</v>
      </c>
      <c r="S15" s="77">
        <f t="shared" si="8"/>
        <v>0</v>
      </c>
      <c r="T15" s="79"/>
      <c r="U15" s="78">
        <f t="shared" si="138"/>
        <v>0</v>
      </c>
      <c r="V15" s="78">
        <f t="shared" si="9"/>
        <v>0</v>
      </c>
      <c r="W15" s="78">
        <f t="shared" si="10"/>
        <v>0</v>
      </c>
      <c r="X15" s="79">
        <f t="shared" si="11"/>
        <v>0</v>
      </c>
      <c r="Y15" s="77">
        <f t="shared" si="12"/>
        <v>0</v>
      </c>
      <c r="Z15" s="79"/>
      <c r="AA15" s="79">
        <f t="shared" si="139"/>
        <v>0</v>
      </c>
      <c r="AB15" s="78">
        <f t="shared" si="13"/>
        <v>0</v>
      </c>
      <c r="AC15" s="78">
        <f t="shared" si="14"/>
        <v>0</v>
      </c>
      <c r="AD15" s="79">
        <f t="shared" si="15"/>
        <v>0</v>
      </c>
      <c r="AE15" s="77">
        <f t="shared" si="16"/>
        <v>0</v>
      </c>
      <c r="AF15" s="79"/>
      <c r="AG15" s="78">
        <f t="shared" si="140"/>
        <v>0</v>
      </c>
      <c r="AH15" s="78">
        <f t="shared" si="17"/>
        <v>0</v>
      </c>
      <c r="AI15" s="78">
        <f t="shared" si="18"/>
        <v>0</v>
      </c>
      <c r="AJ15" s="79">
        <f t="shared" si="19"/>
        <v>0</v>
      </c>
      <c r="AK15" s="77">
        <f t="shared" si="20"/>
        <v>0</v>
      </c>
      <c r="AL15" s="79"/>
      <c r="AM15" s="78">
        <f t="shared" si="141"/>
        <v>0</v>
      </c>
      <c r="AN15" s="78">
        <f t="shared" si="21"/>
        <v>0</v>
      </c>
      <c r="AO15" s="78">
        <f t="shared" si="22"/>
        <v>0</v>
      </c>
      <c r="AP15" s="79">
        <f t="shared" si="23"/>
        <v>0</v>
      </c>
      <c r="AQ15" s="77">
        <f t="shared" si="24"/>
        <v>0</v>
      </c>
      <c r="AR15" s="78"/>
      <c r="AS15" s="78">
        <f t="shared" si="142"/>
        <v>0</v>
      </c>
      <c r="AT15" s="78">
        <f t="shared" si="25"/>
        <v>0</v>
      </c>
      <c r="AU15" s="78">
        <f t="shared" si="26"/>
        <v>0</v>
      </c>
      <c r="AV15" s="79">
        <f t="shared" si="27"/>
        <v>0</v>
      </c>
      <c r="AW15" s="77">
        <f t="shared" si="28"/>
        <v>0</v>
      </c>
      <c r="AX15" s="79"/>
      <c r="AY15" s="78">
        <f t="shared" si="143"/>
        <v>0</v>
      </c>
      <c r="AZ15" s="78">
        <f t="shared" si="29"/>
        <v>0</v>
      </c>
      <c r="BA15" s="78">
        <f t="shared" si="30"/>
        <v>0</v>
      </c>
      <c r="BB15" s="79">
        <f t="shared" si="31"/>
        <v>0</v>
      </c>
      <c r="BC15" s="77">
        <f t="shared" si="32"/>
        <v>0</v>
      </c>
      <c r="BD15" s="79"/>
      <c r="BE15" s="78">
        <f t="shared" si="144"/>
        <v>0</v>
      </c>
      <c r="BF15" s="78">
        <f t="shared" si="33"/>
        <v>0</v>
      </c>
      <c r="BG15" s="78">
        <f t="shared" si="34"/>
        <v>0</v>
      </c>
      <c r="BH15" s="79">
        <f t="shared" si="35"/>
        <v>0</v>
      </c>
      <c r="BI15" s="77">
        <f t="shared" si="36"/>
        <v>0</v>
      </c>
      <c r="BJ15" s="79"/>
      <c r="BK15" s="78">
        <f t="shared" si="145"/>
        <v>0</v>
      </c>
      <c r="BL15" s="78">
        <f t="shared" si="37"/>
        <v>0</v>
      </c>
      <c r="BM15" s="78">
        <f t="shared" si="38"/>
        <v>0</v>
      </c>
      <c r="BN15" s="79">
        <f t="shared" si="39"/>
        <v>0</v>
      </c>
      <c r="BO15" s="77">
        <f t="shared" si="40"/>
        <v>0</v>
      </c>
      <c r="BP15" s="79"/>
      <c r="BQ15" s="78">
        <f t="shared" si="146"/>
        <v>0</v>
      </c>
      <c r="BR15" s="78">
        <f t="shared" si="41"/>
        <v>0</v>
      </c>
      <c r="BS15" s="78">
        <f t="shared" si="42"/>
        <v>0</v>
      </c>
      <c r="BT15" s="79">
        <f t="shared" si="43"/>
        <v>0</v>
      </c>
      <c r="BU15" s="77">
        <f t="shared" si="44"/>
        <v>0</v>
      </c>
      <c r="BV15" s="79"/>
      <c r="BW15" s="78">
        <f t="shared" si="147"/>
        <v>0</v>
      </c>
      <c r="BX15" s="78">
        <f t="shared" si="45"/>
        <v>0</v>
      </c>
      <c r="BY15" s="78">
        <f t="shared" si="46"/>
        <v>0</v>
      </c>
      <c r="BZ15" s="79">
        <f t="shared" si="47"/>
        <v>0</v>
      </c>
      <c r="CA15" s="77">
        <f t="shared" si="48"/>
        <v>0</v>
      </c>
      <c r="CB15" s="78"/>
      <c r="CC15" s="78">
        <f t="shared" si="148"/>
        <v>0</v>
      </c>
      <c r="CD15" s="78">
        <f t="shared" si="49"/>
        <v>0</v>
      </c>
      <c r="CE15" s="78">
        <f t="shared" si="50"/>
        <v>0</v>
      </c>
      <c r="CF15" s="79">
        <f t="shared" si="51"/>
        <v>0</v>
      </c>
      <c r="CG15" s="77">
        <f t="shared" si="52"/>
        <v>0</v>
      </c>
      <c r="CH15" s="79"/>
      <c r="CI15" s="78">
        <f t="shared" si="149"/>
        <v>0</v>
      </c>
      <c r="CJ15" s="78">
        <f t="shared" si="53"/>
        <v>0</v>
      </c>
      <c r="CK15" s="78">
        <f t="shared" si="54"/>
        <v>0</v>
      </c>
      <c r="CL15" s="79">
        <f t="shared" si="55"/>
        <v>0</v>
      </c>
      <c r="CM15" s="77">
        <f t="shared" si="56"/>
        <v>0</v>
      </c>
      <c r="CN15" s="79"/>
      <c r="CO15" s="78">
        <f t="shared" si="150"/>
        <v>0</v>
      </c>
      <c r="CP15" s="78">
        <f t="shared" si="57"/>
        <v>0</v>
      </c>
      <c r="CQ15" s="78">
        <f t="shared" si="58"/>
        <v>0</v>
      </c>
      <c r="CR15" s="79">
        <f t="shared" si="59"/>
        <v>0</v>
      </c>
      <c r="CS15" s="77">
        <f t="shared" si="60"/>
        <v>0</v>
      </c>
      <c r="CT15" s="79"/>
      <c r="CU15" s="78">
        <f t="shared" si="151"/>
        <v>0</v>
      </c>
      <c r="CV15" s="78">
        <f t="shared" si="61"/>
        <v>0</v>
      </c>
      <c r="CW15" s="78">
        <f t="shared" si="62"/>
        <v>0</v>
      </c>
      <c r="CX15" s="79">
        <f t="shared" si="63"/>
        <v>0</v>
      </c>
      <c r="CY15" s="77">
        <f t="shared" si="64"/>
        <v>0</v>
      </c>
      <c r="CZ15" s="79"/>
      <c r="DA15" s="78">
        <f t="shared" si="152"/>
        <v>0</v>
      </c>
      <c r="DB15" s="78">
        <f t="shared" si="65"/>
        <v>0</v>
      </c>
      <c r="DC15" s="78">
        <f t="shared" si="66"/>
        <v>0</v>
      </c>
      <c r="DD15" s="79">
        <f t="shared" si="67"/>
        <v>0</v>
      </c>
      <c r="DE15" s="77">
        <f t="shared" si="68"/>
        <v>0</v>
      </c>
      <c r="DF15" s="79"/>
      <c r="DG15" s="78">
        <f t="shared" si="153"/>
        <v>0</v>
      </c>
      <c r="DH15" s="78">
        <f t="shared" si="69"/>
        <v>0</v>
      </c>
      <c r="DI15" s="78">
        <f t="shared" si="70"/>
        <v>0</v>
      </c>
      <c r="DJ15" s="79">
        <f t="shared" si="71"/>
        <v>0</v>
      </c>
      <c r="DK15" s="77">
        <f t="shared" si="72"/>
        <v>0</v>
      </c>
      <c r="DL15" s="79"/>
      <c r="DM15" s="78">
        <f t="shared" si="154"/>
        <v>0</v>
      </c>
      <c r="DN15" s="78">
        <f t="shared" si="73"/>
        <v>0</v>
      </c>
      <c r="DO15" s="78">
        <f t="shared" si="74"/>
        <v>0</v>
      </c>
      <c r="DP15" s="79">
        <f t="shared" si="75"/>
        <v>0</v>
      </c>
      <c r="DQ15" s="77">
        <f t="shared" si="76"/>
        <v>0</v>
      </c>
      <c r="DR15" s="79"/>
      <c r="DS15" s="78">
        <f t="shared" si="155"/>
        <v>0</v>
      </c>
      <c r="DT15" s="78">
        <f t="shared" si="77"/>
        <v>0</v>
      </c>
      <c r="DU15" s="78">
        <f t="shared" si="78"/>
        <v>0</v>
      </c>
      <c r="DV15" s="79">
        <f t="shared" si="79"/>
        <v>0</v>
      </c>
      <c r="DW15" s="77">
        <f t="shared" si="80"/>
        <v>0</v>
      </c>
      <c r="DX15" s="79"/>
      <c r="DY15" s="78">
        <f t="shared" si="156"/>
        <v>0</v>
      </c>
      <c r="DZ15" s="78">
        <f t="shared" si="81"/>
        <v>0</v>
      </c>
      <c r="EA15" s="78">
        <f t="shared" si="82"/>
        <v>0</v>
      </c>
      <c r="EB15" s="79">
        <f t="shared" si="83"/>
        <v>0</v>
      </c>
      <c r="EC15" s="77">
        <f t="shared" si="84"/>
        <v>0</v>
      </c>
      <c r="ED15" s="79"/>
      <c r="EE15" s="78">
        <f t="shared" si="157"/>
        <v>0</v>
      </c>
      <c r="EF15" s="78">
        <f t="shared" si="85"/>
        <v>0</v>
      </c>
      <c r="EG15" s="78">
        <f t="shared" si="86"/>
        <v>0</v>
      </c>
      <c r="EH15" s="79">
        <f t="shared" si="87"/>
        <v>0</v>
      </c>
      <c r="EI15" s="77">
        <f t="shared" si="88"/>
        <v>0</v>
      </c>
      <c r="EJ15" s="79"/>
      <c r="EK15" s="78">
        <f t="shared" si="158"/>
        <v>0</v>
      </c>
      <c r="EL15" s="78">
        <f t="shared" si="89"/>
        <v>0</v>
      </c>
      <c r="EM15" s="78">
        <f t="shared" si="90"/>
        <v>0</v>
      </c>
      <c r="EN15" s="79">
        <f t="shared" si="91"/>
        <v>0</v>
      </c>
      <c r="EO15" s="77">
        <f t="shared" si="92"/>
        <v>0</v>
      </c>
      <c r="EP15" s="79"/>
      <c r="EQ15" s="78">
        <f t="shared" si="159"/>
        <v>0</v>
      </c>
      <c r="ER15" s="78">
        <f t="shared" si="93"/>
        <v>0</v>
      </c>
      <c r="ES15" s="78">
        <f t="shared" si="94"/>
        <v>0</v>
      </c>
      <c r="ET15" s="79">
        <f t="shared" si="95"/>
        <v>0</v>
      </c>
      <c r="EU15" s="77">
        <f t="shared" si="96"/>
        <v>0</v>
      </c>
      <c r="EV15" s="79"/>
      <c r="EW15" s="78">
        <f t="shared" si="160"/>
        <v>0</v>
      </c>
      <c r="EX15" s="78">
        <f t="shared" si="97"/>
        <v>0</v>
      </c>
      <c r="EY15" s="78">
        <f t="shared" si="98"/>
        <v>0</v>
      </c>
      <c r="EZ15" s="79">
        <f t="shared" si="99"/>
        <v>0</v>
      </c>
      <c r="FA15" s="77">
        <f t="shared" si="100"/>
        <v>0</v>
      </c>
      <c r="FB15" s="79"/>
      <c r="FC15" s="78">
        <f t="shared" si="161"/>
        <v>0</v>
      </c>
      <c r="FD15" s="78">
        <f t="shared" si="101"/>
        <v>0</v>
      </c>
      <c r="FE15" s="78">
        <f t="shared" si="102"/>
        <v>0</v>
      </c>
      <c r="FF15" s="79">
        <f t="shared" si="103"/>
        <v>0</v>
      </c>
      <c r="FG15" s="77">
        <f t="shared" si="104"/>
        <v>0</v>
      </c>
      <c r="FH15" s="79"/>
      <c r="FI15" s="78">
        <f t="shared" si="162"/>
        <v>0</v>
      </c>
      <c r="FJ15" s="78">
        <f t="shared" si="105"/>
        <v>0</v>
      </c>
      <c r="FK15" s="78">
        <f t="shared" si="106"/>
        <v>0</v>
      </c>
      <c r="FL15" s="79">
        <f t="shared" si="107"/>
        <v>0</v>
      </c>
      <c r="FM15" s="77">
        <f t="shared" si="108"/>
        <v>0</v>
      </c>
      <c r="FN15" s="79"/>
      <c r="FO15" s="78">
        <f t="shared" si="163"/>
        <v>0</v>
      </c>
      <c r="FP15" s="78">
        <f t="shared" si="109"/>
        <v>0</v>
      </c>
      <c r="FQ15" s="78">
        <f t="shared" si="110"/>
        <v>0</v>
      </c>
      <c r="FR15" s="79">
        <f t="shared" si="111"/>
        <v>0</v>
      </c>
      <c r="FS15" s="77">
        <f t="shared" si="112"/>
        <v>0</v>
      </c>
      <c r="FT15" s="79"/>
      <c r="FU15" s="78">
        <f t="shared" si="164"/>
        <v>0</v>
      </c>
      <c r="FV15" s="78">
        <f t="shared" si="113"/>
        <v>0</v>
      </c>
      <c r="FW15" s="78">
        <f t="shared" si="114"/>
        <v>0</v>
      </c>
      <c r="FX15" s="79">
        <f t="shared" si="115"/>
        <v>0</v>
      </c>
      <c r="FY15" s="77">
        <f t="shared" si="116"/>
        <v>0</v>
      </c>
      <c r="FZ15" s="79"/>
      <c r="GA15" s="78">
        <f t="shared" si="165"/>
        <v>0</v>
      </c>
      <c r="GB15" s="78">
        <f t="shared" si="117"/>
        <v>0</v>
      </c>
      <c r="GC15" s="78">
        <f t="shared" si="118"/>
        <v>0</v>
      </c>
      <c r="GD15" s="79">
        <f t="shared" si="119"/>
        <v>0</v>
      </c>
      <c r="GE15" s="77">
        <f t="shared" si="120"/>
        <v>0</v>
      </c>
      <c r="GF15" s="79"/>
      <c r="GG15" s="78">
        <f t="shared" si="166"/>
        <v>0</v>
      </c>
      <c r="GH15" s="78">
        <f t="shared" si="121"/>
        <v>0</v>
      </c>
      <c r="GI15" s="78">
        <f t="shared" si="122"/>
        <v>0</v>
      </c>
      <c r="GJ15" s="79">
        <f t="shared" si="123"/>
        <v>0</v>
      </c>
      <c r="GK15" s="77">
        <f t="shared" si="124"/>
        <v>0</v>
      </c>
      <c r="GL15" s="79"/>
      <c r="GM15" s="78">
        <f t="shared" si="167"/>
        <v>0</v>
      </c>
      <c r="GN15" s="78">
        <f t="shared" si="125"/>
        <v>0</v>
      </c>
      <c r="GO15" s="78">
        <f t="shared" si="126"/>
        <v>0</v>
      </c>
      <c r="GP15" s="79">
        <f t="shared" si="127"/>
        <v>0</v>
      </c>
      <c r="GQ15" s="77">
        <f t="shared" si="128"/>
        <v>0</v>
      </c>
      <c r="GR15" s="79"/>
      <c r="GS15" s="78">
        <f t="shared" si="168"/>
        <v>0</v>
      </c>
      <c r="GT15" s="78">
        <f t="shared" si="129"/>
        <v>0</v>
      </c>
      <c r="GU15" s="78">
        <f t="shared" si="130"/>
        <v>0</v>
      </c>
      <c r="GV15" s="79">
        <f t="shared" si="131"/>
        <v>0</v>
      </c>
      <c r="GW15" s="77">
        <f t="shared" si="132"/>
        <v>0</v>
      </c>
      <c r="GX15" s="79"/>
      <c r="GY15" s="78">
        <f t="shared" si="169"/>
        <v>0</v>
      </c>
      <c r="GZ15" s="78">
        <f t="shared" si="133"/>
        <v>0</v>
      </c>
      <c r="HA15" s="78">
        <f t="shared" si="134"/>
        <v>0</v>
      </c>
      <c r="HB15" s="79">
        <f t="shared" si="135"/>
        <v>0</v>
      </c>
      <c r="HC15" s="77">
        <f t="shared" si="136"/>
        <v>0</v>
      </c>
      <c r="HD15" s="79"/>
      <c r="HE15" s="79"/>
      <c r="HF15" s="79"/>
      <c r="HG15" s="79"/>
      <c r="HH15" s="79"/>
      <c r="HI15" s="79"/>
    </row>
    <row r="16" spans="1:217" s="52" customFormat="1" ht="12.75" hidden="1">
      <c r="A16" s="51">
        <v>44470</v>
      </c>
      <c r="C16" s="80"/>
      <c r="D16" s="80"/>
      <c r="E16" s="77">
        <f t="shared" si="0"/>
        <v>0</v>
      </c>
      <c r="F16" s="77"/>
      <c r="G16" s="77"/>
      <c r="H16" s="79"/>
      <c r="I16" s="79"/>
      <c r="J16" s="79">
        <f t="shared" si="1"/>
        <v>0</v>
      </c>
      <c r="K16" s="79">
        <f t="shared" si="2"/>
        <v>0</v>
      </c>
      <c r="L16" s="79">
        <f t="shared" si="3"/>
        <v>0</v>
      </c>
      <c r="M16" s="79">
        <f t="shared" si="4"/>
        <v>0</v>
      </c>
      <c r="N16" s="79"/>
      <c r="O16" s="78"/>
      <c r="P16" s="78">
        <f t="shared" si="5"/>
        <v>0</v>
      </c>
      <c r="Q16" s="79">
        <f t="shared" si="6"/>
        <v>0</v>
      </c>
      <c r="R16" s="79">
        <f t="shared" si="7"/>
        <v>0</v>
      </c>
      <c r="S16" s="77">
        <f t="shared" si="8"/>
        <v>0</v>
      </c>
      <c r="T16" s="79"/>
      <c r="U16" s="78"/>
      <c r="V16" s="78">
        <f t="shared" si="9"/>
        <v>0</v>
      </c>
      <c r="W16" s="78">
        <f t="shared" si="10"/>
        <v>0</v>
      </c>
      <c r="X16" s="79">
        <f t="shared" si="11"/>
        <v>0</v>
      </c>
      <c r="Y16" s="77">
        <f t="shared" si="12"/>
        <v>0</v>
      </c>
      <c r="Z16" s="79"/>
      <c r="AA16" s="79"/>
      <c r="AB16" s="78">
        <f t="shared" si="13"/>
        <v>0</v>
      </c>
      <c r="AC16" s="78">
        <f t="shared" si="14"/>
        <v>0</v>
      </c>
      <c r="AD16" s="79">
        <f t="shared" si="15"/>
        <v>0</v>
      </c>
      <c r="AE16" s="77">
        <f t="shared" si="16"/>
        <v>0</v>
      </c>
      <c r="AF16" s="79"/>
      <c r="AG16" s="78"/>
      <c r="AH16" s="78">
        <f t="shared" si="17"/>
        <v>0</v>
      </c>
      <c r="AI16" s="78">
        <f t="shared" si="18"/>
        <v>0</v>
      </c>
      <c r="AJ16" s="79">
        <f t="shared" si="19"/>
        <v>0</v>
      </c>
      <c r="AK16" s="77">
        <f t="shared" si="20"/>
        <v>0</v>
      </c>
      <c r="AL16" s="79"/>
      <c r="AM16" s="78"/>
      <c r="AN16" s="78">
        <f t="shared" si="21"/>
        <v>0</v>
      </c>
      <c r="AO16" s="78">
        <f t="shared" si="22"/>
        <v>0</v>
      </c>
      <c r="AP16" s="79">
        <f t="shared" si="23"/>
        <v>0</v>
      </c>
      <c r="AQ16" s="77">
        <f t="shared" si="24"/>
        <v>0</v>
      </c>
      <c r="AR16" s="78"/>
      <c r="AS16" s="78"/>
      <c r="AT16" s="78">
        <f t="shared" si="25"/>
        <v>0</v>
      </c>
      <c r="AU16" s="78">
        <f t="shared" si="26"/>
        <v>0</v>
      </c>
      <c r="AV16" s="79">
        <f t="shared" si="27"/>
        <v>0</v>
      </c>
      <c r="AW16" s="77">
        <f t="shared" si="28"/>
        <v>0</v>
      </c>
      <c r="AX16" s="79"/>
      <c r="AY16" s="78"/>
      <c r="AZ16" s="78">
        <f t="shared" si="29"/>
        <v>0</v>
      </c>
      <c r="BA16" s="78">
        <f t="shared" si="30"/>
        <v>0</v>
      </c>
      <c r="BB16" s="79">
        <f t="shared" si="31"/>
        <v>0</v>
      </c>
      <c r="BC16" s="77">
        <f t="shared" si="32"/>
        <v>0</v>
      </c>
      <c r="BD16" s="79"/>
      <c r="BE16" s="78"/>
      <c r="BF16" s="78">
        <f t="shared" si="33"/>
        <v>0</v>
      </c>
      <c r="BG16" s="78">
        <f t="shared" si="34"/>
        <v>0</v>
      </c>
      <c r="BH16" s="79">
        <f t="shared" si="35"/>
        <v>0</v>
      </c>
      <c r="BI16" s="77">
        <f t="shared" si="36"/>
        <v>0</v>
      </c>
      <c r="BJ16" s="79"/>
      <c r="BK16" s="78"/>
      <c r="BL16" s="78">
        <f t="shared" si="37"/>
        <v>0</v>
      </c>
      <c r="BM16" s="78">
        <f t="shared" si="38"/>
        <v>0</v>
      </c>
      <c r="BN16" s="79">
        <f t="shared" si="39"/>
        <v>0</v>
      </c>
      <c r="BO16" s="77">
        <f t="shared" si="40"/>
        <v>0</v>
      </c>
      <c r="BP16" s="79"/>
      <c r="BQ16" s="78"/>
      <c r="BR16" s="78">
        <f t="shared" si="41"/>
        <v>0</v>
      </c>
      <c r="BS16" s="78">
        <f t="shared" si="42"/>
        <v>0</v>
      </c>
      <c r="BT16" s="79">
        <f t="shared" si="43"/>
        <v>0</v>
      </c>
      <c r="BU16" s="77">
        <f t="shared" si="44"/>
        <v>0</v>
      </c>
      <c r="BV16" s="79"/>
      <c r="BW16" s="78"/>
      <c r="BX16" s="78">
        <f t="shared" si="45"/>
        <v>0</v>
      </c>
      <c r="BY16" s="78">
        <f t="shared" si="46"/>
        <v>0</v>
      </c>
      <c r="BZ16" s="79">
        <f t="shared" si="47"/>
        <v>0</v>
      </c>
      <c r="CA16" s="77">
        <f t="shared" si="48"/>
        <v>0</v>
      </c>
      <c r="CB16" s="78"/>
      <c r="CC16" s="78"/>
      <c r="CD16" s="78">
        <f t="shared" si="49"/>
        <v>0</v>
      </c>
      <c r="CE16" s="78">
        <f t="shared" si="50"/>
        <v>0</v>
      </c>
      <c r="CF16" s="79">
        <f t="shared" si="51"/>
        <v>0</v>
      </c>
      <c r="CG16" s="77">
        <f t="shared" si="52"/>
        <v>0</v>
      </c>
      <c r="CH16" s="79"/>
      <c r="CI16" s="78"/>
      <c r="CJ16" s="78">
        <f t="shared" si="53"/>
        <v>0</v>
      </c>
      <c r="CK16" s="78">
        <f t="shared" si="54"/>
        <v>0</v>
      </c>
      <c r="CL16" s="79">
        <f t="shared" si="55"/>
        <v>0</v>
      </c>
      <c r="CM16" s="77">
        <f t="shared" si="56"/>
        <v>0</v>
      </c>
      <c r="CN16" s="79"/>
      <c r="CO16" s="78"/>
      <c r="CP16" s="78">
        <f t="shared" si="57"/>
        <v>0</v>
      </c>
      <c r="CQ16" s="78">
        <f t="shared" si="58"/>
        <v>0</v>
      </c>
      <c r="CR16" s="79">
        <f t="shared" si="59"/>
        <v>0</v>
      </c>
      <c r="CS16" s="77">
        <f t="shared" si="60"/>
        <v>0</v>
      </c>
      <c r="CT16" s="79"/>
      <c r="CU16" s="78"/>
      <c r="CV16" s="78">
        <f t="shared" si="61"/>
        <v>0</v>
      </c>
      <c r="CW16" s="78">
        <f t="shared" si="62"/>
        <v>0</v>
      </c>
      <c r="CX16" s="79">
        <f t="shared" si="63"/>
        <v>0</v>
      </c>
      <c r="CY16" s="77">
        <f t="shared" si="64"/>
        <v>0</v>
      </c>
      <c r="CZ16" s="79"/>
      <c r="DA16" s="78"/>
      <c r="DB16" s="78">
        <f t="shared" si="65"/>
        <v>0</v>
      </c>
      <c r="DC16" s="78">
        <f t="shared" si="66"/>
        <v>0</v>
      </c>
      <c r="DD16" s="79">
        <f t="shared" si="67"/>
        <v>0</v>
      </c>
      <c r="DE16" s="77">
        <f t="shared" si="68"/>
        <v>0</v>
      </c>
      <c r="DF16" s="79"/>
      <c r="DG16" s="78"/>
      <c r="DH16" s="78">
        <f t="shared" si="69"/>
        <v>0</v>
      </c>
      <c r="DI16" s="78">
        <f t="shared" si="70"/>
        <v>0</v>
      </c>
      <c r="DJ16" s="79">
        <f t="shared" si="71"/>
        <v>0</v>
      </c>
      <c r="DK16" s="77">
        <f t="shared" si="72"/>
        <v>0</v>
      </c>
      <c r="DL16" s="79"/>
      <c r="DM16" s="78"/>
      <c r="DN16" s="78">
        <f t="shared" si="73"/>
        <v>0</v>
      </c>
      <c r="DO16" s="78">
        <f t="shared" si="74"/>
        <v>0</v>
      </c>
      <c r="DP16" s="79">
        <f t="shared" si="75"/>
        <v>0</v>
      </c>
      <c r="DQ16" s="77">
        <f t="shared" si="76"/>
        <v>0</v>
      </c>
      <c r="DR16" s="79"/>
      <c r="DS16" s="78"/>
      <c r="DT16" s="78">
        <f t="shared" si="77"/>
        <v>0</v>
      </c>
      <c r="DU16" s="78">
        <f t="shared" si="78"/>
        <v>0</v>
      </c>
      <c r="DV16" s="79">
        <f t="shared" si="79"/>
        <v>0</v>
      </c>
      <c r="DW16" s="77">
        <f t="shared" si="80"/>
        <v>0</v>
      </c>
      <c r="DX16" s="79"/>
      <c r="DY16" s="78"/>
      <c r="DZ16" s="78">
        <f t="shared" si="81"/>
        <v>0</v>
      </c>
      <c r="EA16" s="78">
        <f t="shared" si="82"/>
        <v>0</v>
      </c>
      <c r="EB16" s="79">
        <f t="shared" si="83"/>
        <v>0</v>
      </c>
      <c r="EC16" s="77">
        <f t="shared" si="84"/>
        <v>0</v>
      </c>
      <c r="ED16" s="79"/>
      <c r="EE16" s="78"/>
      <c r="EF16" s="78">
        <f t="shared" si="85"/>
        <v>0</v>
      </c>
      <c r="EG16" s="78">
        <f t="shared" si="86"/>
        <v>0</v>
      </c>
      <c r="EH16" s="79">
        <f t="shared" si="87"/>
        <v>0</v>
      </c>
      <c r="EI16" s="77">
        <f t="shared" si="88"/>
        <v>0</v>
      </c>
      <c r="EJ16" s="79"/>
      <c r="EK16" s="78"/>
      <c r="EL16" s="78">
        <f t="shared" si="89"/>
        <v>0</v>
      </c>
      <c r="EM16" s="78">
        <f t="shared" si="90"/>
        <v>0</v>
      </c>
      <c r="EN16" s="79">
        <f t="shared" si="91"/>
        <v>0</v>
      </c>
      <c r="EO16" s="77">
        <f t="shared" si="92"/>
        <v>0</v>
      </c>
      <c r="EP16" s="79"/>
      <c r="EQ16" s="78"/>
      <c r="ER16" s="78">
        <f t="shared" si="93"/>
        <v>0</v>
      </c>
      <c r="ES16" s="78">
        <f t="shared" si="94"/>
        <v>0</v>
      </c>
      <c r="ET16" s="79">
        <f t="shared" si="95"/>
        <v>0</v>
      </c>
      <c r="EU16" s="77">
        <f t="shared" si="96"/>
        <v>0</v>
      </c>
      <c r="EV16" s="79"/>
      <c r="EW16" s="78"/>
      <c r="EX16" s="78">
        <f t="shared" si="97"/>
        <v>0</v>
      </c>
      <c r="EY16" s="78">
        <f t="shared" si="98"/>
        <v>0</v>
      </c>
      <c r="EZ16" s="79">
        <f t="shared" si="99"/>
        <v>0</v>
      </c>
      <c r="FA16" s="77">
        <f t="shared" si="100"/>
        <v>0</v>
      </c>
      <c r="FB16" s="79"/>
      <c r="FC16" s="78"/>
      <c r="FD16" s="78">
        <f t="shared" si="101"/>
        <v>0</v>
      </c>
      <c r="FE16" s="78">
        <f t="shared" si="102"/>
        <v>0</v>
      </c>
      <c r="FF16" s="79">
        <f t="shared" si="103"/>
        <v>0</v>
      </c>
      <c r="FG16" s="77">
        <f t="shared" si="104"/>
        <v>0</v>
      </c>
      <c r="FH16" s="79"/>
      <c r="FI16" s="78"/>
      <c r="FJ16" s="78">
        <f t="shared" si="105"/>
        <v>0</v>
      </c>
      <c r="FK16" s="78">
        <f t="shared" si="106"/>
        <v>0</v>
      </c>
      <c r="FL16" s="79">
        <f t="shared" si="107"/>
        <v>0</v>
      </c>
      <c r="FM16" s="77">
        <f t="shared" si="108"/>
        <v>0</v>
      </c>
      <c r="FN16" s="79"/>
      <c r="FO16" s="78"/>
      <c r="FP16" s="78">
        <f t="shared" si="109"/>
        <v>0</v>
      </c>
      <c r="FQ16" s="78">
        <f t="shared" si="110"/>
        <v>0</v>
      </c>
      <c r="FR16" s="79">
        <f t="shared" si="111"/>
        <v>0</v>
      </c>
      <c r="FS16" s="77">
        <f t="shared" si="112"/>
        <v>0</v>
      </c>
      <c r="FT16" s="79"/>
      <c r="FU16" s="78"/>
      <c r="FV16" s="78">
        <f t="shared" si="113"/>
        <v>0</v>
      </c>
      <c r="FW16" s="78">
        <f t="shared" si="114"/>
        <v>0</v>
      </c>
      <c r="FX16" s="79">
        <f t="shared" si="115"/>
        <v>0</v>
      </c>
      <c r="FY16" s="77">
        <f t="shared" si="116"/>
        <v>0</v>
      </c>
      <c r="FZ16" s="79"/>
      <c r="GA16" s="78"/>
      <c r="GB16" s="78">
        <f t="shared" si="117"/>
        <v>0</v>
      </c>
      <c r="GC16" s="78">
        <f t="shared" si="118"/>
        <v>0</v>
      </c>
      <c r="GD16" s="79">
        <f t="shared" si="119"/>
        <v>0</v>
      </c>
      <c r="GE16" s="77">
        <f t="shared" si="120"/>
        <v>0</v>
      </c>
      <c r="GF16" s="79"/>
      <c r="GG16" s="78"/>
      <c r="GH16" s="78">
        <f t="shared" si="121"/>
        <v>0</v>
      </c>
      <c r="GI16" s="78">
        <f t="shared" si="122"/>
        <v>0</v>
      </c>
      <c r="GJ16" s="79">
        <f t="shared" si="123"/>
        <v>0</v>
      </c>
      <c r="GK16" s="77">
        <f t="shared" si="124"/>
        <v>0</v>
      </c>
      <c r="GL16" s="79"/>
      <c r="GM16" s="78"/>
      <c r="GN16" s="78">
        <f t="shared" si="125"/>
        <v>0</v>
      </c>
      <c r="GO16" s="78">
        <f t="shared" si="126"/>
        <v>0</v>
      </c>
      <c r="GP16" s="79">
        <f t="shared" si="127"/>
        <v>0</v>
      </c>
      <c r="GQ16" s="77">
        <f t="shared" si="128"/>
        <v>0</v>
      </c>
      <c r="GR16" s="79"/>
      <c r="GS16" s="78"/>
      <c r="GT16" s="78">
        <f t="shared" si="129"/>
        <v>0</v>
      </c>
      <c r="GU16" s="78">
        <f t="shared" si="130"/>
        <v>0</v>
      </c>
      <c r="GV16" s="79">
        <f t="shared" si="131"/>
        <v>0</v>
      </c>
      <c r="GW16" s="77">
        <f t="shared" si="132"/>
        <v>0</v>
      </c>
      <c r="GX16" s="79"/>
      <c r="GY16" s="78"/>
      <c r="GZ16" s="78">
        <f t="shared" si="133"/>
        <v>0</v>
      </c>
      <c r="HA16" s="78">
        <f t="shared" si="134"/>
        <v>0</v>
      </c>
      <c r="HB16" s="79">
        <f t="shared" si="135"/>
        <v>0</v>
      </c>
      <c r="HC16" s="77">
        <f t="shared" si="136"/>
        <v>0</v>
      </c>
      <c r="HD16" s="79"/>
      <c r="HE16" s="79"/>
      <c r="HF16" s="79"/>
      <c r="HG16" s="79"/>
      <c r="HH16" s="79"/>
      <c r="HI16" s="79"/>
    </row>
    <row r="17" spans="1:217" s="52" customFormat="1" ht="12.75" hidden="1">
      <c r="A17" s="51">
        <v>44652</v>
      </c>
      <c r="C17" s="80"/>
      <c r="D17" s="80"/>
      <c r="E17" s="77">
        <f t="shared" si="0"/>
        <v>0</v>
      </c>
      <c r="F17" s="77"/>
      <c r="G17" s="77"/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79">
        <f t="shared" si="4"/>
        <v>0</v>
      </c>
      <c r="N17" s="79"/>
      <c r="O17" s="78">
        <f t="shared" si="137"/>
        <v>0</v>
      </c>
      <c r="P17" s="78">
        <f t="shared" si="5"/>
        <v>0</v>
      </c>
      <c r="Q17" s="79">
        <f t="shared" si="6"/>
        <v>0</v>
      </c>
      <c r="R17" s="79">
        <f t="shared" si="7"/>
        <v>0</v>
      </c>
      <c r="S17" s="77">
        <f t="shared" si="8"/>
        <v>0</v>
      </c>
      <c r="T17" s="79"/>
      <c r="U17" s="78">
        <f t="shared" si="138"/>
        <v>0</v>
      </c>
      <c r="V17" s="78">
        <f t="shared" si="9"/>
        <v>0</v>
      </c>
      <c r="W17" s="78">
        <f t="shared" si="10"/>
        <v>0</v>
      </c>
      <c r="X17" s="79">
        <f t="shared" si="11"/>
        <v>0</v>
      </c>
      <c r="Y17" s="77">
        <f t="shared" si="12"/>
        <v>0</v>
      </c>
      <c r="Z17" s="79"/>
      <c r="AA17" s="79">
        <f t="shared" si="139"/>
        <v>0</v>
      </c>
      <c r="AB17" s="78">
        <f t="shared" si="13"/>
        <v>0</v>
      </c>
      <c r="AC17" s="78">
        <f t="shared" si="14"/>
        <v>0</v>
      </c>
      <c r="AD17" s="79">
        <f t="shared" si="15"/>
        <v>0</v>
      </c>
      <c r="AE17" s="77">
        <f t="shared" si="16"/>
        <v>0</v>
      </c>
      <c r="AF17" s="79"/>
      <c r="AG17" s="78">
        <f t="shared" si="140"/>
        <v>0</v>
      </c>
      <c r="AH17" s="78">
        <f t="shared" si="17"/>
        <v>0</v>
      </c>
      <c r="AI17" s="78">
        <f t="shared" si="18"/>
        <v>0</v>
      </c>
      <c r="AJ17" s="79">
        <f t="shared" si="19"/>
        <v>0</v>
      </c>
      <c r="AK17" s="77">
        <f t="shared" si="20"/>
        <v>0</v>
      </c>
      <c r="AL17" s="79"/>
      <c r="AM17" s="78">
        <f t="shared" si="141"/>
        <v>0</v>
      </c>
      <c r="AN17" s="78">
        <f t="shared" si="21"/>
        <v>0</v>
      </c>
      <c r="AO17" s="78">
        <f t="shared" si="22"/>
        <v>0</v>
      </c>
      <c r="AP17" s="79">
        <f t="shared" si="23"/>
        <v>0</v>
      </c>
      <c r="AQ17" s="77">
        <f t="shared" si="24"/>
        <v>0</v>
      </c>
      <c r="AR17" s="78"/>
      <c r="AS17" s="78">
        <f t="shared" si="142"/>
        <v>0</v>
      </c>
      <c r="AT17" s="78">
        <f t="shared" si="25"/>
        <v>0</v>
      </c>
      <c r="AU17" s="78">
        <f t="shared" si="26"/>
        <v>0</v>
      </c>
      <c r="AV17" s="79">
        <f t="shared" si="27"/>
        <v>0</v>
      </c>
      <c r="AW17" s="77">
        <f t="shared" si="28"/>
        <v>0</v>
      </c>
      <c r="AX17" s="79"/>
      <c r="AY17" s="78">
        <f t="shared" si="143"/>
        <v>0</v>
      </c>
      <c r="AZ17" s="78">
        <f t="shared" si="29"/>
        <v>0</v>
      </c>
      <c r="BA17" s="78">
        <f t="shared" si="30"/>
        <v>0</v>
      </c>
      <c r="BB17" s="79">
        <f t="shared" si="31"/>
        <v>0</v>
      </c>
      <c r="BC17" s="77">
        <f t="shared" si="32"/>
        <v>0</v>
      </c>
      <c r="BD17" s="79"/>
      <c r="BE17" s="78">
        <f t="shared" si="144"/>
        <v>0</v>
      </c>
      <c r="BF17" s="78">
        <f t="shared" si="33"/>
        <v>0</v>
      </c>
      <c r="BG17" s="78">
        <f t="shared" si="34"/>
        <v>0</v>
      </c>
      <c r="BH17" s="79">
        <f t="shared" si="35"/>
        <v>0</v>
      </c>
      <c r="BI17" s="77">
        <f t="shared" si="36"/>
        <v>0</v>
      </c>
      <c r="BJ17" s="79"/>
      <c r="BK17" s="78">
        <f t="shared" si="145"/>
        <v>0</v>
      </c>
      <c r="BL17" s="78">
        <f t="shared" si="37"/>
        <v>0</v>
      </c>
      <c r="BM17" s="78">
        <f t="shared" si="38"/>
        <v>0</v>
      </c>
      <c r="BN17" s="79">
        <f t="shared" si="39"/>
        <v>0</v>
      </c>
      <c r="BO17" s="77">
        <f t="shared" si="40"/>
        <v>0</v>
      </c>
      <c r="BP17" s="79"/>
      <c r="BQ17" s="78">
        <f t="shared" si="146"/>
        <v>0</v>
      </c>
      <c r="BR17" s="78">
        <f t="shared" si="41"/>
        <v>0</v>
      </c>
      <c r="BS17" s="78">
        <f t="shared" si="42"/>
        <v>0</v>
      </c>
      <c r="BT17" s="79">
        <f t="shared" si="43"/>
        <v>0</v>
      </c>
      <c r="BU17" s="77">
        <f t="shared" si="44"/>
        <v>0</v>
      </c>
      <c r="BV17" s="79"/>
      <c r="BW17" s="78">
        <f t="shared" si="147"/>
        <v>0</v>
      </c>
      <c r="BX17" s="78">
        <f t="shared" si="45"/>
        <v>0</v>
      </c>
      <c r="BY17" s="78">
        <f t="shared" si="46"/>
        <v>0</v>
      </c>
      <c r="BZ17" s="79">
        <f t="shared" si="47"/>
        <v>0</v>
      </c>
      <c r="CA17" s="77">
        <f t="shared" si="48"/>
        <v>0</v>
      </c>
      <c r="CB17" s="78"/>
      <c r="CC17" s="78">
        <f t="shared" si="148"/>
        <v>0</v>
      </c>
      <c r="CD17" s="78">
        <f t="shared" si="49"/>
        <v>0</v>
      </c>
      <c r="CE17" s="78">
        <f t="shared" si="50"/>
        <v>0</v>
      </c>
      <c r="CF17" s="79">
        <f t="shared" si="51"/>
        <v>0</v>
      </c>
      <c r="CG17" s="77">
        <f t="shared" si="52"/>
        <v>0</v>
      </c>
      <c r="CH17" s="79"/>
      <c r="CI17" s="78">
        <f t="shared" si="149"/>
        <v>0</v>
      </c>
      <c r="CJ17" s="78">
        <f t="shared" si="53"/>
        <v>0</v>
      </c>
      <c r="CK17" s="78">
        <f t="shared" si="54"/>
        <v>0</v>
      </c>
      <c r="CL17" s="79">
        <f t="shared" si="55"/>
        <v>0</v>
      </c>
      <c r="CM17" s="77">
        <f t="shared" si="56"/>
        <v>0</v>
      </c>
      <c r="CN17" s="79"/>
      <c r="CO17" s="78">
        <f t="shared" si="150"/>
        <v>0</v>
      </c>
      <c r="CP17" s="78">
        <f t="shared" si="57"/>
        <v>0</v>
      </c>
      <c r="CQ17" s="78">
        <f t="shared" si="58"/>
        <v>0</v>
      </c>
      <c r="CR17" s="79">
        <f t="shared" si="59"/>
        <v>0</v>
      </c>
      <c r="CS17" s="77">
        <f t="shared" si="60"/>
        <v>0</v>
      </c>
      <c r="CT17" s="79"/>
      <c r="CU17" s="78">
        <f t="shared" si="151"/>
        <v>0</v>
      </c>
      <c r="CV17" s="78">
        <f t="shared" si="61"/>
        <v>0</v>
      </c>
      <c r="CW17" s="78">
        <f t="shared" si="62"/>
        <v>0</v>
      </c>
      <c r="CX17" s="79">
        <f t="shared" si="63"/>
        <v>0</v>
      </c>
      <c r="CY17" s="77">
        <f t="shared" si="64"/>
        <v>0</v>
      </c>
      <c r="CZ17" s="79"/>
      <c r="DA17" s="78">
        <f t="shared" si="152"/>
        <v>0</v>
      </c>
      <c r="DB17" s="78">
        <f t="shared" si="65"/>
        <v>0</v>
      </c>
      <c r="DC17" s="78">
        <f t="shared" si="66"/>
        <v>0</v>
      </c>
      <c r="DD17" s="79">
        <f t="shared" si="67"/>
        <v>0</v>
      </c>
      <c r="DE17" s="77">
        <f t="shared" si="68"/>
        <v>0</v>
      </c>
      <c r="DF17" s="79"/>
      <c r="DG17" s="78">
        <f t="shared" si="153"/>
        <v>0</v>
      </c>
      <c r="DH17" s="78">
        <f t="shared" si="69"/>
        <v>0</v>
      </c>
      <c r="DI17" s="78">
        <f t="shared" si="70"/>
        <v>0</v>
      </c>
      <c r="DJ17" s="79">
        <f t="shared" si="71"/>
        <v>0</v>
      </c>
      <c r="DK17" s="77">
        <f t="shared" si="72"/>
        <v>0</v>
      </c>
      <c r="DL17" s="79"/>
      <c r="DM17" s="78">
        <f t="shared" si="154"/>
        <v>0</v>
      </c>
      <c r="DN17" s="78">
        <f t="shared" si="73"/>
        <v>0</v>
      </c>
      <c r="DO17" s="78">
        <f t="shared" si="74"/>
        <v>0</v>
      </c>
      <c r="DP17" s="79">
        <f t="shared" si="75"/>
        <v>0</v>
      </c>
      <c r="DQ17" s="77">
        <f t="shared" si="76"/>
        <v>0</v>
      </c>
      <c r="DR17" s="79"/>
      <c r="DS17" s="78">
        <f t="shared" si="155"/>
        <v>0</v>
      </c>
      <c r="DT17" s="78">
        <f t="shared" si="77"/>
        <v>0</v>
      </c>
      <c r="DU17" s="78">
        <f t="shared" si="78"/>
        <v>0</v>
      </c>
      <c r="DV17" s="79">
        <f t="shared" si="79"/>
        <v>0</v>
      </c>
      <c r="DW17" s="77">
        <f t="shared" si="80"/>
        <v>0</v>
      </c>
      <c r="DX17" s="79"/>
      <c r="DY17" s="78">
        <f t="shared" si="156"/>
        <v>0</v>
      </c>
      <c r="DZ17" s="78">
        <f t="shared" si="81"/>
        <v>0</v>
      </c>
      <c r="EA17" s="78">
        <f t="shared" si="82"/>
        <v>0</v>
      </c>
      <c r="EB17" s="79">
        <f t="shared" si="83"/>
        <v>0</v>
      </c>
      <c r="EC17" s="77">
        <f t="shared" si="84"/>
        <v>0</v>
      </c>
      <c r="ED17" s="79"/>
      <c r="EE17" s="78">
        <f t="shared" si="157"/>
        <v>0</v>
      </c>
      <c r="EF17" s="78">
        <f t="shared" si="85"/>
        <v>0</v>
      </c>
      <c r="EG17" s="78">
        <f t="shared" si="86"/>
        <v>0</v>
      </c>
      <c r="EH17" s="79">
        <f t="shared" si="87"/>
        <v>0</v>
      </c>
      <c r="EI17" s="77">
        <f t="shared" si="88"/>
        <v>0</v>
      </c>
      <c r="EJ17" s="79"/>
      <c r="EK17" s="78">
        <f t="shared" si="158"/>
        <v>0</v>
      </c>
      <c r="EL17" s="78">
        <f t="shared" si="89"/>
        <v>0</v>
      </c>
      <c r="EM17" s="78">
        <f t="shared" si="90"/>
        <v>0</v>
      </c>
      <c r="EN17" s="79">
        <f t="shared" si="91"/>
        <v>0</v>
      </c>
      <c r="EO17" s="77">
        <f t="shared" si="92"/>
        <v>0</v>
      </c>
      <c r="EP17" s="79"/>
      <c r="EQ17" s="78">
        <f t="shared" si="159"/>
        <v>0</v>
      </c>
      <c r="ER17" s="78">
        <f t="shared" si="93"/>
        <v>0</v>
      </c>
      <c r="ES17" s="78">
        <f t="shared" si="94"/>
        <v>0</v>
      </c>
      <c r="ET17" s="79">
        <f t="shared" si="95"/>
        <v>0</v>
      </c>
      <c r="EU17" s="77">
        <f t="shared" si="96"/>
        <v>0</v>
      </c>
      <c r="EV17" s="79"/>
      <c r="EW17" s="78">
        <f t="shared" si="160"/>
        <v>0</v>
      </c>
      <c r="EX17" s="78">
        <f t="shared" si="97"/>
        <v>0</v>
      </c>
      <c r="EY17" s="78">
        <f t="shared" si="98"/>
        <v>0</v>
      </c>
      <c r="EZ17" s="79">
        <f t="shared" si="99"/>
        <v>0</v>
      </c>
      <c r="FA17" s="77">
        <f t="shared" si="100"/>
        <v>0</v>
      </c>
      <c r="FB17" s="79"/>
      <c r="FC17" s="78">
        <f t="shared" si="161"/>
        <v>0</v>
      </c>
      <c r="FD17" s="78">
        <f t="shared" si="101"/>
        <v>0</v>
      </c>
      <c r="FE17" s="78">
        <f t="shared" si="102"/>
        <v>0</v>
      </c>
      <c r="FF17" s="79">
        <f t="shared" si="103"/>
        <v>0</v>
      </c>
      <c r="FG17" s="77">
        <f t="shared" si="104"/>
        <v>0</v>
      </c>
      <c r="FH17" s="79"/>
      <c r="FI17" s="78">
        <f t="shared" si="162"/>
        <v>0</v>
      </c>
      <c r="FJ17" s="78">
        <f t="shared" si="105"/>
        <v>0</v>
      </c>
      <c r="FK17" s="78">
        <f t="shared" si="106"/>
        <v>0</v>
      </c>
      <c r="FL17" s="79">
        <f t="shared" si="107"/>
        <v>0</v>
      </c>
      <c r="FM17" s="77">
        <f t="shared" si="108"/>
        <v>0</v>
      </c>
      <c r="FN17" s="79"/>
      <c r="FO17" s="78">
        <f t="shared" si="163"/>
        <v>0</v>
      </c>
      <c r="FP17" s="78">
        <f t="shared" si="109"/>
        <v>0</v>
      </c>
      <c r="FQ17" s="78">
        <f t="shared" si="110"/>
        <v>0</v>
      </c>
      <c r="FR17" s="79">
        <f t="shared" si="111"/>
        <v>0</v>
      </c>
      <c r="FS17" s="77">
        <f t="shared" si="112"/>
        <v>0</v>
      </c>
      <c r="FT17" s="79"/>
      <c r="FU17" s="78">
        <f t="shared" si="164"/>
        <v>0</v>
      </c>
      <c r="FV17" s="78">
        <f t="shared" si="113"/>
        <v>0</v>
      </c>
      <c r="FW17" s="78">
        <f t="shared" si="114"/>
        <v>0</v>
      </c>
      <c r="FX17" s="79">
        <f t="shared" si="115"/>
        <v>0</v>
      </c>
      <c r="FY17" s="77">
        <f t="shared" si="116"/>
        <v>0</v>
      </c>
      <c r="FZ17" s="79"/>
      <c r="GA17" s="78">
        <f t="shared" si="165"/>
        <v>0</v>
      </c>
      <c r="GB17" s="78">
        <f t="shared" si="117"/>
        <v>0</v>
      </c>
      <c r="GC17" s="78">
        <f t="shared" si="118"/>
        <v>0</v>
      </c>
      <c r="GD17" s="79">
        <f t="shared" si="119"/>
        <v>0</v>
      </c>
      <c r="GE17" s="77">
        <f t="shared" si="120"/>
        <v>0</v>
      </c>
      <c r="GF17" s="79"/>
      <c r="GG17" s="78">
        <f t="shared" si="166"/>
        <v>0</v>
      </c>
      <c r="GH17" s="78">
        <f t="shared" si="121"/>
        <v>0</v>
      </c>
      <c r="GI17" s="78">
        <f t="shared" si="122"/>
        <v>0</v>
      </c>
      <c r="GJ17" s="79">
        <f t="shared" si="123"/>
        <v>0</v>
      </c>
      <c r="GK17" s="77">
        <f t="shared" si="124"/>
        <v>0</v>
      </c>
      <c r="GL17" s="79"/>
      <c r="GM17" s="78">
        <f t="shared" si="167"/>
        <v>0</v>
      </c>
      <c r="GN17" s="78">
        <f t="shared" si="125"/>
        <v>0</v>
      </c>
      <c r="GO17" s="78">
        <f t="shared" si="126"/>
        <v>0</v>
      </c>
      <c r="GP17" s="79">
        <f t="shared" si="127"/>
        <v>0</v>
      </c>
      <c r="GQ17" s="77">
        <f t="shared" si="128"/>
        <v>0</v>
      </c>
      <c r="GR17" s="79"/>
      <c r="GS17" s="78">
        <f t="shared" si="168"/>
        <v>0</v>
      </c>
      <c r="GT17" s="78">
        <f t="shared" si="129"/>
        <v>0</v>
      </c>
      <c r="GU17" s="78">
        <f t="shared" si="130"/>
        <v>0</v>
      </c>
      <c r="GV17" s="79">
        <f t="shared" si="131"/>
        <v>0</v>
      </c>
      <c r="GW17" s="77">
        <f t="shared" si="132"/>
        <v>0</v>
      </c>
      <c r="GX17" s="79"/>
      <c r="GY17" s="78">
        <f t="shared" si="169"/>
        <v>0</v>
      </c>
      <c r="GZ17" s="78">
        <f t="shared" si="133"/>
        <v>0</v>
      </c>
      <c r="HA17" s="78">
        <f t="shared" si="134"/>
        <v>0</v>
      </c>
      <c r="HB17" s="79">
        <f t="shared" si="135"/>
        <v>0</v>
      </c>
      <c r="HC17" s="77">
        <f t="shared" si="136"/>
        <v>0</v>
      </c>
      <c r="HD17" s="79"/>
      <c r="HE17" s="79"/>
      <c r="HF17" s="79"/>
      <c r="HG17" s="79"/>
      <c r="HH17" s="79"/>
      <c r="HI17" s="79"/>
    </row>
    <row r="18" spans="1:217" s="52" customFormat="1" ht="12.75" hidden="1">
      <c r="A18" s="51">
        <v>44835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4"/>
        <v>0</v>
      </c>
      <c r="N18" s="79"/>
      <c r="O18" s="78"/>
      <c r="P18" s="78">
        <f t="shared" si="5"/>
        <v>0</v>
      </c>
      <c r="Q18" s="79">
        <f t="shared" si="6"/>
        <v>0</v>
      </c>
      <c r="R18" s="79">
        <f t="shared" si="7"/>
        <v>0</v>
      </c>
      <c r="S18" s="77">
        <f t="shared" si="8"/>
        <v>0</v>
      </c>
      <c r="T18" s="79"/>
      <c r="U18" s="78"/>
      <c r="V18" s="78">
        <f t="shared" si="9"/>
        <v>0</v>
      </c>
      <c r="W18" s="78">
        <f t="shared" si="10"/>
        <v>0</v>
      </c>
      <c r="X18" s="79">
        <f t="shared" si="11"/>
        <v>0</v>
      </c>
      <c r="Y18" s="77">
        <f t="shared" si="12"/>
        <v>0</v>
      </c>
      <c r="Z18" s="79"/>
      <c r="AA18" s="79"/>
      <c r="AB18" s="78">
        <f t="shared" si="13"/>
        <v>0</v>
      </c>
      <c r="AC18" s="78">
        <f t="shared" si="14"/>
        <v>0</v>
      </c>
      <c r="AD18" s="79">
        <f t="shared" si="15"/>
        <v>0</v>
      </c>
      <c r="AE18" s="77">
        <f t="shared" si="16"/>
        <v>0</v>
      </c>
      <c r="AF18" s="79"/>
      <c r="AG18" s="78"/>
      <c r="AH18" s="78">
        <f t="shared" si="17"/>
        <v>0</v>
      </c>
      <c r="AI18" s="78">
        <f t="shared" si="18"/>
        <v>0</v>
      </c>
      <c r="AJ18" s="79">
        <f t="shared" si="19"/>
        <v>0</v>
      </c>
      <c r="AK18" s="77">
        <f t="shared" si="20"/>
        <v>0</v>
      </c>
      <c r="AL18" s="79"/>
      <c r="AM18" s="78"/>
      <c r="AN18" s="78">
        <f t="shared" si="21"/>
        <v>0</v>
      </c>
      <c r="AO18" s="78">
        <f t="shared" si="22"/>
        <v>0</v>
      </c>
      <c r="AP18" s="79">
        <f t="shared" si="23"/>
        <v>0</v>
      </c>
      <c r="AQ18" s="77">
        <f t="shared" si="24"/>
        <v>0</v>
      </c>
      <c r="AR18" s="78"/>
      <c r="AS18" s="78"/>
      <c r="AT18" s="78">
        <f t="shared" si="25"/>
        <v>0</v>
      </c>
      <c r="AU18" s="78">
        <f t="shared" si="26"/>
        <v>0</v>
      </c>
      <c r="AV18" s="79">
        <f t="shared" si="27"/>
        <v>0</v>
      </c>
      <c r="AW18" s="77">
        <f t="shared" si="28"/>
        <v>0</v>
      </c>
      <c r="AX18" s="79"/>
      <c r="AY18" s="78"/>
      <c r="AZ18" s="78">
        <f t="shared" si="29"/>
        <v>0</v>
      </c>
      <c r="BA18" s="78">
        <f t="shared" si="30"/>
        <v>0</v>
      </c>
      <c r="BB18" s="79">
        <f t="shared" si="31"/>
        <v>0</v>
      </c>
      <c r="BC18" s="77">
        <f t="shared" si="32"/>
        <v>0</v>
      </c>
      <c r="BD18" s="79"/>
      <c r="BE18" s="78"/>
      <c r="BF18" s="78">
        <f t="shared" si="33"/>
        <v>0</v>
      </c>
      <c r="BG18" s="78">
        <f t="shared" si="34"/>
        <v>0</v>
      </c>
      <c r="BH18" s="79">
        <f t="shared" si="35"/>
        <v>0</v>
      </c>
      <c r="BI18" s="77">
        <f t="shared" si="36"/>
        <v>0</v>
      </c>
      <c r="BJ18" s="79"/>
      <c r="BK18" s="78"/>
      <c r="BL18" s="78">
        <f t="shared" si="37"/>
        <v>0</v>
      </c>
      <c r="BM18" s="78">
        <f t="shared" si="38"/>
        <v>0</v>
      </c>
      <c r="BN18" s="79">
        <f t="shared" si="39"/>
        <v>0</v>
      </c>
      <c r="BO18" s="77">
        <f t="shared" si="40"/>
        <v>0</v>
      </c>
      <c r="BP18" s="79"/>
      <c r="BQ18" s="78"/>
      <c r="BR18" s="78">
        <f t="shared" si="41"/>
        <v>0</v>
      </c>
      <c r="BS18" s="78">
        <f t="shared" si="42"/>
        <v>0</v>
      </c>
      <c r="BT18" s="79">
        <f t="shared" si="43"/>
        <v>0</v>
      </c>
      <c r="BU18" s="77">
        <f t="shared" si="44"/>
        <v>0</v>
      </c>
      <c r="BV18" s="79"/>
      <c r="BW18" s="78"/>
      <c r="BX18" s="78">
        <f t="shared" si="45"/>
        <v>0</v>
      </c>
      <c r="BY18" s="78">
        <f t="shared" si="46"/>
        <v>0</v>
      </c>
      <c r="BZ18" s="79">
        <f t="shared" si="47"/>
        <v>0</v>
      </c>
      <c r="CA18" s="77">
        <f t="shared" si="48"/>
        <v>0</v>
      </c>
      <c r="CB18" s="78"/>
      <c r="CC18" s="78"/>
      <c r="CD18" s="78">
        <f t="shared" si="49"/>
        <v>0</v>
      </c>
      <c r="CE18" s="78">
        <f t="shared" si="50"/>
        <v>0</v>
      </c>
      <c r="CF18" s="79">
        <f t="shared" si="51"/>
        <v>0</v>
      </c>
      <c r="CG18" s="77">
        <f t="shared" si="52"/>
        <v>0</v>
      </c>
      <c r="CH18" s="79"/>
      <c r="CI18" s="78"/>
      <c r="CJ18" s="78">
        <f t="shared" si="53"/>
        <v>0</v>
      </c>
      <c r="CK18" s="78">
        <f t="shared" si="54"/>
        <v>0</v>
      </c>
      <c r="CL18" s="79">
        <f t="shared" si="55"/>
        <v>0</v>
      </c>
      <c r="CM18" s="77">
        <f t="shared" si="56"/>
        <v>0</v>
      </c>
      <c r="CN18" s="79"/>
      <c r="CO18" s="78"/>
      <c r="CP18" s="78">
        <f t="shared" si="57"/>
        <v>0</v>
      </c>
      <c r="CQ18" s="78">
        <f t="shared" si="58"/>
        <v>0</v>
      </c>
      <c r="CR18" s="79">
        <f t="shared" si="59"/>
        <v>0</v>
      </c>
      <c r="CS18" s="77">
        <f t="shared" si="60"/>
        <v>0</v>
      </c>
      <c r="CT18" s="79"/>
      <c r="CU18" s="78"/>
      <c r="CV18" s="78">
        <f t="shared" si="61"/>
        <v>0</v>
      </c>
      <c r="CW18" s="78">
        <f t="shared" si="62"/>
        <v>0</v>
      </c>
      <c r="CX18" s="79">
        <f t="shared" si="63"/>
        <v>0</v>
      </c>
      <c r="CY18" s="77">
        <f t="shared" si="64"/>
        <v>0</v>
      </c>
      <c r="CZ18" s="79"/>
      <c r="DA18" s="78"/>
      <c r="DB18" s="78">
        <f t="shared" si="65"/>
        <v>0</v>
      </c>
      <c r="DC18" s="78">
        <f t="shared" si="66"/>
        <v>0</v>
      </c>
      <c r="DD18" s="79">
        <f t="shared" si="67"/>
        <v>0</v>
      </c>
      <c r="DE18" s="77">
        <f t="shared" si="68"/>
        <v>0</v>
      </c>
      <c r="DF18" s="79"/>
      <c r="DG18" s="78"/>
      <c r="DH18" s="78">
        <f t="shared" si="69"/>
        <v>0</v>
      </c>
      <c r="DI18" s="78">
        <f t="shared" si="70"/>
        <v>0</v>
      </c>
      <c r="DJ18" s="79">
        <f t="shared" si="71"/>
        <v>0</v>
      </c>
      <c r="DK18" s="77">
        <f t="shared" si="72"/>
        <v>0</v>
      </c>
      <c r="DL18" s="79"/>
      <c r="DM18" s="78"/>
      <c r="DN18" s="78">
        <f t="shared" si="73"/>
        <v>0</v>
      </c>
      <c r="DO18" s="78">
        <f t="shared" si="74"/>
        <v>0</v>
      </c>
      <c r="DP18" s="79">
        <f t="shared" si="75"/>
        <v>0</v>
      </c>
      <c r="DQ18" s="77">
        <f t="shared" si="76"/>
        <v>0</v>
      </c>
      <c r="DR18" s="79"/>
      <c r="DS18" s="78"/>
      <c r="DT18" s="78">
        <f t="shared" si="77"/>
        <v>0</v>
      </c>
      <c r="DU18" s="78">
        <f t="shared" si="78"/>
        <v>0</v>
      </c>
      <c r="DV18" s="79">
        <f t="shared" si="79"/>
        <v>0</v>
      </c>
      <c r="DW18" s="77">
        <f t="shared" si="80"/>
        <v>0</v>
      </c>
      <c r="DX18" s="79"/>
      <c r="DY18" s="78"/>
      <c r="DZ18" s="78">
        <f t="shared" si="81"/>
        <v>0</v>
      </c>
      <c r="EA18" s="78">
        <f t="shared" si="82"/>
        <v>0</v>
      </c>
      <c r="EB18" s="79">
        <f t="shared" si="83"/>
        <v>0</v>
      </c>
      <c r="EC18" s="77">
        <f t="shared" si="84"/>
        <v>0</v>
      </c>
      <c r="ED18" s="79"/>
      <c r="EE18" s="78"/>
      <c r="EF18" s="78">
        <f t="shared" si="85"/>
        <v>0</v>
      </c>
      <c r="EG18" s="78">
        <f t="shared" si="86"/>
        <v>0</v>
      </c>
      <c r="EH18" s="79">
        <f t="shared" si="87"/>
        <v>0</v>
      </c>
      <c r="EI18" s="77">
        <f t="shared" si="88"/>
        <v>0</v>
      </c>
      <c r="EJ18" s="79"/>
      <c r="EK18" s="78"/>
      <c r="EL18" s="78">
        <f t="shared" si="89"/>
        <v>0</v>
      </c>
      <c r="EM18" s="78">
        <f t="shared" si="90"/>
        <v>0</v>
      </c>
      <c r="EN18" s="79">
        <f t="shared" si="91"/>
        <v>0</v>
      </c>
      <c r="EO18" s="77">
        <f t="shared" si="92"/>
        <v>0</v>
      </c>
      <c r="EP18" s="79"/>
      <c r="EQ18" s="78"/>
      <c r="ER18" s="78">
        <f t="shared" si="93"/>
        <v>0</v>
      </c>
      <c r="ES18" s="78">
        <f t="shared" si="94"/>
        <v>0</v>
      </c>
      <c r="ET18" s="79">
        <f t="shared" si="95"/>
        <v>0</v>
      </c>
      <c r="EU18" s="77">
        <f t="shared" si="96"/>
        <v>0</v>
      </c>
      <c r="EV18" s="79"/>
      <c r="EW18" s="78"/>
      <c r="EX18" s="78">
        <f t="shared" si="97"/>
        <v>0</v>
      </c>
      <c r="EY18" s="78">
        <f t="shared" si="98"/>
        <v>0</v>
      </c>
      <c r="EZ18" s="79">
        <f t="shared" si="99"/>
        <v>0</v>
      </c>
      <c r="FA18" s="77">
        <f t="shared" si="100"/>
        <v>0</v>
      </c>
      <c r="FB18" s="79"/>
      <c r="FC18" s="78"/>
      <c r="FD18" s="78">
        <f t="shared" si="101"/>
        <v>0</v>
      </c>
      <c r="FE18" s="78">
        <f t="shared" si="102"/>
        <v>0</v>
      </c>
      <c r="FF18" s="79">
        <f t="shared" si="103"/>
        <v>0</v>
      </c>
      <c r="FG18" s="77">
        <f t="shared" si="104"/>
        <v>0</v>
      </c>
      <c r="FH18" s="79"/>
      <c r="FI18" s="78"/>
      <c r="FJ18" s="78">
        <f t="shared" si="105"/>
        <v>0</v>
      </c>
      <c r="FK18" s="78">
        <f t="shared" si="106"/>
        <v>0</v>
      </c>
      <c r="FL18" s="79">
        <f t="shared" si="107"/>
        <v>0</v>
      </c>
      <c r="FM18" s="77">
        <f t="shared" si="108"/>
        <v>0</v>
      </c>
      <c r="FN18" s="79"/>
      <c r="FO18" s="78"/>
      <c r="FP18" s="78">
        <f t="shared" si="109"/>
        <v>0</v>
      </c>
      <c r="FQ18" s="78">
        <f t="shared" si="110"/>
        <v>0</v>
      </c>
      <c r="FR18" s="79">
        <f t="shared" si="111"/>
        <v>0</v>
      </c>
      <c r="FS18" s="77">
        <f t="shared" si="112"/>
        <v>0</v>
      </c>
      <c r="FT18" s="79"/>
      <c r="FU18" s="78"/>
      <c r="FV18" s="78">
        <f t="shared" si="113"/>
        <v>0</v>
      </c>
      <c r="FW18" s="78">
        <f t="shared" si="114"/>
        <v>0</v>
      </c>
      <c r="FX18" s="79">
        <f t="shared" si="115"/>
        <v>0</v>
      </c>
      <c r="FY18" s="77">
        <f t="shared" si="116"/>
        <v>0</v>
      </c>
      <c r="FZ18" s="79"/>
      <c r="GA18" s="78"/>
      <c r="GB18" s="78">
        <f t="shared" si="117"/>
        <v>0</v>
      </c>
      <c r="GC18" s="78">
        <f t="shared" si="118"/>
        <v>0</v>
      </c>
      <c r="GD18" s="79">
        <f t="shared" si="119"/>
        <v>0</v>
      </c>
      <c r="GE18" s="77">
        <f t="shared" si="120"/>
        <v>0</v>
      </c>
      <c r="GF18" s="79"/>
      <c r="GG18" s="78"/>
      <c r="GH18" s="78">
        <f t="shared" si="121"/>
        <v>0</v>
      </c>
      <c r="GI18" s="78">
        <f t="shared" si="122"/>
        <v>0</v>
      </c>
      <c r="GJ18" s="79">
        <f t="shared" si="123"/>
        <v>0</v>
      </c>
      <c r="GK18" s="77">
        <f t="shared" si="124"/>
        <v>0</v>
      </c>
      <c r="GL18" s="79"/>
      <c r="GM18" s="78"/>
      <c r="GN18" s="78">
        <f t="shared" si="125"/>
        <v>0</v>
      </c>
      <c r="GO18" s="78">
        <f t="shared" si="126"/>
        <v>0</v>
      </c>
      <c r="GP18" s="79">
        <f t="shared" si="127"/>
        <v>0</v>
      </c>
      <c r="GQ18" s="77">
        <f t="shared" si="128"/>
        <v>0</v>
      </c>
      <c r="GR18" s="79"/>
      <c r="GS18" s="78"/>
      <c r="GT18" s="78">
        <f t="shared" si="129"/>
        <v>0</v>
      </c>
      <c r="GU18" s="78">
        <f t="shared" si="130"/>
        <v>0</v>
      </c>
      <c r="GV18" s="79">
        <f t="shared" si="131"/>
        <v>0</v>
      </c>
      <c r="GW18" s="77">
        <f t="shared" si="132"/>
        <v>0</v>
      </c>
      <c r="GX18" s="79"/>
      <c r="GY18" s="78"/>
      <c r="GZ18" s="78">
        <f t="shared" si="133"/>
        <v>0</v>
      </c>
      <c r="HA18" s="78">
        <f t="shared" si="134"/>
        <v>0</v>
      </c>
      <c r="HB18" s="79">
        <f t="shared" si="135"/>
        <v>0</v>
      </c>
      <c r="HC18" s="77">
        <f t="shared" si="136"/>
        <v>0</v>
      </c>
      <c r="HD18" s="79"/>
      <c r="HE18" s="79"/>
      <c r="HF18" s="79"/>
      <c r="HG18" s="79"/>
      <c r="HH18" s="79"/>
      <c r="HI18" s="79"/>
    </row>
    <row r="19" spans="1:217" s="52" customFormat="1" ht="12.75" hidden="1">
      <c r="A19" s="51">
        <v>45017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4"/>
        <v>0</v>
      </c>
      <c r="N19" s="79"/>
      <c r="O19" s="78">
        <f t="shared" si="137"/>
        <v>0</v>
      </c>
      <c r="P19" s="78">
        <f t="shared" si="5"/>
        <v>0</v>
      </c>
      <c r="Q19" s="79">
        <f t="shared" si="6"/>
        <v>0</v>
      </c>
      <c r="R19" s="79">
        <f t="shared" si="7"/>
        <v>0</v>
      </c>
      <c r="S19" s="77">
        <f t="shared" si="8"/>
        <v>0</v>
      </c>
      <c r="T19" s="79"/>
      <c r="U19" s="78">
        <f t="shared" si="138"/>
        <v>0</v>
      </c>
      <c r="V19" s="78">
        <f t="shared" si="9"/>
        <v>0</v>
      </c>
      <c r="W19" s="78">
        <f t="shared" si="10"/>
        <v>0</v>
      </c>
      <c r="X19" s="79">
        <f t="shared" si="11"/>
        <v>0</v>
      </c>
      <c r="Y19" s="77">
        <f t="shared" si="12"/>
        <v>0</v>
      </c>
      <c r="Z19" s="79"/>
      <c r="AA19" s="79">
        <f t="shared" si="139"/>
        <v>0</v>
      </c>
      <c r="AB19" s="78">
        <f t="shared" si="13"/>
        <v>0</v>
      </c>
      <c r="AC19" s="78">
        <f t="shared" si="14"/>
        <v>0</v>
      </c>
      <c r="AD19" s="79">
        <f t="shared" si="15"/>
        <v>0</v>
      </c>
      <c r="AE19" s="77">
        <f t="shared" si="16"/>
        <v>0</v>
      </c>
      <c r="AF19" s="79"/>
      <c r="AG19" s="78">
        <f t="shared" si="140"/>
        <v>0</v>
      </c>
      <c r="AH19" s="78">
        <f t="shared" si="17"/>
        <v>0</v>
      </c>
      <c r="AI19" s="78">
        <f t="shared" si="18"/>
        <v>0</v>
      </c>
      <c r="AJ19" s="79">
        <f t="shared" si="19"/>
        <v>0</v>
      </c>
      <c r="AK19" s="77">
        <f t="shared" si="20"/>
        <v>0</v>
      </c>
      <c r="AL19" s="79"/>
      <c r="AM19" s="78">
        <f t="shared" si="141"/>
        <v>0</v>
      </c>
      <c r="AN19" s="78">
        <f t="shared" si="21"/>
        <v>0</v>
      </c>
      <c r="AO19" s="78">
        <f t="shared" si="22"/>
        <v>0</v>
      </c>
      <c r="AP19" s="79">
        <f t="shared" si="23"/>
        <v>0</v>
      </c>
      <c r="AQ19" s="77">
        <f t="shared" si="24"/>
        <v>0</v>
      </c>
      <c r="AR19" s="78"/>
      <c r="AS19" s="78">
        <f t="shared" si="142"/>
        <v>0</v>
      </c>
      <c r="AT19" s="78">
        <f t="shared" si="25"/>
        <v>0</v>
      </c>
      <c r="AU19" s="78">
        <f t="shared" si="26"/>
        <v>0</v>
      </c>
      <c r="AV19" s="79">
        <f t="shared" si="27"/>
        <v>0</v>
      </c>
      <c r="AW19" s="77">
        <f t="shared" si="28"/>
        <v>0</v>
      </c>
      <c r="AX19" s="79"/>
      <c r="AY19" s="78">
        <f t="shared" si="143"/>
        <v>0</v>
      </c>
      <c r="AZ19" s="78">
        <f t="shared" si="29"/>
        <v>0</v>
      </c>
      <c r="BA19" s="78">
        <f t="shared" si="30"/>
        <v>0</v>
      </c>
      <c r="BB19" s="79">
        <f t="shared" si="31"/>
        <v>0</v>
      </c>
      <c r="BC19" s="77">
        <f t="shared" si="32"/>
        <v>0</v>
      </c>
      <c r="BD19" s="79"/>
      <c r="BE19" s="78">
        <f t="shared" si="144"/>
        <v>0</v>
      </c>
      <c r="BF19" s="78">
        <f t="shared" si="33"/>
        <v>0</v>
      </c>
      <c r="BG19" s="78">
        <f t="shared" si="34"/>
        <v>0</v>
      </c>
      <c r="BH19" s="79">
        <f t="shared" si="35"/>
        <v>0</v>
      </c>
      <c r="BI19" s="77">
        <f t="shared" si="36"/>
        <v>0</v>
      </c>
      <c r="BJ19" s="79"/>
      <c r="BK19" s="78">
        <f t="shared" si="145"/>
        <v>0</v>
      </c>
      <c r="BL19" s="78">
        <f t="shared" si="37"/>
        <v>0</v>
      </c>
      <c r="BM19" s="78">
        <f t="shared" si="38"/>
        <v>0</v>
      </c>
      <c r="BN19" s="79">
        <f t="shared" si="39"/>
        <v>0</v>
      </c>
      <c r="BO19" s="77">
        <f t="shared" si="40"/>
        <v>0</v>
      </c>
      <c r="BP19" s="79"/>
      <c r="BQ19" s="78">
        <f t="shared" si="146"/>
        <v>0</v>
      </c>
      <c r="BR19" s="78">
        <f t="shared" si="41"/>
        <v>0</v>
      </c>
      <c r="BS19" s="78">
        <f t="shared" si="42"/>
        <v>0</v>
      </c>
      <c r="BT19" s="79">
        <f t="shared" si="43"/>
        <v>0</v>
      </c>
      <c r="BU19" s="77">
        <f t="shared" si="44"/>
        <v>0</v>
      </c>
      <c r="BV19" s="79"/>
      <c r="BW19" s="78">
        <f t="shared" si="147"/>
        <v>0</v>
      </c>
      <c r="BX19" s="78">
        <f t="shared" si="45"/>
        <v>0</v>
      </c>
      <c r="BY19" s="78">
        <f t="shared" si="46"/>
        <v>0</v>
      </c>
      <c r="BZ19" s="79">
        <f t="shared" si="47"/>
        <v>0</v>
      </c>
      <c r="CA19" s="77">
        <f t="shared" si="48"/>
        <v>0</v>
      </c>
      <c r="CB19" s="78"/>
      <c r="CC19" s="78">
        <f t="shared" si="148"/>
        <v>0</v>
      </c>
      <c r="CD19" s="78">
        <f t="shared" si="49"/>
        <v>0</v>
      </c>
      <c r="CE19" s="78">
        <f t="shared" si="50"/>
        <v>0</v>
      </c>
      <c r="CF19" s="79">
        <f t="shared" si="51"/>
        <v>0</v>
      </c>
      <c r="CG19" s="77">
        <f t="shared" si="52"/>
        <v>0</v>
      </c>
      <c r="CH19" s="79"/>
      <c r="CI19" s="78">
        <f t="shared" si="149"/>
        <v>0</v>
      </c>
      <c r="CJ19" s="78">
        <f t="shared" si="53"/>
        <v>0</v>
      </c>
      <c r="CK19" s="78">
        <f t="shared" si="54"/>
        <v>0</v>
      </c>
      <c r="CL19" s="79">
        <f t="shared" si="55"/>
        <v>0</v>
      </c>
      <c r="CM19" s="77">
        <f t="shared" si="56"/>
        <v>0</v>
      </c>
      <c r="CN19" s="79"/>
      <c r="CO19" s="78">
        <f t="shared" si="150"/>
        <v>0</v>
      </c>
      <c r="CP19" s="78">
        <f t="shared" si="57"/>
        <v>0</v>
      </c>
      <c r="CQ19" s="78">
        <f t="shared" si="58"/>
        <v>0</v>
      </c>
      <c r="CR19" s="79">
        <f t="shared" si="59"/>
        <v>0</v>
      </c>
      <c r="CS19" s="77">
        <f t="shared" si="60"/>
        <v>0</v>
      </c>
      <c r="CT19" s="79"/>
      <c r="CU19" s="78">
        <f t="shared" si="151"/>
        <v>0</v>
      </c>
      <c r="CV19" s="78">
        <f t="shared" si="61"/>
        <v>0</v>
      </c>
      <c r="CW19" s="78">
        <f t="shared" si="62"/>
        <v>0</v>
      </c>
      <c r="CX19" s="79">
        <f t="shared" si="63"/>
        <v>0</v>
      </c>
      <c r="CY19" s="77">
        <f t="shared" si="64"/>
        <v>0</v>
      </c>
      <c r="CZ19" s="79"/>
      <c r="DA19" s="78">
        <f t="shared" si="152"/>
        <v>0</v>
      </c>
      <c r="DB19" s="78">
        <f t="shared" si="65"/>
        <v>0</v>
      </c>
      <c r="DC19" s="78">
        <f t="shared" si="66"/>
        <v>0</v>
      </c>
      <c r="DD19" s="79">
        <f t="shared" si="67"/>
        <v>0</v>
      </c>
      <c r="DE19" s="77">
        <f t="shared" si="68"/>
        <v>0</v>
      </c>
      <c r="DF19" s="79"/>
      <c r="DG19" s="78">
        <f t="shared" si="153"/>
        <v>0</v>
      </c>
      <c r="DH19" s="78">
        <f t="shared" si="69"/>
        <v>0</v>
      </c>
      <c r="DI19" s="78">
        <f t="shared" si="70"/>
        <v>0</v>
      </c>
      <c r="DJ19" s="79">
        <f t="shared" si="71"/>
        <v>0</v>
      </c>
      <c r="DK19" s="77">
        <f t="shared" si="72"/>
        <v>0</v>
      </c>
      <c r="DL19" s="79"/>
      <c r="DM19" s="78">
        <f t="shared" si="154"/>
        <v>0</v>
      </c>
      <c r="DN19" s="78">
        <f t="shared" si="73"/>
        <v>0</v>
      </c>
      <c r="DO19" s="78">
        <f t="shared" si="74"/>
        <v>0</v>
      </c>
      <c r="DP19" s="79">
        <f t="shared" si="75"/>
        <v>0</v>
      </c>
      <c r="DQ19" s="77">
        <f t="shared" si="76"/>
        <v>0</v>
      </c>
      <c r="DR19" s="79"/>
      <c r="DS19" s="78">
        <f t="shared" si="155"/>
        <v>0</v>
      </c>
      <c r="DT19" s="78">
        <f t="shared" si="77"/>
        <v>0</v>
      </c>
      <c r="DU19" s="78">
        <f t="shared" si="78"/>
        <v>0</v>
      </c>
      <c r="DV19" s="79">
        <f t="shared" si="79"/>
        <v>0</v>
      </c>
      <c r="DW19" s="77">
        <f t="shared" si="80"/>
        <v>0</v>
      </c>
      <c r="DX19" s="79"/>
      <c r="DY19" s="78">
        <f t="shared" si="156"/>
        <v>0</v>
      </c>
      <c r="DZ19" s="78">
        <f t="shared" si="81"/>
        <v>0</v>
      </c>
      <c r="EA19" s="78">
        <f t="shared" si="82"/>
        <v>0</v>
      </c>
      <c r="EB19" s="79">
        <f t="shared" si="83"/>
        <v>0</v>
      </c>
      <c r="EC19" s="77">
        <f t="shared" si="84"/>
        <v>0</v>
      </c>
      <c r="ED19" s="79"/>
      <c r="EE19" s="78">
        <f t="shared" si="157"/>
        <v>0</v>
      </c>
      <c r="EF19" s="78">
        <f t="shared" si="85"/>
        <v>0</v>
      </c>
      <c r="EG19" s="78">
        <f t="shared" si="86"/>
        <v>0</v>
      </c>
      <c r="EH19" s="79">
        <f t="shared" si="87"/>
        <v>0</v>
      </c>
      <c r="EI19" s="77">
        <f t="shared" si="88"/>
        <v>0</v>
      </c>
      <c r="EJ19" s="79"/>
      <c r="EK19" s="78">
        <f t="shared" si="158"/>
        <v>0</v>
      </c>
      <c r="EL19" s="78">
        <f t="shared" si="89"/>
        <v>0</v>
      </c>
      <c r="EM19" s="78">
        <f t="shared" si="90"/>
        <v>0</v>
      </c>
      <c r="EN19" s="79">
        <f t="shared" si="91"/>
        <v>0</v>
      </c>
      <c r="EO19" s="77">
        <f t="shared" si="92"/>
        <v>0</v>
      </c>
      <c r="EP19" s="79"/>
      <c r="EQ19" s="78">
        <f t="shared" si="159"/>
        <v>0</v>
      </c>
      <c r="ER19" s="78">
        <f t="shared" si="93"/>
        <v>0</v>
      </c>
      <c r="ES19" s="78">
        <f t="shared" si="94"/>
        <v>0</v>
      </c>
      <c r="ET19" s="79">
        <f t="shared" si="95"/>
        <v>0</v>
      </c>
      <c r="EU19" s="77">
        <f t="shared" si="96"/>
        <v>0</v>
      </c>
      <c r="EV19" s="79"/>
      <c r="EW19" s="78">
        <f t="shared" si="160"/>
        <v>0</v>
      </c>
      <c r="EX19" s="78">
        <f t="shared" si="97"/>
        <v>0</v>
      </c>
      <c r="EY19" s="78">
        <f t="shared" si="98"/>
        <v>0</v>
      </c>
      <c r="EZ19" s="79">
        <f t="shared" si="99"/>
        <v>0</v>
      </c>
      <c r="FA19" s="77">
        <f t="shared" si="100"/>
        <v>0</v>
      </c>
      <c r="FB19" s="79"/>
      <c r="FC19" s="78">
        <f t="shared" si="161"/>
        <v>0</v>
      </c>
      <c r="FD19" s="78">
        <f t="shared" si="101"/>
        <v>0</v>
      </c>
      <c r="FE19" s="78">
        <f t="shared" si="102"/>
        <v>0</v>
      </c>
      <c r="FF19" s="79">
        <f t="shared" si="103"/>
        <v>0</v>
      </c>
      <c r="FG19" s="77">
        <f t="shared" si="104"/>
        <v>0</v>
      </c>
      <c r="FH19" s="79"/>
      <c r="FI19" s="78">
        <f t="shared" si="162"/>
        <v>0</v>
      </c>
      <c r="FJ19" s="78">
        <f t="shared" si="105"/>
        <v>0</v>
      </c>
      <c r="FK19" s="78">
        <f t="shared" si="106"/>
        <v>0</v>
      </c>
      <c r="FL19" s="79">
        <f t="shared" si="107"/>
        <v>0</v>
      </c>
      <c r="FM19" s="77">
        <f t="shared" si="108"/>
        <v>0</v>
      </c>
      <c r="FN19" s="79"/>
      <c r="FO19" s="78">
        <f t="shared" si="163"/>
        <v>0</v>
      </c>
      <c r="FP19" s="78">
        <f t="shared" si="109"/>
        <v>0</v>
      </c>
      <c r="FQ19" s="78">
        <f t="shared" si="110"/>
        <v>0</v>
      </c>
      <c r="FR19" s="79">
        <f t="shared" si="111"/>
        <v>0</v>
      </c>
      <c r="FS19" s="77">
        <f t="shared" si="112"/>
        <v>0</v>
      </c>
      <c r="FT19" s="79"/>
      <c r="FU19" s="78">
        <f t="shared" si="164"/>
        <v>0</v>
      </c>
      <c r="FV19" s="78">
        <f t="shared" si="113"/>
        <v>0</v>
      </c>
      <c r="FW19" s="78">
        <f t="shared" si="114"/>
        <v>0</v>
      </c>
      <c r="FX19" s="79">
        <f t="shared" si="115"/>
        <v>0</v>
      </c>
      <c r="FY19" s="77">
        <f t="shared" si="116"/>
        <v>0</v>
      </c>
      <c r="FZ19" s="79"/>
      <c r="GA19" s="78">
        <f t="shared" si="165"/>
        <v>0</v>
      </c>
      <c r="GB19" s="78">
        <f t="shared" si="117"/>
        <v>0</v>
      </c>
      <c r="GC19" s="78">
        <f t="shared" si="118"/>
        <v>0</v>
      </c>
      <c r="GD19" s="79">
        <f t="shared" si="119"/>
        <v>0</v>
      </c>
      <c r="GE19" s="77">
        <f t="shared" si="120"/>
        <v>0</v>
      </c>
      <c r="GF19" s="79"/>
      <c r="GG19" s="78">
        <f t="shared" si="166"/>
        <v>0</v>
      </c>
      <c r="GH19" s="78">
        <f t="shared" si="121"/>
        <v>0</v>
      </c>
      <c r="GI19" s="78">
        <f t="shared" si="122"/>
        <v>0</v>
      </c>
      <c r="GJ19" s="79">
        <f t="shared" si="123"/>
        <v>0</v>
      </c>
      <c r="GK19" s="77">
        <f t="shared" si="124"/>
        <v>0</v>
      </c>
      <c r="GL19" s="79"/>
      <c r="GM19" s="78">
        <f t="shared" si="167"/>
        <v>0</v>
      </c>
      <c r="GN19" s="78">
        <f t="shared" si="125"/>
        <v>0</v>
      </c>
      <c r="GO19" s="78">
        <f t="shared" si="126"/>
        <v>0</v>
      </c>
      <c r="GP19" s="79">
        <f t="shared" si="127"/>
        <v>0</v>
      </c>
      <c r="GQ19" s="77">
        <f t="shared" si="128"/>
        <v>0</v>
      </c>
      <c r="GR19" s="79"/>
      <c r="GS19" s="78">
        <f t="shared" si="168"/>
        <v>0</v>
      </c>
      <c r="GT19" s="78">
        <f t="shared" si="129"/>
        <v>0</v>
      </c>
      <c r="GU19" s="78">
        <f t="shared" si="130"/>
        <v>0</v>
      </c>
      <c r="GV19" s="79">
        <f t="shared" si="131"/>
        <v>0</v>
      </c>
      <c r="GW19" s="77">
        <f t="shared" si="132"/>
        <v>0</v>
      </c>
      <c r="GX19" s="79"/>
      <c r="GY19" s="78">
        <f t="shared" si="169"/>
        <v>0</v>
      </c>
      <c r="GZ19" s="78">
        <f t="shared" si="133"/>
        <v>0</v>
      </c>
      <c r="HA19" s="78">
        <f t="shared" si="134"/>
        <v>0</v>
      </c>
      <c r="HB19" s="79">
        <f t="shared" si="135"/>
        <v>0</v>
      </c>
      <c r="HC19" s="77">
        <f t="shared" si="136"/>
        <v>0</v>
      </c>
      <c r="HD19" s="79"/>
      <c r="HE19" s="79"/>
      <c r="HF19" s="79"/>
      <c r="HG19" s="79"/>
      <c r="HH19" s="79"/>
      <c r="HI19" s="79"/>
    </row>
    <row r="20" spans="1:217" s="52" customFormat="1" ht="12.75" hidden="1">
      <c r="A20" s="51">
        <v>45200</v>
      </c>
      <c r="C20" s="80"/>
      <c r="D20" s="80"/>
      <c r="E20" s="77">
        <f t="shared" si="0"/>
        <v>0</v>
      </c>
      <c r="F20" s="77"/>
      <c r="G20" s="77"/>
      <c r="H20" s="79"/>
      <c r="I20" s="79"/>
      <c r="J20" s="79">
        <f t="shared" si="1"/>
        <v>0</v>
      </c>
      <c r="K20" s="79">
        <f t="shared" si="2"/>
        <v>0</v>
      </c>
      <c r="L20" s="79">
        <f t="shared" si="3"/>
        <v>0</v>
      </c>
      <c r="M20" s="79">
        <f t="shared" si="4"/>
        <v>0</v>
      </c>
      <c r="N20" s="79"/>
      <c r="O20" s="78"/>
      <c r="P20" s="78">
        <f t="shared" si="5"/>
        <v>0</v>
      </c>
      <c r="Q20" s="79">
        <f t="shared" si="6"/>
        <v>0</v>
      </c>
      <c r="R20" s="79">
        <f t="shared" si="7"/>
        <v>0</v>
      </c>
      <c r="S20" s="77">
        <f t="shared" si="8"/>
        <v>0</v>
      </c>
      <c r="T20" s="79"/>
      <c r="U20" s="78"/>
      <c r="V20" s="78">
        <f t="shared" si="9"/>
        <v>0</v>
      </c>
      <c r="W20" s="78">
        <f t="shared" si="10"/>
        <v>0</v>
      </c>
      <c r="X20" s="79">
        <f t="shared" si="11"/>
        <v>0</v>
      </c>
      <c r="Y20" s="77">
        <f t="shared" si="12"/>
        <v>0</v>
      </c>
      <c r="Z20" s="79"/>
      <c r="AA20" s="79"/>
      <c r="AB20" s="78">
        <f t="shared" si="13"/>
        <v>0</v>
      </c>
      <c r="AC20" s="78">
        <f t="shared" si="14"/>
        <v>0</v>
      </c>
      <c r="AD20" s="79">
        <f t="shared" si="15"/>
        <v>0</v>
      </c>
      <c r="AE20" s="77">
        <f t="shared" si="16"/>
        <v>0</v>
      </c>
      <c r="AF20" s="79"/>
      <c r="AG20" s="78"/>
      <c r="AH20" s="78">
        <f t="shared" si="17"/>
        <v>0</v>
      </c>
      <c r="AI20" s="78">
        <f t="shared" si="18"/>
        <v>0</v>
      </c>
      <c r="AJ20" s="79">
        <f t="shared" si="19"/>
        <v>0</v>
      </c>
      <c r="AK20" s="77">
        <f t="shared" si="20"/>
        <v>0</v>
      </c>
      <c r="AL20" s="79"/>
      <c r="AM20" s="78"/>
      <c r="AN20" s="78">
        <f t="shared" si="21"/>
        <v>0</v>
      </c>
      <c r="AO20" s="78">
        <f t="shared" si="22"/>
        <v>0</v>
      </c>
      <c r="AP20" s="79">
        <f t="shared" si="23"/>
        <v>0</v>
      </c>
      <c r="AQ20" s="77">
        <f t="shared" si="24"/>
        <v>0</v>
      </c>
      <c r="AR20" s="78"/>
      <c r="AS20" s="78"/>
      <c r="AT20" s="78">
        <f t="shared" si="25"/>
        <v>0</v>
      </c>
      <c r="AU20" s="78">
        <f t="shared" si="26"/>
        <v>0</v>
      </c>
      <c r="AV20" s="79">
        <f t="shared" si="27"/>
        <v>0</v>
      </c>
      <c r="AW20" s="77">
        <f t="shared" si="28"/>
        <v>0</v>
      </c>
      <c r="AX20" s="79"/>
      <c r="AY20" s="78"/>
      <c r="AZ20" s="78">
        <f t="shared" si="29"/>
        <v>0</v>
      </c>
      <c r="BA20" s="78">
        <f t="shared" si="30"/>
        <v>0</v>
      </c>
      <c r="BB20" s="79">
        <f t="shared" si="31"/>
        <v>0</v>
      </c>
      <c r="BC20" s="77">
        <f t="shared" si="32"/>
        <v>0</v>
      </c>
      <c r="BD20" s="79"/>
      <c r="BE20" s="78"/>
      <c r="BF20" s="78">
        <f t="shared" si="33"/>
        <v>0</v>
      </c>
      <c r="BG20" s="78">
        <f t="shared" si="34"/>
        <v>0</v>
      </c>
      <c r="BH20" s="79">
        <f t="shared" si="35"/>
        <v>0</v>
      </c>
      <c r="BI20" s="77">
        <f t="shared" si="36"/>
        <v>0</v>
      </c>
      <c r="BJ20" s="79"/>
      <c r="BK20" s="78"/>
      <c r="BL20" s="78">
        <f t="shared" si="37"/>
        <v>0</v>
      </c>
      <c r="BM20" s="78">
        <f t="shared" si="38"/>
        <v>0</v>
      </c>
      <c r="BN20" s="79">
        <f t="shared" si="39"/>
        <v>0</v>
      </c>
      <c r="BO20" s="77">
        <f t="shared" si="40"/>
        <v>0</v>
      </c>
      <c r="BP20" s="79"/>
      <c r="BQ20" s="78"/>
      <c r="BR20" s="78">
        <f t="shared" si="41"/>
        <v>0</v>
      </c>
      <c r="BS20" s="78">
        <f t="shared" si="42"/>
        <v>0</v>
      </c>
      <c r="BT20" s="79">
        <f t="shared" si="43"/>
        <v>0</v>
      </c>
      <c r="BU20" s="77">
        <f t="shared" si="44"/>
        <v>0</v>
      </c>
      <c r="BV20" s="79"/>
      <c r="BW20" s="78"/>
      <c r="BX20" s="78">
        <f t="shared" si="45"/>
        <v>0</v>
      </c>
      <c r="BY20" s="78">
        <f t="shared" si="46"/>
        <v>0</v>
      </c>
      <c r="BZ20" s="79">
        <f t="shared" si="47"/>
        <v>0</v>
      </c>
      <c r="CA20" s="77">
        <f t="shared" si="48"/>
        <v>0</v>
      </c>
      <c r="CB20" s="78"/>
      <c r="CC20" s="78"/>
      <c r="CD20" s="78">
        <f t="shared" si="49"/>
        <v>0</v>
      </c>
      <c r="CE20" s="78">
        <f t="shared" si="50"/>
        <v>0</v>
      </c>
      <c r="CF20" s="79">
        <f t="shared" si="51"/>
        <v>0</v>
      </c>
      <c r="CG20" s="77">
        <f t="shared" si="52"/>
        <v>0</v>
      </c>
      <c r="CH20" s="79"/>
      <c r="CI20" s="78"/>
      <c r="CJ20" s="78">
        <f t="shared" si="53"/>
        <v>0</v>
      </c>
      <c r="CK20" s="78">
        <f t="shared" si="54"/>
        <v>0</v>
      </c>
      <c r="CL20" s="79">
        <f t="shared" si="55"/>
        <v>0</v>
      </c>
      <c r="CM20" s="77">
        <f t="shared" si="56"/>
        <v>0</v>
      </c>
      <c r="CN20" s="79"/>
      <c r="CO20" s="78"/>
      <c r="CP20" s="78">
        <f t="shared" si="57"/>
        <v>0</v>
      </c>
      <c r="CQ20" s="78">
        <f t="shared" si="58"/>
        <v>0</v>
      </c>
      <c r="CR20" s="79">
        <f t="shared" si="59"/>
        <v>0</v>
      </c>
      <c r="CS20" s="77">
        <f t="shared" si="60"/>
        <v>0</v>
      </c>
      <c r="CT20" s="79"/>
      <c r="CU20" s="78"/>
      <c r="CV20" s="78">
        <f t="shared" si="61"/>
        <v>0</v>
      </c>
      <c r="CW20" s="78">
        <f t="shared" si="62"/>
        <v>0</v>
      </c>
      <c r="CX20" s="79">
        <f t="shared" si="63"/>
        <v>0</v>
      </c>
      <c r="CY20" s="77">
        <f t="shared" si="64"/>
        <v>0</v>
      </c>
      <c r="CZ20" s="79"/>
      <c r="DA20" s="78"/>
      <c r="DB20" s="78">
        <f t="shared" si="65"/>
        <v>0</v>
      </c>
      <c r="DC20" s="78">
        <f t="shared" si="66"/>
        <v>0</v>
      </c>
      <c r="DD20" s="79">
        <f t="shared" si="67"/>
        <v>0</v>
      </c>
      <c r="DE20" s="77">
        <f t="shared" si="68"/>
        <v>0</v>
      </c>
      <c r="DF20" s="79"/>
      <c r="DG20" s="78"/>
      <c r="DH20" s="78">
        <f t="shared" si="69"/>
        <v>0</v>
      </c>
      <c r="DI20" s="78">
        <f t="shared" si="70"/>
        <v>0</v>
      </c>
      <c r="DJ20" s="79">
        <f t="shared" si="71"/>
        <v>0</v>
      </c>
      <c r="DK20" s="77">
        <f t="shared" si="72"/>
        <v>0</v>
      </c>
      <c r="DL20" s="79"/>
      <c r="DM20" s="78"/>
      <c r="DN20" s="78">
        <f t="shared" si="73"/>
        <v>0</v>
      </c>
      <c r="DO20" s="78">
        <f t="shared" si="74"/>
        <v>0</v>
      </c>
      <c r="DP20" s="79">
        <f t="shared" si="75"/>
        <v>0</v>
      </c>
      <c r="DQ20" s="77">
        <f t="shared" si="76"/>
        <v>0</v>
      </c>
      <c r="DR20" s="79"/>
      <c r="DS20" s="78"/>
      <c r="DT20" s="78">
        <f t="shared" si="77"/>
        <v>0</v>
      </c>
      <c r="DU20" s="78">
        <f t="shared" si="78"/>
        <v>0</v>
      </c>
      <c r="DV20" s="79">
        <f t="shared" si="79"/>
        <v>0</v>
      </c>
      <c r="DW20" s="77">
        <f t="shared" si="80"/>
        <v>0</v>
      </c>
      <c r="DX20" s="79"/>
      <c r="DY20" s="78"/>
      <c r="DZ20" s="78">
        <f t="shared" si="81"/>
        <v>0</v>
      </c>
      <c r="EA20" s="78">
        <f t="shared" si="82"/>
        <v>0</v>
      </c>
      <c r="EB20" s="79">
        <f t="shared" si="83"/>
        <v>0</v>
      </c>
      <c r="EC20" s="77">
        <f t="shared" si="84"/>
        <v>0</v>
      </c>
      <c r="ED20" s="79"/>
      <c r="EE20" s="78"/>
      <c r="EF20" s="78">
        <f t="shared" si="85"/>
        <v>0</v>
      </c>
      <c r="EG20" s="78">
        <f t="shared" si="86"/>
        <v>0</v>
      </c>
      <c r="EH20" s="79">
        <f t="shared" si="87"/>
        <v>0</v>
      </c>
      <c r="EI20" s="77">
        <f t="shared" si="88"/>
        <v>0</v>
      </c>
      <c r="EJ20" s="79"/>
      <c r="EK20" s="78"/>
      <c r="EL20" s="78">
        <f t="shared" si="89"/>
        <v>0</v>
      </c>
      <c r="EM20" s="78">
        <f t="shared" si="90"/>
        <v>0</v>
      </c>
      <c r="EN20" s="79">
        <f t="shared" si="91"/>
        <v>0</v>
      </c>
      <c r="EO20" s="77">
        <f t="shared" si="92"/>
        <v>0</v>
      </c>
      <c r="EP20" s="79"/>
      <c r="EQ20" s="78"/>
      <c r="ER20" s="78">
        <f t="shared" si="93"/>
        <v>0</v>
      </c>
      <c r="ES20" s="78">
        <f t="shared" si="94"/>
        <v>0</v>
      </c>
      <c r="ET20" s="79">
        <f t="shared" si="95"/>
        <v>0</v>
      </c>
      <c r="EU20" s="77">
        <f t="shared" si="96"/>
        <v>0</v>
      </c>
      <c r="EV20" s="79"/>
      <c r="EW20" s="78"/>
      <c r="EX20" s="78">
        <f t="shared" si="97"/>
        <v>0</v>
      </c>
      <c r="EY20" s="78">
        <f t="shared" si="98"/>
        <v>0</v>
      </c>
      <c r="EZ20" s="79">
        <f t="shared" si="99"/>
        <v>0</v>
      </c>
      <c r="FA20" s="77">
        <f t="shared" si="100"/>
        <v>0</v>
      </c>
      <c r="FB20" s="79"/>
      <c r="FC20" s="78"/>
      <c r="FD20" s="78">
        <f t="shared" si="101"/>
        <v>0</v>
      </c>
      <c r="FE20" s="78">
        <f t="shared" si="102"/>
        <v>0</v>
      </c>
      <c r="FF20" s="79">
        <f t="shared" si="103"/>
        <v>0</v>
      </c>
      <c r="FG20" s="77">
        <f t="shared" si="104"/>
        <v>0</v>
      </c>
      <c r="FH20" s="79"/>
      <c r="FI20" s="78"/>
      <c r="FJ20" s="78">
        <f t="shared" si="105"/>
        <v>0</v>
      </c>
      <c r="FK20" s="78">
        <f t="shared" si="106"/>
        <v>0</v>
      </c>
      <c r="FL20" s="79">
        <f t="shared" si="107"/>
        <v>0</v>
      </c>
      <c r="FM20" s="77">
        <f t="shared" si="108"/>
        <v>0</v>
      </c>
      <c r="FN20" s="79"/>
      <c r="FO20" s="78"/>
      <c r="FP20" s="78">
        <f t="shared" si="109"/>
        <v>0</v>
      </c>
      <c r="FQ20" s="78">
        <f t="shared" si="110"/>
        <v>0</v>
      </c>
      <c r="FR20" s="79">
        <f t="shared" si="111"/>
        <v>0</v>
      </c>
      <c r="FS20" s="77">
        <f t="shared" si="112"/>
        <v>0</v>
      </c>
      <c r="FT20" s="79"/>
      <c r="FU20" s="78"/>
      <c r="FV20" s="78">
        <f t="shared" si="113"/>
        <v>0</v>
      </c>
      <c r="FW20" s="78">
        <f t="shared" si="114"/>
        <v>0</v>
      </c>
      <c r="FX20" s="79">
        <f t="shared" si="115"/>
        <v>0</v>
      </c>
      <c r="FY20" s="77">
        <f t="shared" si="116"/>
        <v>0</v>
      </c>
      <c r="FZ20" s="79"/>
      <c r="GA20" s="78"/>
      <c r="GB20" s="78">
        <f t="shared" si="117"/>
        <v>0</v>
      </c>
      <c r="GC20" s="78">
        <f t="shared" si="118"/>
        <v>0</v>
      </c>
      <c r="GD20" s="79">
        <f t="shared" si="119"/>
        <v>0</v>
      </c>
      <c r="GE20" s="77">
        <f t="shared" si="120"/>
        <v>0</v>
      </c>
      <c r="GF20" s="79"/>
      <c r="GG20" s="78"/>
      <c r="GH20" s="78">
        <f t="shared" si="121"/>
        <v>0</v>
      </c>
      <c r="GI20" s="78">
        <f t="shared" si="122"/>
        <v>0</v>
      </c>
      <c r="GJ20" s="79">
        <f t="shared" si="123"/>
        <v>0</v>
      </c>
      <c r="GK20" s="77">
        <f t="shared" si="124"/>
        <v>0</v>
      </c>
      <c r="GL20" s="79"/>
      <c r="GM20" s="78"/>
      <c r="GN20" s="78">
        <f t="shared" si="125"/>
        <v>0</v>
      </c>
      <c r="GO20" s="78">
        <f t="shared" si="126"/>
        <v>0</v>
      </c>
      <c r="GP20" s="79">
        <f t="shared" si="127"/>
        <v>0</v>
      </c>
      <c r="GQ20" s="77">
        <f t="shared" si="128"/>
        <v>0</v>
      </c>
      <c r="GR20" s="79"/>
      <c r="GS20" s="78"/>
      <c r="GT20" s="78">
        <f t="shared" si="129"/>
        <v>0</v>
      </c>
      <c r="GU20" s="78">
        <f t="shared" si="130"/>
        <v>0</v>
      </c>
      <c r="GV20" s="79">
        <f t="shared" si="131"/>
        <v>0</v>
      </c>
      <c r="GW20" s="77">
        <f t="shared" si="132"/>
        <v>0</v>
      </c>
      <c r="GX20" s="79"/>
      <c r="GY20" s="78"/>
      <c r="GZ20" s="78">
        <f t="shared" si="133"/>
        <v>0</v>
      </c>
      <c r="HA20" s="78">
        <f t="shared" si="134"/>
        <v>0</v>
      </c>
      <c r="HB20" s="79">
        <f t="shared" si="135"/>
        <v>0</v>
      </c>
      <c r="HC20" s="77">
        <f t="shared" si="136"/>
        <v>0</v>
      </c>
      <c r="HD20" s="79"/>
      <c r="HE20" s="79"/>
      <c r="HF20" s="79"/>
      <c r="HG20" s="79"/>
      <c r="HH20" s="79"/>
      <c r="HI20" s="79"/>
    </row>
    <row r="21" spans="1:217" s="52" customFormat="1" ht="12.75" hidden="1">
      <c r="A21" s="51">
        <v>45383</v>
      </c>
      <c r="C21" s="80"/>
      <c r="D21" s="80"/>
      <c r="E21" s="77">
        <f t="shared" si="0"/>
        <v>0</v>
      </c>
      <c r="F21" s="77"/>
      <c r="G21" s="77"/>
      <c r="H21" s="79"/>
      <c r="I21" s="79">
        <f>O21+U21+AA21+AG21+AM21+AS21+AY21+BE21+BK21+BQ21+BW21+CC21+CI21+CO21+CU21+DA21+DG21+DM21+DS21+DY21+EE21+EK21+EQ21+EW21+FC21+FI21+FO21+FU21+GA21+GG21+GM21+GS21+GY21</f>
        <v>0</v>
      </c>
      <c r="J21" s="79">
        <f t="shared" si="1"/>
        <v>0</v>
      </c>
      <c r="K21" s="79">
        <f t="shared" si="2"/>
        <v>0</v>
      </c>
      <c r="L21" s="79">
        <f t="shared" si="3"/>
        <v>0</v>
      </c>
      <c r="M21" s="79">
        <f t="shared" si="4"/>
        <v>0</v>
      </c>
      <c r="N21" s="79"/>
      <c r="O21" s="78">
        <f t="shared" si="137"/>
        <v>0</v>
      </c>
      <c r="P21" s="78">
        <f t="shared" si="5"/>
        <v>0</v>
      </c>
      <c r="Q21" s="79">
        <f>O21+P21</f>
        <v>0</v>
      </c>
      <c r="R21" s="79">
        <f t="shared" si="7"/>
        <v>0</v>
      </c>
      <c r="S21" s="77">
        <f t="shared" si="8"/>
        <v>0</v>
      </c>
      <c r="T21" s="79"/>
      <c r="U21" s="78">
        <f t="shared" si="138"/>
        <v>0</v>
      </c>
      <c r="V21" s="78">
        <f t="shared" si="9"/>
        <v>0</v>
      </c>
      <c r="W21" s="78">
        <f t="shared" si="10"/>
        <v>0</v>
      </c>
      <c r="X21" s="79">
        <f t="shared" si="11"/>
        <v>0</v>
      </c>
      <c r="Y21" s="77">
        <f t="shared" si="12"/>
        <v>0</v>
      </c>
      <c r="Z21" s="79"/>
      <c r="AA21" s="79">
        <f t="shared" si="139"/>
        <v>0</v>
      </c>
      <c r="AB21" s="78">
        <f t="shared" si="13"/>
        <v>0</v>
      </c>
      <c r="AC21" s="78">
        <f t="shared" si="14"/>
        <v>0</v>
      </c>
      <c r="AD21" s="79">
        <f t="shared" si="15"/>
        <v>0</v>
      </c>
      <c r="AE21" s="77">
        <f t="shared" si="16"/>
        <v>0</v>
      </c>
      <c r="AF21" s="79"/>
      <c r="AG21" s="78">
        <f t="shared" si="140"/>
        <v>0</v>
      </c>
      <c r="AH21" s="78">
        <f t="shared" si="17"/>
        <v>0</v>
      </c>
      <c r="AI21" s="78">
        <f t="shared" si="18"/>
        <v>0</v>
      </c>
      <c r="AJ21" s="79">
        <f t="shared" si="19"/>
        <v>0</v>
      </c>
      <c r="AK21" s="77">
        <f t="shared" si="20"/>
        <v>0</v>
      </c>
      <c r="AL21" s="79"/>
      <c r="AM21" s="78">
        <f t="shared" si="141"/>
        <v>0</v>
      </c>
      <c r="AN21" s="78">
        <f t="shared" si="21"/>
        <v>0</v>
      </c>
      <c r="AO21" s="78">
        <f t="shared" si="22"/>
        <v>0</v>
      </c>
      <c r="AP21" s="79">
        <f t="shared" si="23"/>
        <v>0</v>
      </c>
      <c r="AQ21" s="77">
        <f t="shared" si="24"/>
        <v>0</v>
      </c>
      <c r="AR21" s="78"/>
      <c r="AS21" s="78">
        <f t="shared" si="142"/>
        <v>0</v>
      </c>
      <c r="AT21" s="78">
        <f t="shared" si="25"/>
        <v>0</v>
      </c>
      <c r="AU21" s="78">
        <f t="shared" si="26"/>
        <v>0</v>
      </c>
      <c r="AV21" s="79">
        <f t="shared" si="27"/>
        <v>0</v>
      </c>
      <c r="AW21" s="77">
        <f t="shared" si="28"/>
        <v>0</v>
      </c>
      <c r="AX21" s="79"/>
      <c r="AY21" s="78">
        <f t="shared" si="143"/>
        <v>0</v>
      </c>
      <c r="AZ21" s="78">
        <f t="shared" si="29"/>
        <v>0</v>
      </c>
      <c r="BA21" s="78">
        <f t="shared" si="30"/>
        <v>0</v>
      </c>
      <c r="BB21" s="79">
        <f t="shared" si="31"/>
        <v>0</v>
      </c>
      <c r="BC21" s="77">
        <f t="shared" si="32"/>
        <v>0</v>
      </c>
      <c r="BD21" s="79"/>
      <c r="BE21" s="78">
        <f t="shared" si="144"/>
        <v>0</v>
      </c>
      <c r="BF21" s="78">
        <f t="shared" si="33"/>
        <v>0</v>
      </c>
      <c r="BG21" s="78">
        <f t="shared" si="34"/>
        <v>0</v>
      </c>
      <c r="BH21" s="79">
        <f t="shared" si="35"/>
        <v>0</v>
      </c>
      <c r="BI21" s="77">
        <f t="shared" si="36"/>
        <v>0</v>
      </c>
      <c r="BJ21" s="79"/>
      <c r="BK21" s="78">
        <f t="shared" si="145"/>
        <v>0</v>
      </c>
      <c r="BL21" s="78">
        <f t="shared" si="37"/>
        <v>0</v>
      </c>
      <c r="BM21" s="78">
        <f t="shared" si="38"/>
        <v>0</v>
      </c>
      <c r="BN21" s="79">
        <f t="shared" si="39"/>
        <v>0</v>
      </c>
      <c r="BO21" s="77">
        <f t="shared" si="40"/>
        <v>0</v>
      </c>
      <c r="BP21" s="79"/>
      <c r="BQ21" s="78">
        <f t="shared" si="146"/>
        <v>0</v>
      </c>
      <c r="BR21" s="78">
        <f t="shared" si="41"/>
        <v>0</v>
      </c>
      <c r="BS21" s="78">
        <f t="shared" si="42"/>
        <v>0</v>
      </c>
      <c r="BT21" s="79">
        <f t="shared" si="43"/>
        <v>0</v>
      </c>
      <c r="BU21" s="77">
        <f t="shared" si="44"/>
        <v>0</v>
      </c>
      <c r="BV21" s="79"/>
      <c r="BW21" s="78">
        <f t="shared" si="147"/>
        <v>0</v>
      </c>
      <c r="BX21" s="78">
        <f t="shared" si="45"/>
        <v>0</v>
      </c>
      <c r="BY21" s="78">
        <f t="shared" si="46"/>
        <v>0</v>
      </c>
      <c r="BZ21" s="79">
        <f t="shared" si="47"/>
        <v>0</v>
      </c>
      <c r="CA21" s="77">
        <f t="shared" si="48"/>
        <v>0</v>
      </c>
      <c r="CB21" s="78"/>
      <c r="CC21" s="78">
        <f t="shared" si="148"/>
        <v>0</v>
      </c>
      <c r="CD21" s="78">
        <f t="shared" si="49"/>
        <v>0</v>
      </c>
      <c r="CE21" s="78">
        <f t="shared" si="50"/>
        <v>0</v>
      </c>
      <c r="CF21" s="79">
        <f t="shared" si="51"/>
        <v>0</v>
      </c>
      <c r="CG21" s="77">
        <f t="shared" si="52"/>
        <v>0</v>
      </c>
      <c r="CH21" s="79"/>
      <c r="CI21" s="78">
        <f t="shared" si="149"/>
        <v>0</v>
      </c>
      <c r="CJ21" s="78">
        <f t="shared" si="53"/>
        <v>0</v>
      </c>
      <c r="CK21" s="78">
        <f t="shared" si="54"/>
        <v>0</v>
      </c>
      <c r="CL21" s="79">
        <f t="shared" si="55"/>
        <v>0</v>
      </c>
      <c r="CM21" s="77">
        <f t="shared" si="56"/>
        <v>0</v>
      </c>
      <c r="CN21" s="79"/>
      <c r="CO21" s="78">
        <f t="shared" si="150"/>
        <v>0</v>
      </c>
      <c r="CP21" s="78">
        <f t="shared" si="57"/>
        <v>0</v>
      </c>
      <c r="CQ21" s="78">
        <f t="shared" si="58"/>
        <v>0</v>
      </c>
      <c r="CR21" s="79">
        <f t="shared" si="59"/>
        <v>0</v>
      </c>
      <c r="CS21" s="77">
        <f t="shared" si="60"/>
        <v>0</v>
      </c>
      <c r="CT21" s="79"/>
      <c r="CU21" s="78">
        <f t="shared" si="151"/>
        <v>0</v>
      </c>
      <c r="CV21" s="78">
        <f t="shared" si="61"/>
        <v>0</v>
      </c>
      <c r="CW21" s="78">
        <f t="shared" si="62"/>
        <v>0</v>
      </c>
      <c r="CX21" s="79">
        <f t="shared" si="63"/>
        <v>0</v>
      </c>
      <c r="CY21" s="77">
        <f t="shared" si="64"/>
        <v>0</v>
      </c>
      <c r="CZ21" s="79"/>
      <c r="DA21" s="78">
        <f t="shared" si="152"/>
        <v>0</v>
      </c>
      <c r="DB21" s="78">
        <f t="shared" si="65"/>
        <v>0</v>
      </c>
      <c r="DC21" s="78">
        <f t="shared" si="66"/>
        <v>0</v>
      </c>
      <c r="DD21" s="79">
        <f t="shared" si="67"/>
        <v>0</v>
      </c>
      <c r="DE21" s="77">
        <f t="shared" si="68"/>
        <v>0</v>
      </c>
      <c r="DF21" s="79"/>
      <c r="DG21" s="78">
        <f t="shared" si="153"/>
        <v>0</v>
      </c>
      <c r="DH21" s="78">
        <f t="shared" si="69"/>
        <v>0</v>
      </c>
      <c r="DI21" s="78">
        <f t="shared" si="70"/>
        <v>0</v>
      </c>
      <c r="DJ21" s="79">
        <f t="shared" si="71"/>
        <v>0</v>
      </c>
      <c r="DK21" s="77">
        <f t="shared" si="72"/>
        <v>0</v>
      </c>
      <c r="DL21" s="79"/>
      <c r="DM21" s="78">
        <f t="shared" si="154"/>
        <v>0</v>
      </c>
      <c r="DN21" s="78">
        <f t="shared" si="73"/>
        <v>0</v>
      </c>
      <c r="DO21" s="78">
        <f t="shared" si="74"/>
        <v>0</v>
      </c>
      <c r="DP21" s="79">
        <f t="shared" si="75"/>
        <v>0</v>
      </c>
      <c r="DQ21" s="77">
        <f t="shared" si="76"/>
        <v>0</v>
      </c>
      <c r="DR21" s="79"/>
      <c r="DS21" s="78">
        <f t="shared" si="155"/>
        <v>0</v>
      </c>
      <c r="DT21" s="78">
        <f t="shared" si="77"/>
        <v>0</v>
      </c>
      <c r="DU21" s="78">
        <f t="shared" si="78"/>
        <v>0</v>
      </c>
      <c r="DV21" s="79">
        <f t="shared" si="79"/>
        <v>0</v>
      </c>
      <c r="DW21" s="77">
        <f t="shared" si="80"/>
        <v>0</v>
      </c>
      <c r="DX21" s="79"/>
      <c r="DY21" s="78">
        <f t="shared" si="156"/>
        <v>0</v>
      </c>
      <c r="DZ21" s="78">
        <f t="shared" si="81"/>
        <v>0</v>
      </c>
      <c r="EA21" s="78">
        <f t="shared" si="82"/>
        <v>0</v>
      </c>
      <c r="EB21" s="79">
        <f t="shared" si="83"/>
        <v>0</v>
      </c>
      <c r="EC21" s="77">
        <f t="shared" si="84"/>
        <v>0</v>
      </c>
      <c r="ED21" s="79"/>
      <c r="EE21" s="78">
        <f t="shared" si="157"/>
        <v>0</v>
      </c>
      <c r="EF21" s="78">
        <f t="shared" si="85"/>
        <v>0</v>
      </c>
      <c r="EG21" s="78">
        <f t="shared" si="86"/>
        <v>0</v>
      </c>
      <c r="EH21" s="79">
        <f t="shared" si="87"/>
        <v>0</v>
      </c>
      <c r="EI21" s="77">
        <f t="shared" si="88"/>
        <v>0</v>
      </c>
      <c r="EJ21" s="79"/>
      <c r="EK21" s="78">
        <f t="shared" si="158"/>
        <v>0</v>
      </c>
      <c r="EL21" s="78">
        <f t="shared" si="89"/>
        <v>0</v>
      </c>
      <c r="EM21" s="78">
        <f t="shared" si="90"/>
        <v>0</v>
      </c>
      <c r="EN21" s="79">
        <f t="shared" si="91"/>
        <v>0</v>
      </c>
      <c r="EO21" s="77">
        <f t="shared" si="92"/>
        <v>0</v>
      </c>
      <c r="EP21" s="79"/>
      <c r="EQ21" s="78">
        <f t="shared" si="159"/>
        <v>0</v>
      </c>
      <c r="ER21" s="78">
        <f t="shared" si="93"/>
        <v>0</v>
      </c>
      <c r="ES21" s="78">
        <f t="shared" si="94"/>
        <v>0</v>
      </c>
      <c r="ET21" s="79">
        <f t="shared" si="95"/>
        <v>0</v>
      </c>
      <c r="EU21" s="77">
        <f t="shared" si="96"/>
        <v>0</v>
      </c>
      <c r="EV21" s="79"/>
      <c r="EW21" s="78">
        <f t="shared" si="160"/>
        <v>0</v>
      </c>
      <c r="EX21" s="78">
        <f t="shared" si="97"/>
        <v>0</v>
      </c>
      <c r="EY21" s="78">
        <f t="shared" si="98"/>
        <v>0</v>
      </c>
      <c r="EZ21" s="79">
        <f t="shared" si="99"/>
        <v>0</v>
      </c>
      <c r="FA21" s="77">
        <f t="shared" si="100"/>
        <v>0</v>
      </c>
      <c r="FB21" s="79"/>
      <c r="FC21" s="78">
        <f t="shared" si="161"/>
        <v>0</v>
      </c>
      <c r="FD21" s="78">
        <f t="shared" si="101"/>
        <v>0</v>
      </c>
      <c r="FE21" s="78">
        <f t="shared" si="102"/>
        <v>0</v>
      </c>
      <c r="FF21" s="79">
        <f t="shared" si="103"/>
        <v>0</v>
      </c>
      <c r="FG21" s="77">
        <f t="shared" si="104"/>
        <v>0</v>
      </c>
      <c r="FH21" s="79"/>
      <c r="FI21" s="78">
        <f t="shared" si="162"/>
        <v>0</v>
      </c>
      <c r="FJ21" s="78">
        <f t="shared" si="105"/>
        <v>0</v>
      </c>
      <c r="FK21" s="78">
        <f t="shared" si="106"/>
        <v>0</v>
      </c>
      <c r="FL21" s="79">
        <f t="shared" si="107"/>
        <v>0</v>
      </c>
      <c r="FM21" s="77">
        <f t="shared" si="108"/>
        <v>0</v>
      </c>
      <c r="FN21" s="79"/>
      <c r="FO21" s="78">
        <f t="shared" si="163"/>
        <v>0</v>
      </c>
      <c r="FP21" s="78">
        <f t="shared" si="109"/>
        <v>0</v>
      </c>
      <c r="FQ21" s="78">
        <f t="shared" si="110"/>
        <v>0</v>
      </c>
      <c r="FR21" s="79">
        <f t="shared" si="111"/>
        <v>0</v>
      </c>
      <c r="FS21" s="77">
        <f t="shared" si="112"/>
        <v>0</v>
      </c>
      <c r="FT21" s="79"/>
      <c r="FU21" s="78">
        <f t="shared" si="164"/>
        <v>0</v>
      </c>
      <c r="FV21" s="78">
        <f t="shared" si="113"/>
        <v>0</v>
      </c>
      <c r="FW21" s="78">
        <f t="shared" si="114"/>
        <v>0</v>
      </c>
      <c r="FX21" s="79">
        <f t="shared" si="115"/>
        <v>0</v>
      </c>
      <c r="FY21" s="77">
        <f t="shared" si="116"/>
        <v>0</v>
      </c>
      <c r="FZ21" s="79"/>
      <c r="GA21" s="78">
        <f t="shared" si="165"/>
        <v>0</v>
      </c>
      <c r="GB21" s="78">
        <f t="shared" si="117"/>
        <v>0</v>
      </c>
      <c r="GC21" s="78">
        <f t="shared" si="118"/>
        <v>0</v>
      </c>
      <c r="GD21" s="79">
        <f t="shared" si="119"/>
        <v>0</v>
      </c>
      <c r="GE21" s="77">
        <f t="shared" si="120"/>
        <v>0</v>
      </c>
      <c r="GF21" s="79"/>
      <c r="GG21" s="78">
        <f t="shared" si="166"/>
        <v>0</v>
      </c>
      <c r="GH21" s="78">
        <f t="shared" si="121"/>
        <v>0</v>
      </c>
      <c r="GI21" s="78">
        <f t="shared" si="122"/>
        <v>0</v>
      </c>
      <c r="GJ21" s="79">
        <f t="shared" si="123"/>
        <v>0</v>
      </c>
      <c r="GK21" s="77">
        <f t="shared" si="124"/>
        <v>0</v>
      </c>
      <c r="GL21" s="79"/>
      <c r="GM21" s="78">
        <f t="shared" si="167"/>
        <v>0</v>
      </c>
      <c r="GN21" s="78">
        <f t="shared" si="125"/>
        <v>0</v>
      </c>
      <c r="GO21" s="78">
        <f t="shared" si="126"/>
        <v>0</v>
      </c>
      <c r="GP21" s="79">
        <f t="shared" si="127"/>
        <v>0</v>
      </c>
      <c r="GQ21" s="77">
        <f t="shared" si="128"/>
        <v>0</v>
      </c>
      <c r="GR21" s="79"/>
      <c r="GS21" s="78">
        <f t="shared" si="168"/>
        <v>0</v>
      </c>
      <c r="GT21" s="78">
        <f t="shared" si="129"/>
        <v>0</v>
      </c>
      <c r="GU21" s="78">
        <f t="shared" si="130"/>
        <v>0</v>
      </c>
      <c r="GV21" s="79">
        <f t="shared" si="131"/>
        <v>0</v>
      </c>
      <c r="GW21" s="77">
        <f t="shared" si="132"/>
        <v>0</v>
      </c>
      <c r="GX21" s="79"/>
      <c r="GY21" s="78">
        <f t="shared" si="169"/>
        <v>0</v>
      </c>
      <c r="GZ21" s="78">
        <f t="shared" si="133"/>
        <v>0</v>
      </c>
      <c r="HA21" s="78">
        <f t="shared" si="134"/>
        <v>0</v>
      </c>
      <c r="HB21" s="79">
        <f t="shared" si="135"/>
        <v>0</v>
      </c>
      <c r="HC21" s="77">
        <f t="shared" si="136"/>
        <v>0</v>
      </c>
      <c r="HD21" s="79"/>
      <c r="HE21" s="79"/>
      <c r="HF21" s="79"/>
      <c r="HG21" s="79"/>
      <c r="HH21" s="79"/>
      <c r="HI21" s="79"/>
    </row>
    <row r="22" spans="3:217" ht="12.75">
      <c r="C22" s="80"/>
      <c r="D22" s="80"/>
      <c r="E22" s="80"/>
      <c r="F22" s="80"/>
      <c r="G22" s="80"/>
      <c r="H22" s="78"/>
      <c r="I22" s="78"/>
      <c r="J22" s="79"/>
      <c r="K22" s="78"/>
      <c r="L22" s="78"/>
      <c r="M22" s="80"/>
      <c r="N22" s="78"/>
      <c r="O22" s="78"/>
      <c r="P22" s="78"/>
      <c r="Q22" s="78"/>
      <c r="R22" s="78"/>
      <c r="S22" s="80"/>
      <c r="T22" s="78"/>
      <c r="U22" s="78"/>
      <c r="V22" s="78"/>
      <c r="W22" s="78"/>
      <c r="X22" s="78"/>
      <c r="Y22" s="80"/>
      <c r="Z22" s="78"/>
      <c r="AA22" s="79"/>
      <c r="AB22" s="78"/>
      <c r="AC22" s="78"/>
      <c r="AD22" s="78"/>
      <c r="AE22" s="80"/>
      <c r="AF22" s="78"/>
      <c r="AG22" s="78"/>
      <c r="AH22" s="78"/>
      <c r="AI22" s="78"/>
      <c r="AJ22" s="78"/>
      <c r="AK22" s="80"/>
      <c r="AL22" s="78"/>
      <c r="AM22" s="78"/>
      <c r="AN22" s="78"/>
      <c r="AO22" s="78"/>
      <c r="AP22" s="78"/>
      <c r="AQ22" s="80"/>
      <c r="AR22" s="78"/>
      <c r="AS22" s="78"/>
      <c r="AT22" s="78"/>
      <c r="AU22" s="78"/>
      <c r="AV22" s="78"/>
      <c r="AW22" s="80"/>
      <c r="AX22" s="78"/>
      <c r="AY22" s="78"/>
      <c r="AZ22" s="78"/>
      <c r="BA22" s="78"/>
      <c r="BB22" s="78"/>
      <c r="BC22" s="80"/>
      <c r="BD22" s="78"/>
      <c r="BE22" s="78"/>
      <c r="BF22" s="78"/>
      <c r="BG22" s="78"/>
      <c r="BH22" s="78"/>
      <c r="BI22" s="80"/>
      <c r="BJ22" s="78"/>
      <c r="BK22" s="78"/>
      <c r="BL22" s="78"/>
      <c r="BM22" s="78"/>
      <c r="BN22" s="78"/>
      <c r="BO22" s="80"/>
      <c r="BP22" s="78"/>
      <c r="BQ22" s="78"/>
      <c r="BR22" s="78"/>
      <c r="BS22" s="78"/>
      <c r="BT22" s="78"/>
      <c r="BU22" s="80"/>
      <c r="BV22" s="78"/>
      <c r="BW22" s="78"/>
      <c r="BX22" s="78"/>
      <c r="BY22" s="78"/>
      <c r="BZ22" s="78"/>
      <c r="CA22" s="80"/>
      <c r="CB22" s="78"/>
      <c r="CC22" s="78"/>
      <c r="CD22" s="78"/>
      <c r="CE22" s="78"/>
      <c r="CF22" s="78"/>
      <c r="CG22" s="80"/>
      <c r="CH22" s="78"/>
      <c r="CI22" s="78"/>
      <c r="CJ22" s="78"/>
      <c r="CK22" s="78"/>
      <c r="CL22" s="78"/>
      <c r="CM22" s="80"/>
      <c r="CN22" s="78"/>
      <c r="CO22" s="78"/>
      <c r="CP22" s="78"/>
      <c r="CQ22" s="78"/>
      <c r="CR22" s="78"/>
      <c r="CS22" s="80"/>
      <c r="CT22" s="78"/>
      <c r="CU22" s="78"/>
      <c r="CV22" s="78"/>
      <c r="CW22" s="78"/>
      <c r="CX22" s="78"/>
      <c r="CY22" s="80"/>
      <c r="CZ22" s="78"/>
      <c r="DA22" s="78"/>
      <c r="DB22" s="78"/>
      <c r="DC22" s="78"/>
      <c r="DD22" s="78"/>
      <c r="DE22" s="80"/>
      <c r="DF22" s="78"/>
      <c r="DG22" s="78"/>
      <c r="DH22" s="78"/>
      <c r="DI22" s="78"/>
      <c r="DJ22" s="78"/>
      <c r="DK22" s="80"/>
      <c r="DL22" s="78"/>
      <c r="DM22" s="78"/>
      <c r="DN22" s="78"/>
      <c r="DO22" s="78"/>
      <c r="DP22" s="78"/>
      <c r="DQ22" s="80"/>
      <c r="DR22" s="78"/>
      <c r="DS22" s="78"/>
      <c r="DT22" s="78"/>
      <c r="DU22" s="78"/>
      <c r="DV22" s="78"/>
      <c r="DW22" s="80"/>
      <c r="DX22" s="78"/>
      <c r="DY22" s="78"/>
      <c r="DZ22" s="78"/>
      <c r="EA22" s="78"/>
      <c r="EB22" s="78"/>
      <c r="EC22" s="80"/>
      <c r="ED22" s="78"/>
      <c r="EE22" s="78"/>
      <c r="EF22" s="78"/>
      <c r="EG22" s="78"/>
      <c r="EH22" s="78"/>
      <c r="EI22" s="80"/>
      <c r="EJ22" s="78"/>
      <c r="EK22" s="78"/>
      <c r="EL22" s="78"/>
      <c r="EM22" s="78"/>
      <c r="EN22" s="78"/>
      <c r="EO22" s="80"/>
      <c r="EP22" s="78"/>
      <c r="EQ22" s="78"/>
      <c r="ER22" s="78"/>
      <c r="ES22" s="78"/>
      <c r="ET22" s="78"/>
      <c r="EU22" s="80"/>
      <c r="EV22" s="78"/>
      <c r="EW22" s="78"/>
      <c r="EX22" s="78"/>
      <c r="EY22" s="78"/>
      <c r="EZ22" s="78"/>
      <c r="FA22" s="80"/>
      <c r="FB22" s="78"/>
      <c r="FC22" s="78"/>
      <c r="FD22" s="78"/>
      <c r="FE22" s="78"/>
      <c r="FF22" s="78"/>
      <c r="FG22" s="80"/>
      <c r="FH22" s="78"/>
      <c r="FI22" s="78"/>
      <c r="FJ22" s="78"/>
      <c r="FK22" s="78"/>
      <c r="FL22" s="78"/>
      <c r="FM22" s="80"/>
      <c r="FN22" s="78"/>
      <c r="FO22" s="78"/>
      <c r="FP22" s="78"/>
      <c r="FQ22" s="78"/>
      <c r="FR22" s="78"/>
      <c r="FS22" s="80"/>
      <c r="FT22" s="78"/>
      <c r="FU22" s="78"/>
      <c r="FV22" s="78"/>
      <c r="FW22" s="78"/>
      <c r="FX22" s="78"/>
      <c r="FY22" s="80"/>
      <c r="FZ22" s="78"/>
      <c r="GA22" s="78"/>
      <c r="GB22" s="78"/>
      <c r="GC22" s="78"/>
      <c r="GD22" s="78"/>
      <c r="GE22" s="80"/>
      <c r="GF22" s="78"/>
      <c r="GG22" s="78"/>
      <c r="GH22" s="78"/>
      <c r="GI22" s="78"/>
      <c r="GJ22" s="78"/>
      <c r="GK22" s="80"/>
      <c r="GL22" s="78"/>
      <c r="GM22" s="78"/>
      <c r="GN22" s="78"/>
      <c r="GO22" s="78"/>
      <c r="GP22" s="78"/>
      <c r="GQ22" s="80"/>
      <c r="GR22" s="78"/>
      <c r="GS22" s="78"/>
      <c r="GT22" s="78"/>
      <c r="GU22" s="78"/>
      <c r="GV22" s="78"/>
      <c r="GW22" s="80"/>
      <c r="GX22" s="78"/>
      <c r="GY22" s="78"/>
      <c r="GZ22" s="78"/>
      <c r="HA22" s="78"/>
      <c r="HB22" s="78"/>
      <c r="HC22" s="80"/>
      <c r="HD22" s="78"/>
      <c r="HE22" s="78"/>
      <c r="HF22" s="78"/>
      <c r="HG22" s="78"/>
      <c r="HH22" s="78"/>
      <c r="HI22" s="78"/>
    </row>
    <row r="23" spans="1:217" ht="13.5" thickBot="1">
      <c r="A23" s="31" t="s">
        <v>4</v>
      </c>
      <c r="C23" s="81">
        <f>SUM(C8:C22)</f>
        <v>5670000</v>
      </c>
      <c r="D23" s="81">
        <f>SUM(D8:D22)</f>
        <v>340200</v>
      </c>
      <c r="E23" s="81">
        <f>SUM(E8:E22)</f>
        <v>6010200</v>
      </c>
      <c r="F23" s="81">
        <f>SUM(F8:F22)</f>
        <v>245215</v>
      </c>
      <c r="G23" s="81">
        <f>SUM(G8:G22)</f>
        <v>103276</v>
      </c>
      <c r="H23" s="78"/>
      <c r="I23" s="81">
        <f>SUM(I8:I22)</f>
        <v>3077822.8529999997</v>
      </c>
      <c r="J23" s="81">
        <f>SUM(J8:J22)</f>
        <v>184669.37118000002</v>
      </c>
      <c r="K23" s="81">
        <f>SUM(K8:K22)</f>
        <v>3262492.2241799994</v>
      </c>
      <c r="L23" s="81">
        <f>SUM(L8:L22)</f>
        <v>133109.05306850004</v>
      </c>
      <c r="M23" s="81">
        <f>SUM(M8:M22)</f>
        <v>56060.8876484</v>
      </c>
      <c r="N23" s="78"/>
      <c r="O23" s="81">
        <f>SUM(O8:O22)</f>
        <v>375043.284</v>
      </c>
      <c r="P23" s="81">
        <f>SUM(P8:P22)</f>
        <v>22502.59704</v>
      </c>
      <c r="Q23" s="81">
        <f>SUM(Q8:Q22)</f>
        <v>397545.88103999995</v>
      </c>
      <c r="R23" s="81">
        <f>SUM(R8:R22)</f>
        <v>16219.795218000001</v>
      </c>
      <c r="S23" s="81">
        <f>SUM(S8:S22)</f>
        <v>6831.2116752</v>
      </c>
      <c r="T23" s="78"/>
      <c r="U23" s="81">
        <f>SUM(U8:U22)</f>
        <v>6404.832</v>
      </c>
      <c r="V23" s="81">
        <f>SUM(V8:V22)</f>
        <v>384.28992</v>
      </c>
      <c r="W23" s="81">
        <f>SUM(W8:W22)</f>
        <v>6789.1219200000005</v>
      </c>
      <c r="X23" s="81">
        <f>SUM(X8:X22)</f>
        <v>276.994864</v>
      </c>
      <c r="Y23" s="81">
        <f>SUM(Y8:Y22)</f>
        <v>116.66056959999999</v>
      </c>
      <c r="Z23" s="78"/>
      <c r="AA23" s="81">
        <f>SUM(AA8:AA22)</f>
        <v>28913.597999999998</v>
      </c>
      <c r="AB23" s="81">
        <f>SUM(AB8:AB22)</f>
        <v>1734.8158799999999</v>
      </c>
      <c r="AC23" s="81">
        <f>SUM(AC8:AC22)</f>
        <v>30648.413879999996</v>
      </c>
      <c r="AD23" s="81">
        <f>SUM(AD8:AD22)</f>
        <v>1250.449371</v>
      </c>
      <c r="AE23" s="81">
        <f>SUM(AE8:AE22)</f>
        <v>526.6456344000001</v>
      </c>
      <c r="AF23" s="78"/>
      <c r="AG23" s="81">
        <f>SUM(AG8:AG22)</f>
        <v>502813.899</v>
      </c>
      <c r="AH23" s="81">
        <f>SUM(AH8:AH22)</f>
        <v>30168.833939999997</v>
      </c>
      <c r="AI23" s="81">
        <f>SUM(AI8:AI22)</f>
        <v>532982.73294</v>
      </c>
      <c r="AJ23" s="81">
        <f>SUM(AJ8:AJ22)</f>
        <v>21745.5926355</v>
      </c>
      <c r="AK23" s="81">
        <f>SUM(AK8:AK22)</f>
        <v>9158.4846972</v>
      </c>
      <c r="AL23" s="78"/>
      <c r="AM23" s="81">
        <f>SUM(AM8:AM22)</f>
        <v>6090.714</v>
      </c>
      <c r="AN23" s="81">
        <f>SUM(AN8:AN22)</f>
        <v>365.44284</v>
      </c>
      <c r="AO23" s="81">
        <f>SUM(AO8:AO22)</f>
        <v>6456.15684</v>
      </c>
      <c r="AP23" s="81">
        <f>SUM(AP8:AP22)</f>
        <v>263.409953</v>
      </c>
      <c r="AQ23" s="81">
        <f>SUM(AQ8:AQ22)</f>
        <v>110.93907920000001</v>
      </c>
      <c r="AR23" s="78"/>
      <c r="AS23" s="81">
        <f>SUM(AS8:AS22)</f>
        <v>5136.453</v>
      </c>
      <c r="AT23" s="81">
        <f>SUM(AT8:AT22)</f>
        <v>308.18718</v>
      </c>
      <c r="AU23" s="81">
        <f>SUM(AU8:AU22)</f>
        <v>5444.64018</v>
      </c>
      <c r="AV23" s="81">
        <f>SUM(AV8:AV22)</f>
        <v>222.1402685</v>
      </c>
      <c r="AW23" s="81">
        <f>SUM(AW8:AW22)</f>
        <v>93.55772839999999</v>
      </c>
      <c r="AX23" s="78"/>
      <c r="AY23" s="81">
        <f>SUM(AY8:AY22)</f>
        <v>210735.75600000002</v>
      </c>
      <c r="AZ23" s="81">
        <f>SUM(AZ8:AZ22)</f>
        <v>12644.14536</v>
      </c>
      <c r="BA23" s="81">
        <f>SUM(BA8:BA22)</f>
        <v>223379.90136000002</v>
      </c>
      <c r="BB23" s="81">
        <f>SUM(BB8:BB22)</f>
        <v>9113.856862</v>
      </c>
      <c r="BC23" s="81">
        <f>SUM(BC8:BC22)</f>
        <v>3838.4384368</v>
      </c>
      <c r="BD23" s="78"/>
      <c r="BE23" s="81">
        <f>SUM(BE8:BE22)</f>
        <v>432407.24100000004</v>
      </c>
      <c r="BF23" s="81">
        <f>SUM(BF8:BF22)</f>
        <v>25944.43446</v>
      </c>
      <c r="BG23" s="81">
        <f>SUM(BG8:BG22)</f>
        <v>458351.67546</v>
      </c>
      <c r="BH23" s="81">
        <f>SUM(BH8:BH22)</f>
        <v>18700.6598945</v>
      </c>
      <c r="BI23" s="81">
        <f>SUM(BI8:BI22)</f>
        <v>7876.065294800001</v>
      </c>
      <c r="BJ23" s="78"/>
      <c r="BK23" s="81">
        <f>SUM(BK8:BK22)</f>
        <v>4991.8679999999995</v>
      </c>
      <c r="BL23" s="81">
        <f>SUM(BL8:BL22)</f>
        <v>299.51207999999997</v>
      </c>
      <c r="BM23" s="81">
        <f>SUM(BM8:BM22)</f>
        <v>5291.38008</v>
      </c>
      <c r="BN23" s="81">
        <f>SUM(BN8:BN22)</f>
        <v>215.88728600000002</v>
      </c>
      <c r="BO23" s="81">
        <f>SUM(BO8:BO22)</f>
        <v>90.9241904</v>
      </c>
      <c r="BP23" s="78"/>
      <c r="BQ23" s="81">
        <f>SUM(BQ8:BQ22)</f>
        <v>3353.238</v>
      </c>
      <c r="BR23" s="81">
        <f>SUM(BR8:BR22)</f>
        <v>201.19428</v>
      </c>
      <c r="BS23" s="81">
        <f>SUM(BS8:BS22)</f>
        <v>3554.43228</v>
      </c>
      <c r="BT23" s="81">
        <f>SUM(BT8:BT22)</f>
        <v>145.020151</v>
      </c>
      <c r="BU23" s="81">
        <f>SUM(BU8:BU22)</f>
        <v>61.07742639999999</v>
      </c>
      <c r="BV23" s="78"/>
      <c r="BW23" s="81">
        <f>SUM(BW8:BW22)</f>
        <v>-499.527</v>
      </c>
      <c r="BX23" s="81">
        <f>SUM(BX8:BX22)</f>
        <v>-29.97162</v>
      </c>
      <c r="BY23" s="81">
        <f>SUM(BY8:BY22)</f>
        <v>-529.49862</v>
      </c>
      <c r="BZ23" s="81">
        <f>SUM(BZ8:BZ22)</f>
        <v>-21.603441500000002</v>
      </c>
      <c r="CA23" s="81">
        <f>SUM(CA8:CA22)</f>
        <v>-9.0986156</v>
      </c>
      <c r="CB23" s="80"/>
      <c r="CC23" s="81">
        <f>SUM(CC8:CC22)</f>
        <v>-325.458</v>
      </c>
      <c r="CD23" s="81">
        <f>SUM(CD8:CD22)</f>
        <v>-19.52748</v>
      </c>
      <c r="CE23" s="81">
        <f>SUM(CE8:CE22)</f>
        <v>-344.98548</v>
      </c>
      <c r="CF23" s="81">
        <f>SUM(CF8:CF22)</f>
        <v>-14.075341</v>
      </c>
      <c r="CG23" s="81">
        <f>SUM(CG8:CG22)</f>
        <v>-5.9280424</v>
      </c>
      <c r="CH23" s="78"/>
      <c r="CI23" s="81">
        <f>SUM(CI8:CI22)</f>
        <v>12103.181999999999</v>
      </c>
      <c r="CJ23" s="81">
        <f>SUM(CJ8:CJ22)</f>
        <v>726.19092</v>
      </c>
      <c r="CK23" s="81">
        <f>SUM(CK8:CK22)</f>
        <v>12829.37292</v>
      </c>
      <c r="CL23" s="81">
        <f>SUM(CL8:CL22)</f>
        <v>523.435939</v>
      </c>
      <c r="CM23" s="81">
        <f>SUM(CM8:CM22)</f>
        <v>220.45294959999998</v>
      </c>
      <c r="CN23" s="78"/>
      <c r="CO23" s="81">
        <f>SUM(CO8:CO22)</f>
        <v>74430.09</v>
      </c>
      <c r="CP23" s="81">
        <f>SUM(CP8:CP22)</f>
        <v>4465.8054</v>
      </c>
      <c r="CQ23" s="81">
        <f>SUM(CQ8:CQ22)</f>
        <v>78895.8954</v>
      </c>
      <c r="CR23" s="81">
        <f>SUM(CR8:CR22)</f>
        <v>3218.9373050000004</v>
      </c>
      <c r="CS23" s="81">
        <f>SUM(CS8:CS22)</f>
        <v>1355.704052</v>
      </c>
      <c r="CT23" s="78"/>
      <c r="CU23" s="81">
        <f>SUM(CU8:CU22)</f>
        <v>500009.51699999993</v>
      </c>
      <c r="CV23" s="81">
        <f>SUM(CV8:CV22)</f>
        <v>30000.57102</v>
      </c>
      <c r="CW23" s="81">
        <f>SUM(CW8:CW22)</f>
        <v>530010.0880199999</v>
      </c>
      <c r="CX23" s="81">
        <f>SUM(CX8:CX22)</f>
        <v>21624.3092965</v>
      </c>
      <c r="CY23" s="81">
        <f>SUM(CY8:CY22)</f>
        <v>9107.4043876</v>
      </c>
      <c r="CZ23" s="78"/>
      <c r="DA23" s="81">
        <f>SUM(DA8:DA22)</f>
        <v>72140.544</v>
      </c>
      <c r="DB23" s="81">
        <f>SUM(DB8:DB22)</f>
        <v>4328.43264</v>
      </c>
      <c r="DC23" s="81">
        <f>SUM(DC8:DC22)</f>
        <v>76468.97664</v>
      </c>
      <c r="DD23" s="81">
        <f>SUM(DD8:DD22)</f>
        <v>3119.919488</v>
      </c>
      <c r="DE23" s="81">
        <f>SUM(DE8:DE22)</f>
        <v>1314.0012032</v>
      </c>
      <c r="DF23" s="78"/>
      <c r="DG23" s="81">
        <f>SUM(DG8:DG22)</f>
        <v>147404.124</v>
      </c>
      <c r="DH23" s="81">
        <f>SUM(DH8:DH22)</f>
        <v>8844.247440000001</v>
      </c>
      <c r="DI23" s="81">
        <f>SUM(DI8:DI22)</f>
        <v>156248.37144</v>
      </c>
      <c r="DJ23" s="81">
        <f>SUM(DJ8:DJ22)</f>
        <v>6374.903398</v>
      </c>
      <c r="DK23" s="81">
        <f>SUM(DK8:DK22)</f>
        <v>2684.8868272</v>
      </c>
      <c r="DL23" s="78"/>
      <c r="DM23" s="81">
        <f>SUM(DM8:DM22)</f>
        <v>23905.854</v>
      </c>
      <c r="DN23" s="81">
        <f>SUM(DN8:DN22)</f>
        <v>1434.3512400000002</v>
      </c>
      <c r="DO23" s="81">
        <f>SUM(DO8:DO22)</f>
        <v>25340.20524</v>
      </c>
      <c r="DP23" s="81">
        <f>SUM(DP8:DP22)</f>
        <v>1033.875483</v>
      </c>
      <c r="DQ23" s="81">
        <f>SUM(DQ8:DQ22)</f>
        <v>435.43227119999995</v>
      </c>
      <c r="DR23" s="78"/>
      <c r="DS23" s="81">
        <f>SUM(DS8:DS22)</f>
        <v>122631.894</v>
      </c>
      <c r="DT23" s="81">
        <f>SUM(DT8:DT22)</f>
        <v>7357.91364</v>
      </c>
      <c r="DU23" s="81">
        <f>SUM(DU8:DU22)</f>
        <v>129989.80764</v>
      </c>
      <c r="DV23" s="81">
        <f>SUM(DV8:DV22)</f>
        <v>5303.559063</v>
      </c>
      <c r="DW23" s="81">
        <f>SUM(DW8:DW22)</f>
        <v>2233.6739832000003</v>
      </c>
      <c r="DX23" s="78"/>
      <c r="DY23" s="81">
        <f>SUM(DY8:DY22)</f>
        <v>1096.011</v>
      </c>
      <c r="DZ23" s="81">
        <f>SUM(DZ8:DZ22)</f>
        <v>65.76066</v>
      </c>
      <c r="EA23" s="81">
        <f>SUM(EA8:EA22)</f>
        <v>1161.7716599999999</v>
      </c>
      <c r="EB23" s="81">
        <f>SUM(EB8:EB22)</f>
        <v>47.4000595</v>
      </c>
      <c r="EC23" s="81">
        <f>SUM(EC8:EC22)</f>
        <v>19.9632508</v>
      </c>
      <c r="ED23" s="78"/>
      <c r="EE23" s="81">
        <f>SUM(EE8:EE22)</f>
        <v>1442.448</v>
      </c>
      <c r="EF23" s="81">
        <f>SUM(EF8:EF22)</f>
        <v>86.54688</v>
      </c>
      <c r="EG23" s="81">
        <f>SUM(EG8:EG22)</f>
        <v>1528.99488</v>
      </c>
      <c r="EH23" s="81">
        <f>SUM(EH8:EH22)</f>
        <v>62.382696</v>
      </c>
      <c r="EI23" s="81">
        <f>SUM(EI8:EI22)</f>
        <v>26.2734144</v>
      </c>
      <c r="EJ23" s="78"/>
      <c r="EK23" s="81">
        <f>SUM(EK8:EK22)</f>
        <v>72682.02900000001</v>
      </c>
      <c r="EL23" s="81">
        <f>SUM(EL8:EL22)</f>
        <v>4360.92174</v>
      </c>
      <c r="EM23" s="81">
        <f>SUM(EM8:EM22)</f>
        <v>77042.95074000001</v>
      </c>
      <c r="EN23" s="81">
        <f>SUM(EN8:EN22)</f>
        <v>3143.3375204999998</v>
      </c>
      <c r="EO23" s="81">
        <f>SUM(EO8:EO22)</f>
        <v>1323.8640612000002</v>
      </c>
      <c r="EP23" s="78"/>
      <c r="EQ23" s="81">
        <f>SUM(EQ8:EQ22)</f>
        <v>1383.48</v>
      </c>
      <c r="ER23" s="81">
        <f>SUM(ER8:ER22)</f>
        <v>83.00880000000001</v>
      </c>
      <c r="ES23" s="81">
        <f>SUM(ES8:ES22)</f>
        <v>1466.4887999999999</v>
      </c>
      <c r="ET23" s="81">
        <f>SUM(ET8:ET22)</f>
        <v>59.83246</v>
      </c>
      <c r="EU23" s="81">
        <f>SUM(EU8:EU22)</f>
        <v>25.199344</v>
      </c>
      <c r="EV23" s="78"/>
      <c r="EW23" s="81">
        <f>SUM(EW8:EW22)</f>
        <v>20672.253</v>
      </c>
      <c r="EX23" s="81">
        <f>SUM(EX8:EX22)</f>
        <v>1240.33518</v>
      </c>
      <c r="EY23" s="81">
        <f>SUM(EY8:EY22)</f>
        <v>21912.58818</v>
      </c>
      <c r="EZ23" s="81">
        <f>SUM(EZ8:EZ22)</f>
        <v>894.0293684999999</v>
      </c>
      <c r="FA23" s="81">
        <f>SUM(FA8:FA22)</f>
        <v>376.53396840000005</v>
      </c>
      <c r="FB23" s="78"/>
      <c r="FC23" s="81">
        <f>SUM(FC8:FC22)</f>
        <v>14360.409</v>
      </c>
      <c r="FD23" s="81">
        <f>SUM(FD8:FD22)</f>
        <v>861.62454</v>
      </c>
      <c r="FE23" s="81">
        <f>SUM(FE8:FE22)</f>
        <v>15222.033539999999</v>
      </c>
      <c r="FF23" s="81">
        <f>SUM(FF8:FF22)</f>
        <v>621.0560305</v>
      </c>
      <c r="FG23" s="81">
        <f>SUM(FG8:FG22)</f>
        <v>261.56712519999996</v>
      </c>
      <c r="FH23" s="78"/>
      <c r="FI23" s="81">
        <f>SUM(FI8:FI22)</f>
        <v>5605.929</v>
      </c>
      <c r="FJ23" s="81">
        <f>SUM(FJ8:FJ22)</f>
        <v>336.35574</v>
      </c>
      <c r="FK23" s="81">
        <f>SUM(FK8:FK22)</f>
        <v>5942.28474</v>
      </c>
      <c r="FL23" s="81">
        <f>SUM(FL8:FL22)</f>
        <v>242.44407049999998</v>
      </c>
      <c r="FM23" s="81">
        <f>SUM(FM8:FM22)</f>
        <v>102.1089812</v>
      </c>
      <c r="FN23" s="78"/>
      <c r="FO23" s="81">
        <f>SUM(FO8:FO22)</f>
        <v>62999.937000000005</v>
      </c>
      <c r="FP23" s="81">
        <f>SUM(FP8:FP22)</f>
        <v>3779.9962200000004</v>
      </c>
      <c r="FQ23" s="81">
        <f>SUM(FQ8:FQ22)</f>
        <v>66779.93322</v>
      </c>
      <c r="FR23" s="81">
        <f>SUM(FR8:FR22)</f>
        <v>2724.6083865</v>
      </c>
      <c r="FS23" s="81">
        <f>SUM(FS8:FS22)</f>
        <v>1147.5099636</v>
      </c>
      <c r="FT23" s="78"/>
      <c r="FU23" s="81">
        <f>SUM(FU8:FU22)</f>
        <v>141989.274</v>
      </c>
      <c r="FV23" s="81">
        <f>SUM(FV8:FV22)</f>
        <v>8519.356440000001</v>
      </c>
      <c r="FW23" s="81">
        <f>SUM(FW8:FW22)</f>
        <v>150508.63044</v>
      </c>
      <c r="FX23" s="81">
        <f>SUM(FX8:FX22)</f>
        <v>6140.723073000001</v>
      </c>
      <c r="FY23" s="81">
        <f>SUM(FY8:FY22)</f>
        <v>2586.2582472</v>
      </c>
      <c r="FZ23" s="78"/>
      <c r="GA23" s="81">
        <f>SUM(GA8:GA22)</f>
        <v>18119.619000000002</v>
      </c>
      <c r="GB23" s="81">
        <f>SUM(GB8:GB22)</f>
        <v>1087.17714</v>
      </c>
      <c r="GC23" s="81">
        <f>SUM(GC8:GC22)</f>
        <v>19206.796140000002</v>
      </c>
      <c r="GD23" s="81">
        <f>SUM(GD8:GD22)</f>
        <v>783.6335755</v>
      </c>
      <c r="GE23" s="81">
        <f>SUM(GE8:GE22)</f>
        <v>330.03911320000003</v>
      </c>
      <c r="GF23" s="78"/>
      <c r="GG23" s="81">
        <f>SUM(GG8:GG22)</f>
        <v>28774.116</v>
      </c>
      <c r="GH23" s="81">
        <f>SUM(GH8:GH22)</f>
        <v>1726.4469600000002</v>
      </c>
      <c r="GI23" s="81">
        <f>SUM(GI8:GI22)</f>
        <v>30500.562960000003</v>
      </c>
      <c r="GJ23" s="81">
        <f>SUM(GJ8:GJ22)</f>
        <v>1244.417082</v>
      </c>
      <c r="GK23" s="81">
        <f>SUM(GK8:GK22)</f>
        <v>524.1050448</v>
      </c>
      <c r="GL23" s="78"/>
      <c r="GM23" s="81">
        <f>SUM(GM8:GM22)</f>
        <v>133352.163</v>
      </c>
      <c r="GN23" s="81">
        <f>SUM(GN8:GN22)</f>
        <v>8001.12978</v>
      </c>
      <c r="GO23" s="81">
        <f>SUM(GO8:GO22)</f>
        <v>141353.29278</v>
      </c>
      <c r="GP23" s="81">
        <f>SUM(GP8:GP22)</f>
        <v>5767.1870635000005</v>
      </c>
      <c r="GQ23" s="81">
        <f>SUM(GQ8:GQ22)</f>
        <v>2428.9379163999997</v>
      </c>
      <c r="GR23" s="78"/>
      <c r="GS23" s="81">
        <f>SUM(GS8:GS22)</f>
        <v>7077.294</v>
      </c>
      <c r="GT23" s="81">
        <f>SUM(GT8:GT22)</f>
        <v>424.63764000000003</v>
      </c>
      <c r="GU23" s="81">
        <f>SUM(GU8:GU22)</f>
        <v>7501.93164</v>
      </c>
      <c r="GV23" s="81">
        <f>SUM(GV8:GV22)</f>
        <v>306.077363</v>
      </c>
      <c r="GW23" s="81">
        <f>SUM(GW8:GW22)</f>
        <v>128.9091032</v>
      </c>
      <c r="GX23" s="78"/>
      <c r="GY23" s="81">
        <f>SUM(GY8:GY22)</f>
        <v>40576.788</v>
      </c>
      <c r="GZ23" s="81">
        <f>SUM(GZ8:GZ22)</f>
        <v>2434.60728</v>
      </c>
      <c r="HA23" s="81">
        <f>SUM(HA8:HA22)</f>
        <v>43011.39528</v>
      </c>
      <c r="HB23" s="81">
        <f>SUM(HB8:HB22)</f>
        <v>1754.8566260000002</v>
      </c>
      <c r="HC23" s="81">
        <f>SUM(HC8:HC22)</f>
        <v>739.0843663999999</v>
      </c>
      <c r="HD23" s="78"/>
      <c r="HE23" s="78"/>
      <c r="HF23" s="78"/>
      <c r="HG23" s="78"/>
      <c r="HH23" s="78"/>
      <c r="HI23" s="78"/>
    </row>
    <row r="24" ht="13.5" thickTop="1"/>
    <row r="37" spans="1:34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6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2010C Bond Issue</v>
      </c>
      <c r="AB2" s="33"/>
      <c r="AC2" s="33"/>
      <c r="AD2" s="33"/>
      <c r="AH2" s="33"/>
      <c r="AI2" s="45"/>
      <c r="AM2" s="43" t="str">
        <f>AA2</f>
        <v>Distribution of Debt Services after 2010C Bond Issue</v>
      </c>
      <c r="AR2"/>
      <c r="AS2"/>
      <c r="AT2"/>
      <c r="AU2" s="45"/>
      <c r="AV2"/>
      <c r="AW2"/>
      <c r="AY2" s="43" t="str">
        <f>AM2</f>
        <v>Distribution of Debt Services after 2010C Bond Issue</v>
      </c>
      <c r="BG2" s="45"/>
      <c r="BK2" s="43" t="str">
        <f>AY2</f>
        <v>Distribution of Debt Services after 2010C Bond Issue</v>
      </c>
      <c r="BS2" s="45"/>
      <c r="BW2" s="43" t="str">
        <f>BK2</f>
        <v>Distribution of Debt Services after 2010C Bond Issue</v>
      </c>
      <c r="CE2" s="45"/>
      <c r="CI2" s="43" t="str">
        <f>BW2</f>
        <v>Distribution of Debt Services after 2010C Bond Issue</v>
      </c>
      <c r="CQ2" s="45"/>
      <c r="CU2" s="43" t="str">
        <f>CI2</f>
        <v>Distribution of Debt Services after 2010C Bond Issue</v>
      </c>
      <c r="DC2" s="45"/>
      <c r="DG2" s="43" t="str">
        <f>CU2</f>
        <v>Distribution of Debt Services after 2010C Bond Issue</v>
      </c>
      <c r="DM2" s="20"/>
      <c r="DN2" s="20"/>
      <c r="DO2" s="45"/>
      <c r="DP2" s="20"/>
      <c r="DQ2" s="20"/>
      <c r="DS2" s="43" t="str">
        <f>DG2</f>
        <v>Distribution of Debt Services after 2010C Bond Issue</v>
      </c>
      <c r="EA2" s="45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179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180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ht="12.75">
      <c r="A8" s="19">
        <v>43009</v>
      </c>
      <c r="C8" s="36"/>
      <c r="D8" s="36">
        <v>343100</v>
      </c>
      <c r="E8" s="77">
        <f aca="true" t="shared" si="0" ref="E8:E21">C8+D8</f>
        <v>343100</v>
      </c>
      <c r="F8" s="77">
        <v>110239</v>
      </c>
      <c r="G8" s="77">
        <v>6590</v>
      </c>
      <c r="H8" s="78"/>
      <c r="I8" s="79">
        <f>'2010C Academic'!I8</f>
        <v>0</v>
      </c>
      <c r="J8" s="79">
        <f>'2010C Academic'!J8</f>
        <v>186243.56629</v>
      </c>
      <c r="K8" s="79">
        <f aca="true" t="shared" si="1" ref="K8:K21">I8+J8</f>
        <v>186243.56629</v>
      </c>
      <c r="L8" s="79">
        <f>'2010C Academic'!L8</f>
        <v>59840.5843901</v>
      </c>
      <c r="M8" s="79">
        <f>'2010C Academic'!M8</f>
        <v>3577.2226809999993</v>
      </c>
      <c r="N8" s="78"/>
      <c r="O8" s="78">
        <f aca="true" t="shared" si="2" ref="O8:P21">U8+AA8+AG8+AM8+AS8+AY8+BE8+BK8+BQ8+BW8+CC8+CI8+CO8+CU8+DA8+DG8+DM8+DS8+DY8+EE8+EK8+EQ8+EW8+FC8</f>
        <v>0</v>
      </c>
      <c r="P8" s="80">
        <f t="shared" si="2"/>
        <v>156856.43370999995</v>
      </c>
      <c r="Q8" s="78">
        <f aca="true" t="shared" si="3" ref="Q8:Q21">O8+P8</f>
        <v>156856.43370999995</v>
      </c>
      <c r="R8" s="78">
        <f aca="true" t="shared" si="4" ref="R8:S21">X8+AD8+AJ8+AP8+AV8+BB8+BH8+BN8+BT8+BZ8+CF8+CL8+CR8+CX8+DD8+DJ8+DP8+DV8+EB8+EH8+EN8+ET8+EZ8+FF8+FL8</f>
        <v>50398.41560990002</v>
      </c>
      <c r="S8" s="78">
        <f t="shared" si="4"/>
        <v>3012.7773190000007</v>
      </c>
      <c r="T8" s="78"/>
      <c r="U8" s="78"/>
      <c r="V8" s="77">
        <f aca="true" t="shared" si="5" ref="V8:V21">D8*8.1724/100</f>
        <v>28039.504399999998</v>
      </c>
      <c r="W8" s="78">
        <f aca="true" t="shared" si="6" ref="W8:W21">U8+V8</f>
        <v>28039.504399999998</v>
      </c>
      <c r="X8" s="78">
        <f aca="true" t="shared" si="7" ref="X8:X21">V$6*$F8</f>
        <v>9009.172036</v>
      </c>
      <c r="Y8" s="77">
        <f aca="true" t="shared" si="8" ref="Y8:Y21">V$6*$G8</f>
        <v>538.5611600000001</v>
      </c>
      <c r="Z8" s="78"/>
      <c r="AA8" s="78"/>
      <c r="AB8" s="78">
        <f aca="true" t="shared" si="9" ref="AB8:AB21">D8*5.95646/100</f>
        <v>20436.61426</v>
      </c>
      <c r="AC8" s="78">
        <f aca="true" t="shared" si="10" ref="AC8:AC21">AA8+AB8</f>
        <v>20436.61426</v>
      </c>
      <c r="AD8" s="78">
        <f aca="true" t="shared" si="11" ref="AD8:AD21">AB$6*$F8</f>
        <v>6566.3419394</v>
      </c>
      <c r="AE8" s="77">
        <f aca="true" t="shared" si="12" ref="AE8:AE21">AB$6*$G8</f>
        <v>392.530714</v>
      </c>
      <c r="AF8" s="78"/>
      <c r="AG8" s="78"/>
      <c r="AH8" s="78">
        <f aca="true" t="shared" si="13" ref="AH8:AH21">D8*3.15804/100</f>
        <v>10835.23524</v>
      </c>
      <c r="AI8" s="78">
        <f aca="true" t="shared" si="14" ref="AI8:AI21">AG8+AH8</f>
        <v>10835.23524</v>
      </c>
      <c r="AJ8" s="78">
        <f aca="true" t="shared" si="15" ref="AJ8:AJ21">AH$6*$F8</f>
        <v>3481.3917156</v>
      </c>
      <c r="AK8" s="77">
        <f aca="true" t="shared" si="16" ref="AK8:AK21">AH$6*$G8</f>
        <v>208.114836</v>
      </c>
      <c r="AL8" s="78"/>
      <c r="AM8" s="78"/>
      <c r="AN8" s="78">
        <f aca="true" t="shared" si="17" ref="AN8:AN21">D8*2.2968/100</f>
        <v>7880.3208</v>
      </c>
      <c r="AO8" s="78">
        <f aca="true" t="shared" si="18" ref="AO8:AO21">AM8+AN8</f>
        <v>7880.3208</v>
      </c>
      <c r="AP8" s="78">
        <f aca="true" t="shared" si="19" ref="AP8:AP21">AN$6*$F8</f>
        <v>2531.969352</v>
      </c>
      <c r="AQ8" s="77">
        <f aca="true" t="shared" si="20" ref="AQ8:AQ21">AN$6*$G8</f>
        <v>151.35912</v>
      </c>
      <c r="AR8" s="78"/>
      <c r="AS8" s="78"/>
      <c r="AT8" s="78">
        <f aca="true" t="shared" si="21" ref="AT8:AT21">D8*0.26309/100</f>
        <v>902.66179</v>
      </c>
      <c r="AU8" s="78">
        <f aca="true" t="shared" si="22" ref="AU8:AU21">AS8+AT8</f>
        <v>902.66179</v>
      </c>
      <c r="AV8" s="78">
        <f aca="true" t="shared" si="23" ref="AV8:AV21">AT$6*$F8</f>
        <v>290.02778509999996</v>
      </c>
      <c r="AW8" s="77">
        <f aca="true" t="shared" si="24" ref="AW8:AW21">AT$6*$G8</f>
        <v>17.337631</v>
      </c>
      <c r="AX8" s="78"/>
      <c r="AY8" s="78"/>
      <c r="AZ8" s="78">
        <f aca="true" t="shared" si="25" ref="AZ8:AZ21">D8*4.16229/100</f>
        <v>14280.816989999998</v>
      </c>
      <c r="BA8" s="78">
        <f aca="true" t="shared" si="26" ref="BA8:BA21">AY8+AZ8</f>
        <v>14280.816989999998</v>
      </c>
      <c r="BB8" s="78">
        <f aca="true" t="shared" si="27" ref="BB8:BB21">AZ$6*$F8</f>
        <v>4588.4668731</v>
      </c>
      <c r="BC8" s="77">
        <f aca="true" t="shared" si="28" ref="BC8:BC21">AZ$6*$G8</f>
        <v>274.29491099999996</v>
      </c>
      <c r="BD8" s="78"/>
      <c r="BE8" s="78"/>
      <c r="BF8" s="78">
        <f aca="true" t="shared" si="29" ref="BF8:BF21">D8*0.45121/100</f>
        <v>1548.1015100000002</v>
      </c>
      <c r="BG8" s="78">
        <f aca="true" t="shared" si="30" ref="BG8:BG21">BE8+BF8</f>
        <v>1548.1015100000002</v>
      </c>
      <c r="BH8" s="78">
        <f aca="true" t="shared" si="31" ref="BH8:BH21">BF$6*$F8</f>
        <v>497.4093919</v>
      </c>
      <c r="BI8" s="77">
        <f aca="true" t="shared" si="32" ref="BI8:BI21">BF$6*$G8</f>
        <v>29.734738999999998</v>
      </c>
      <c r="BJ8" s="78"/>
      <c r="BK8" s="78"/>
      <c r="BL8" s="78">
        <f aca="true" t="shared" si="33" ref="BL8:BL21">D8*1.41147/100</f>
        <v>4842.75357</v>
      </c>
      <c r="BM8" s="78">
        <f aca="true" t="shared" si="34" ref="BM8:BM21">BK8+BL8</f>
        <v>4842.75357</v>
      </c>
      <c r="BN8" s="78">
        <f aca="true" t="shared" si="35" ref="BN8:BN21">BL$6*$F8</f>
        <v>1555.9904133</v>
      </c>
      <c r="BO8" s="77">
        <f aca="true" t="shared" si="36" ref="BO8:BO21">BL$6*$G8</f>
        <v>93.015873</v>
      </c>
      <c r="BP8" s="78"/>
      <c r="BQ8" s="78"/>
      <c r="BR8" s="78">
        <f aca="true" t="shared" si="37" ref="BR8:BR21">D8*0.71579/100</f>
        <v>2455.87549</v>
      </c>
      <c r="BS8" s="78">
        <f aca="true" t="shared" si="38" ref="BS8:BS21">BQ8+BR8</f>
        <v>2455.87549</v>
      </c>
      <c r="BT8" s="78">
        <f aca="true" t="shared" si="39" ref="BT8:BT21">BR$6*$F8</f>
        <v>789.0797381</v>
      </c>
      <c r="BU8" s="77">
        <f aca="true" t="shared" si="40" ref="BU8:BU21">BR$6*$G8</f>
        <v>47.170561</v>
      </c>
      <c r="BV8" s="78"/>
      <c r="BW8" s="78"/>
      <c r="BX8" s="78">
        <f aca="true" t="shared" si="41" ref="BX8:BX21">D8*0.13901/100</f>
        <v>476.94331</v>
      </c>
      <c r="BY8" s="78">
        <f aca="true" t="shared" si="42" ref="BY8:BY21">BW8+BX8</f>
        <v>476.94331</v>
      </c>
      <c r="BZ8" s="78">
        <f aca="true" t="shared" si="43" ref="BZ8:BZ21">BX$6*$F8</f>
        <v>153.2432339</v>
      </c>
      <c r="CA8" s="77">
        <f aca="true" t="shared" si="44" ref="CA8:CA21">BX$6*$G8</f>
        <v>9.160759</v>
      </c>
      <c r="CB8" s="78"/>
      <c r="CC8" s="78"/>
      <c r="CD8" s="78">
        <f aca="true" t="shared" si="45" ref="CD8:CD21">D8*0.55234/100</f>
        <v>1895.0785400000002</v>
      </c>
      <c r="CE8" s="78">
        <f aca="true" t="shared" si="46" ref="CE8:CE21">CC8+CD8</f>
        <v>1895.0785400000002</v>
      </c>
      <c r="CF8" s="78">
        <f aca="true" t="shared" si="47" ref="CF8:CF21">CD$6*$F8</f>
        <v>608.8940926</v>
      </c>
      <c r="CG8" s="77">
        <f aca="true" t="shared" si="48" ref="CG8:CG21">CD$6*$G8</f>
        <v>36.399206</v>
      </c>
      <c r="CH8" s="78"/>
      <c r="CI8" s="78"/>
      <c r="CJ8" s="78">
        <f aca="true" t="shared" si="49" ref="CJ8:CJ21">D8*1.34713/100</f>
        <v>4622.00303</v>
      </c>
      <c r="CK8" s="78">
        <f aca="true" t="shared" si="50" ref="CK8:CK21">CI8+CJ8</f>
        <v>4622.00303</v>
      </c>
      <c r="CL8" s="78">
        <f aca="true" t="shared" si="51" ref="CL8:CL21">CJ$6*$F8</f>
        <v>1485.0626407</v>
      </c>
      <c r="CM8" s="77">
        <f aca="true" t="shared" si="52" ref="CM8:CM21">CJ$6*$G8</f>
        <v>88.775867</v>
      </c>
      <c r="CN8" s="78"/>
      <c r="CO8" s="78"/>
      <c r="CP8" s="78">
        <f aca="true" t="shared" si="53" ref="CP8:CP21">D8*3.01524/100</f>
        <v>10345.288439999998</v>
      </c>
      <c r="CQ8" s="78">
        <f aca="true" t="shared" si="54" ref="CQ8:CQ21">CO8+CP8</f>
        <v>10345.288439999998</v>
      </c>
      <c r="CR8" s="78">
        <f aca="true" t="shared" si="55" ref="CR8:CR21">CP$6*$F8</f>
        <v>3323.9704236</v>
      </c>
      <c r="CS8" s="77">
        <f aca="true" t="shared" si="56" ref="CS8:CS21">CP$6*$G8</f>
        <v>198.704316</v>
      </c>
      <c r="CT8" s="78"/>
      <c r="CU8" s="78"/>
      <c r="CV8" s="78">
        <f aca="true" t="shared" si="57" ref="CV8:CV21">D8*0.45619/100</f>
        <v>1565.18789</v>
      </c>
      <c r="CW8" s="78">
        <f aca="true" t="shared" si="58" ref="CW8:CW21">CU8+CV8</f>
        <v>1565.18789</v>
      </c>
      <c r="CX8" s="78">
        <f aca="true" t="shared" si="59" ref="CX8:CX21">CV$6*$F8</f>
        <v>502.89929409999996</v>
      </c>
      <c r="CY8" s="77">
        <f aca="true" t="shared" si="60" ref="CY8:CY21">CV$6*$G8</f>
        <v>30.062921</v>
      </c>
      <c r="CZ8" s="78"/>
      <c r="DA8" s="78"/>
      <c r="DB8" s="78">
        <f aca="true" t="shared" si="61" ref="DB8:DB21">D8*1.31079/100</f>
        <v>4497.320489999999</v>
      </c>
      <c r="DC8" s="78">
        <f aca="true" t="shared" si="62" ref="DC8:DC21">DA8+DB8</f>
        <v>4497.320489999999</v>
      </c>
      <c r="DD8" s="78">
        <f aca="true" t="shared" si="63" ref="DD8:DD21">DB$6*$F8</f>
        <v>1445.0017881</v>
      </c>
      <c r="DE8" s="77">
        <f aca="true" t="shared" si="64" ref="DE8:DE21">DB$6*$G8</f>
        <v>86.381061</v>
      </c>
      <c r="DF8" s="78"/>
      <c r="DG8" s="78"/>
      <c r="DH8" s="78">
        <f aca="true" t="shared" si="65" ref="DH8:DH21">D8*0.05051/100</f>
        <v>173.29981</v>
      </c>
      <c r="DI8" s="78">
        <f aca="true" t="shared" si="66" ref="DI8:DI21">DG8+DH8</f>
        <v>173.29981</v>
      </c>
      <c r="DJ8" s="78">
        <f aca="true" t="shared" si="67" ref="DJ8:DJ21">DH$6*$F8</f>
        <v>55.6817189</v>
      </c>
      <c r="DK8" s="77">
        <f aca="true" t="shared" si="68" ref="DK8:DK21">DH$6*$G8</f>
        <v>3.3286089999999997</v>
      </c>
      <c r="DL8" s="78"/>
      <c r="DM8" s="90"/>
      <c r="DN8" s="90">
        <f aca="true" t="shared" si="69" ref="DN8:DN21">D8*2.76518/100</f>
        <v>9487.33258</v>
      </c>
      <c r="DO8" s="90">
        <f aca="true" t="shared" si="70" ref="DO8:DO21">DM8+DN8</f>
        <v>9487.33258</v>
      </c>
      <c r="DP8" s="90">
        <f aca="true" t="shared" si="71" ref="DP8:DP21">DN$6*$F8</f>
        <v>3048.3067802</v>
      </c>
      <c r="DQ8" s="94">
        <f aca="true" t="shared" si="72" ref="DQ8:DQ21">DN$6*$G8</f>
        <v>182.22536200000002</v>
      </c>
      <c r="DR8" s="78"/>
      <c r="DS8" s="78"/>
      <c r="DT8" s="78">
        <f aca="true" t="shared" si="73" ref="DT8:DT21">D8*0.43534/100</f>
        <v>1493.65154</v>
      </c>
      <c r="DU8" s="78">
        <f aca="true" t="shared" si="74" ref="DU8:DU21">DS8+DT8</f>
        <v>1493.65154</v>
      </c>
      <c r="DV8" s="78">
        <f aca="true" t="shared" si="75" ref="DV8:DV21">DT$6*$F8</f>
        <v>479.91446260000004</v>
      </c>
      <c r="DW8" s="77">
        <f aca="true" t="shared" si="76" ref="DW8:DW21">DT$6*$G8</f>
        <v>28.688906000000003</v>
      </c>
      <c r="DX8" s="78"/>
      <c r="DY8" s="78"/>
      <c r="DZ8" s="78">
        <f aca="true" t="shared" si="77" ref="DZ8:DZ21">D8*2.24029/100</f>
        <v>7686.43499</v>
      </c>
      <c r="EA8" s="78">
        <f aca="true" t="shared" si="78" ref="EA8:EA21">DY8+DZ8</f>
        <v>7686.43499</v>
      </c>
      <c r="EB8" s="78">
        <f aca="true" t="shared" si="79" ref="EB8:EB21">DZ$6*$F8</f>
        <v>2469.6732931</v>
      </c>
      <c r="EC8" s="77">
        <f aca="true" t="shared" si="80" ref="EC8:EC21">DZ$6*$G8</f>
        <v>147.635111</v>
      </c>
      <c r="ED8" s="78"/>
      <c r="EE8" s="78"/>
      <c r="EF8" s="78">
        <f aca="true" t="shared" si="81" ref="EF8:EF21">D8*0.63958/100</f>
        <v>2194.39898</v>
      </c>
      <c r="EG8" s="78">
        <f aca="true" t="shared" si="82" ref="EG8:EG21">EE8+EF8</f>
        <v>2194.39898</v>
      </c>
      <c r="EH8" s="78">
        <f aca="true" t="shared" si="83" ref="EH8:EH21">EF$6*$F8</f>
        <v>705.0665962</v>
      </c>
      <c r="EI8" s="77">
        <f aca="true" t="shared" si="84" ref="EI8:EI21">EF$6*$G8</f>
        <v>42.148322</v>
      </c>
      <c r="EJ8" s="78"/>
      <c r="EK8" s="78"/>
      <c r="EL8" s="78">
        <f aca="true" t="shared" si="85" ref="EL8:EL21">D8*0.00642/100</f>
        <v>22.027020000000004</v>
      </c>
      <c r="EM8" s="78">
        <f aca="true" t="shared" si="86" ref="EM8:EM21">EK8+EL8</f>
        <v>22.027020000000004</v>
      </c>
      <c r="EN8" s="78">
        <f aca="true" t="shared" si="87" ref="EN8:EN21">EL$6*$F8</f>
        <v>7.0773438</v>
      </c>
      <c r="EO8" s="77">
        <f aca="true" t="shared" si="88" ref="EO8:EO21">EL$6*$G8</f>
        <v>0.423078</v>
      </c>
      <c r="EP8" s="78"/>
      <c r="EQ8" s="78"/>
      <c r="ER8" s="78">
        <f aca="true" t="shared" si="89" ref="ER8:ER21">D8*0.01192/100</f>
        <v>40.89752</v>
      </c>
      <c r="ES8" s="78">
        <f aca="true" t="shared" si="90" ref="ES8:ES21">EQ8+ER8</f>
        <v>40.89752</v>
      </c>
      <c r="ET8" s="78">
        <f aca="true" t="shared" si="91" ref="ET8:ET21">ER$6*$F8</f>
        <v>13.1404888</v>
      </c>
      <c r="EU8" s="77">
        <f aca="true" t="shared" si="92" ref="EU8:EU21">ER$6*$G8</f>
        <v>0.785528</v>
      </c>
      <c r="EV8" s="78"/>
      <c r="EW8" s="78"/>
      <c r="EX8" s="78">
        <f aca="true" t="shared" si="93" ref="EX8:EX21">D8*2.15476/100</f>
        <v>7392.981559999999</v>
      </c>
      <c r="EY8" s="78">
        <f aca="true" t="shared" si="94" ref="EY8:EY21">EW8+EX8</f>
        <v>7392.981559999999</v>
      </c>
      <c r="EZ8" s="78">
        <f aca="true" t="shared" si="95" ref="EZ8:EZ21">EX$6*$F8</f>
        <v>2375.3858764</v>
      </c>
      <c r="FA8" s="77">
        <f aca="true" t="shared" si="96" ref="FA8:FA21">EX$6*$G8</f>
        <v>141.998684</v>
      </c>
      <c r="FB8" s="78"/>
      <c r="FC8" s="78"/>
      <c r="FD8" s="78">
        <f aca="true" t="shared" si="97" ref="FD8:FD21">D8*4.00516/100</f>
        <v>13741.703959999999</v>
      </c>
      <c r="FE8" s="78">
        <f aca="true" t="shared" si="98" ref="FE8:FE21">FC8+FD8</f>
        <v>13741.703959999999</v>
      </c>
      <c r="FF8" s="78">
        <f aca="true" t="shared" si="99" ref="FF8:FF21">FD$6*$F8</f>
        <v>4415.2483323999995</v>
      </c>
      <c r="FG8" s="77">
        <f aca="true" t="shared" si="100" ref="FG8:FG21">FD$6*$G8</f>
        <v>263.940044</v>
      </c>
      <c r="FH8" s="78"/>
      <c r="FI8" s="80"/>
      <c r="FJ8" s="78"/>
      <c r="FK8" s="78"/>
      <c r="FL8" s="78"/>
      <c r="FM8" s="77">
        <f aca="true" t="shared" si="101" ref="FM8:FM21">FJ$6*$G8</f>
        <v>0</v>
      </c>
    </row>
    <row r="9" spans="1:169" s="52" customFormat="1" ht="12.75">
      <c r="A9" s="51">
        <v>43191</v>
      </c>
      <c r="C9" s="42">
        <v>5315000</v>
      </c>
      <c r="D9" s="42">
        <v>343100</v>
      </c>
      <c r="E9" s="77">
        <f t="shared" si="0"/>
        <v>5658100</v>
      </c>
      <c r="F9" s="77">
        <v>110239</v>
      </c>
      <c r="G9" s="77">
        <v>6590</v>
      </c>
      <c r="H9" s="79"/>
      <c r="I9" s="79">
        <f>'2010C Academic'!I9</f>
        <v>2885119.6584999994</v>
      </c>
      <c r="J9" s="79">
        <f>'2010C Academic'!J9</f>
        <v>186243.56629</v>
      </c>
      <c r="K9" s="79">
        <f t="shared" si="1"/>
        <v>3071363.2247899994</v>
      </c>
      <c r="L9" s="79">
        <f>'2010C Academic'!L9</f>
        <v>59840.5843901</v>
      </c>
      <c r="M9" s="79">
        <f>'2010C Academic'!M9</f>
        <v>3577.2226809999993</v>
      </c>
      <c r="N9" s="79"/>
      <c r="O9" s="78">
        <f t="shared" si="2"/>
        <v>2429880.3415000006</v>
      </c>
      <c r="P9" s="80">
        <f t="shared" si="2"/>
        <v>156856.43370999995</v>
      </c>
      <c r="Q9" s="78">
        <f t="shared" si="3"/>
        <v>2586736.7752100006</v>
      </c>
      <c r="R9" s="78">
        <f t="shared" si="4"/>
        <v>50398.41560990002</v>
      </c>
      <c r="S9" s="78">
        <f t="shared" si="4"/>
        <v>3012.7773190000007</v>
      </c>
      <c r="T9" s="79"/>
      <c r="U9" s="78">
        <f aca="true" t="shared" si="102" ref="U9:U21">C9*8.1724/100</f>
        <v>434363.06</v>
      </c>
      <c r="V9" s="77">
        <f t="shared" si="5"/>
        <v>28039.504399999998</v>
      </c>
      <c r="W9" s="78">
        <f t="shared" si="6"/>
        <v>462402.5644</v>
      </c>
      <c r="X9" s="78">
        <f t="shared" si="7"/>
        <v>9009.172036</v>
      </c>
      <c r="Y9" s="77">
        <f t="shared" si="8"/>
        <v>538.5611600000001</v>
      </c>
      <c r="Z9" s="79"/>
      <c r="AA9" s="78">
        <f aca="true" t="shared" si="103" ref="AA9:AA21">C9*5.95646/100</f>
        <v>316585.849</v>
      </c>
      <c r="AB9" s="78">
        <f t="shared" si="9"/>
        <v>20436.61426</v>
      </c>
      <c r="AC9" s="78">
        <f t="shared" si="10"/>
        <v>337022.46326</v>
      </c>
      <c r="AD9" s="78">
        <f t="shared" si="11"/>
        <v>6566.3419394</v>
      </c>
      <c r="AE9" s="77">
        <f t="shared" si="12"/>
        <v>392.530714</v>
      </c>
      <c r="AF9" s="79"/>
      <c r="AG9" s="78">
        <f aca="true" t="shared" si="104" ref="AG9:AG21">C9*3.15804/100</f>
        <v>167849.826</v>
      </c>
      <c r="AH9" s="78">
        <f t="shared" si="13"/>
        <v>10835.23524</v>
      </c>
      <c r="AI9" s="78">
        <f t="shared" si="14"/>
        <v>178685.06124</v>
      </c>
      <c r="AJ9" s="78">
        <f t="shared" si="15"/>
        <v>3481.3917156</v>
      </c>
      <c r="AK9" s="77">
        <f t="shared" si="16"/>
        <v>208.114836</v>
      </c>
      <c r="AL9" s="79"/>
      <c r="AM9" s="78">
        <f aca="true" t="shared" si="105" ref="AM9:AM21">C9*2.2968/100</f>
        <v>122074.92</v>
      </c>
      <c r="AN9" s="78">
        <f t="shared" si="17"/>
        <v>7880.3208</v>
      </c>
      <c r="AO9" s="78">
        <f t="shared" si="18"/>
        <v>129955.2408</v>
      </c>
      <c r="AP9" s="78">
        <f t="shared" si="19"/>
        <v>2531.969352</v>
      </c>
      <c r="AQ9" s="77">
        <f t="shared" si="20"/>
        <v>151.35912</v>
      </c>
      <c r="AR9" s="79"/>
      <c r="AS9" s="78">
        <f aca="true" t="shared" si="106" ref="AS9:AS21">C9*0.26309/100</f>
        <v>13983.233499999998</v>
      </c>
      <c r="AT9" s="78">
        <f t="shared" si="21"/>
        <v>902.66179</v>
      </c>
      <c r="AU9" s="78">
        <f t="shared" si="22"/>
        <v>14885.895289999999</v>
      </c>
      <c r="AV9" s="78">
        <f t="shared" si="23"/>
        <v>290.02778509999996</v>
      </c>
      <c r="AW9" s="77">
        <f t="shared" si="24"/>
        <v>17.337631</v>
      </c>
      <c r="AX9" s="79"/>
      <c r="AY9" s="78">
        <f aca="true" t="shared" si="107" ref="AY9:AY21">C9*4.16229/100</f>
        <v>221225.71349999998</v>
      </c>
      <c r="AZ9" s="78">
        <f t="shared" si="25"/>
        <v>14280.816989999998</v>
      </c>
      <c r="BA9" s="78">
        <f t="shared" si="26"/>
        <v>235506.53048999998</v>
      </c>
      <c r="BB9" s="78">
        <f t="shared" si="27"/>
        <v>4588.4668731</v>
      </c>
      <c r="BC9" s="77">
        <f t="shared" si="28"/>
        <v>274.29491099999996</v>
      </c>
      <c r="BD9" s="79"/>
      <c r="BE9" s="78">
        <f aca="true" t="shared" si="108" ref="BE9:BE21">C9*0.45121/100</f>
        <v>23981.8115</v>
      </c>
      <c r="BF9" s="78">
        <f t="shared" si="29"/>
        <v>1548.1015100000002</v>
      </c>
      <c r="BG9" s="78">
        <f t="shared" si="30"/>
        <v>25529.91301</v>
      </c>
      <c r="BH9" s="78">
        <f t="shared" si="31"/>
        <v>497.4093919</v>
      </c>
      <c r="BI9" s="77">
        <f t="shared" si="32"/>
        <v>29.734738999999998</v>
      </c>
      <c r="BJ9" s="79"/>
      <c r="BK9" s="78">
        <f aca="true" t="shared" si="109" ref="BK9:BK21">C9*1.41147/100</f>
        <v>75019.6305</v>
      </c>
      <c r="BL9" s="78">
        <f t="shared" si="33"/>
        <v>4842.75357</v>
      </c>
      <c r="BM9" s="78">
        <f t="shared" si="34"/>
        <v>79862.38407</v>
      </c>
      <c r="BN9" s="78">
        <f t="shared" si="35"/>
        <v>1555.9904133</v>
      </c>
      <c r="BO9" s="77">
        <f t="shared" si="36"/>
        <v>93.015873</v>
      </c>
      <c r="BP9" s="79"/>
      <c r="BQ9" s="78">
        <f aca="true" t="shared" si="110" ref="BQ9:BQ21">C9*0.71579/100</f>
        <v>38044.2385</v>
      </c>
      <c r="BR9" s="78">
        <f t="shared" si="37"/>
        <v>2455.87549</v>
      </c>
      <c r="BS9" s="78">
        <f t="shared" si="38"/>
        <v>40500.11399</v>
      </c>
      <c r="BT9" s="78">
        <f t="shared" si="39"/>
        <v>789.0797381</v>
      </c>
      <c r="BU9" s="77">
        <f t="shared" si="40"/>
        <v>47.170561</v>
      </c>
      <c r="BV9" s="79"/>
      <c r="BW9" s="78">
        <f aca="true" t="shared" si="111" ref="BW9:BW21">C9*0.13901/100</f>
        <v>7388.3815</v>
      </c>
      <c r="BX9" s="78">
        <f t="shared" si="41"/>
        <v>476.94331</v>
      </c>
      <c r="BY9" s="78">
        <f t="shared" si="42"/>
        <v>7865.32481</v>
      </c>
      <c r="BZ9" s="78">
        <f t="shared" si="43"/>
        <v>153.2432339</v>
      </c>
      <c r="CA9" s="77">
        <f t="shared" si="44"/>
        <v>9.160759</v>
      </c>
      <c r="CB9" s="79"/>
      <c r="CC9" s="78">
        <f aca="true" t="shared" si="112" ref="CC9:CC21">C9*0.55234/100</f>
        <v>29356.871</v>
      </c>
      <c r="CD9" s="78">
        <f t="shared" si="45"/>
        <v>1895.0785400000002</v>
      </c>
      <c r="CE9" s="78">
        <f t="shared" si="46"/>
        <v>31251.949539999998</v>
      </c>
      <c r="CF9" s="78">
        <f t="shared" si="47"/>
        <v>608.8940926</v>
      </c>
      <c r="CG9" s="77">
        <f t="shared" si="48"/>
        <v>36.399206</v>
      </c>
      <c r="CH9" s="79"/>
      <c r="CI9" s="78">
        <f aca="true" t="shared" si="113" ref="CI9:CI21">C9*1.34713/100</f>
        <v>71599.9595</v>
      </c>
      <c r="CJ9" s="78">
        <f t="shared" si="49"/>
        <v>4622.00303</v>
      </c>
      <c r="CK9" s="78">
        <f t="shared" si="50"/>
        <v>76221.96252999999</v>
      </c>
      <c r="CL9" s="78">
        <f t="shared" si="51"/>
        <v>1485.0626407</v>
      </c>
      <c r="CM9" s="77">
        <f t="shared" si="52"/>
        <v>88.775867</v>
      </c>
      <c r="CN9" s="79"/>
      <c r="CO9" s="78">
        <f aca="true" t="shared" si="114" ref="CO9:CO21">C9*3.01524/100</f>
        <v>160260.006</v>
      </c>
      <c r="CP9" s="78">
        <f t="shared" si="53"/>
        <v>10345.288439999998</v>
      </c>
      <c r="CQ9" s="78">
        <f t="shared" si="54"/>
        <v>170605.29444</v>
      </c>
      <c r="CR9" s="78">
        <f t="shared" si="55"/>
        <v>3323.9704236</v>
      </c>
      <c r="CS9" s="77">
        <f t="shared" si="56"/>
        <v>198.704316</v>
      </c>
      <c r="CT9" s="79"/>
      <c r="CU9" s="78">
        <f aca="true" t="shared" si="115" ref="CU9:CU21">C9*0.45619/100</f>
        <v>24246.4985</v>
      </c>
      <c r="CV9" s="78">
        <f t="shared" si="57"/>
        <v>1565.18789</v>
      </c>
      <c r="CW9" s="78">
        <f t="shared" si="58"/>
        <v>25811.686390000003</v>
      </c>
      <c r="CX9" s="78">
        <f t="shared" si="59"/>
        <v>502.89929409999996</v>
      </c>
      <c r="CY9" s="77">
        <f t="shared" si="60"/>
        <v>30.062921</v>
      </c>
      <c r="CZ9" s="79"/>
      <c r="DA9" s="78">
        <f aca="true" t="shared" si="116" ref="DA9:DA21">C9*1.31079/100</f>
        <v>69668.48849999999</v>
      </c>
      <c r="DB9" s="78">
        <f t="shared" si="61"/>
        <v>4497.320489999999</v>
      </c>
      <c r="DC9" s="78">
        <f t="shared" si="62"/>
        <v>74165.80898999999</v>
      </c>
      <c r="DD9" s="78">
        <f t="shared" si="63"/>
        <v>1445.0017881</v>
      </c>
      <c r="DE9" s="77">
        <f t="shared" si="64"/>
        <v>86.381061</v>
      </c>
      <c r="DF9" s="79"/>
      <c r="DG9" s="78">
        <f aca="true" t="shared" si="117" ref="DG9:DG21">C9*0.05051/100</f>
        <v>2684.6065000000003</v>
      </c>
      <c r="DH9" s="78">
        <f t="shared" si="65"/>
        <v>173.29981</v>
      </c>
      <c r="DI9" s="78">
        <f t="shared" si="66"/>
        <v>2857.9063100000003</v>
      </c>
      <c r="DJ9" s="78">
        <f t="shared" si="67"/>
        <v>55.6817189</v>
      </c>
      <c r="DK9" s="77">
        <f t="shared" si="68"/>
        <v>3.3286089999999997</v>
      </c>
      <c r="DL9" s="79"/>
      <c r="DM9" s="90">
        <f aca="true" t="shared" si="118" ref="DM9:DM21">C9*2.76518/100</f>
        <v>146969.31699999998</v>
      </c>
      <c r="DN9" s="90">
        <f t="shared" si="69"/>
        <v>9487.33258</v>
      </c>
      <c r="DO9" s="90">
        <f t="shared" si="70"/>
        <v>156456.64957999997</v>
      </c>
      <c r="DP9" s="90">
        <f t="shared" si="71"/>
        <v>3048.3067802</v>
      </c>
      <c r="DQ9" s="94">
        <f t="shared" si="72"/>
        <v>182.22536200000002</v>
      </c>
      <c r="DR9" s="79"/>
      <c r="DS9" s="78">
        <f aca="true" t="shared" si="119" ref="DS9:DS21">C9*0.43534/100</f>
        <v>23138.321</v>
      </c>
      <c r="DT9" s="78">
        <f t="shared" si="73"/>
        <v>1493.65154</v>
      </c>
      <c r="DU9" s="78">
        <f t="shared" si="74"/>
        <v>24631.97254</v>
      </c>
      <c r="DV9" s="78">
        <f t="shared" si="75"/>
        <v>479.91446260000004</v>
      </c>
      <c r="DW9" s="77">
        <f t="shared" si="76"/>
        <v>28.688906000000003</v>
      </c>
      <c r="DX9" s="79"/>
      <c r="DY9" s="78">
        <f aca="true" t="shared" si="120" ref="DY9:DY21">C9*2.24029/100</f>
        <v>119071.4135</v>
      </c>
      <c r="DZ9" s="78">
        <f t="shared" si="77"/>
        <v>7686.43499</v>
      </c>
      <c r="EA9" s="78">
        <f t="shared" si="78"/>
        <v>126757.84848999999</v>
      </c>
      <c r="EB9" s="78">
        <f t="shared" si="79"/>
        <v>2469.6732931</v>
      </c>
      <c r="EC9" s="77">
        <f t="shared" si="80"/>
        <v>147.635111</v>
      </c>
      <c r="ED9" s="79"/>
      <c r="EE9" s="78">
        <f aca="true" t="shared" si="121" ref="EE9:EE21">C9*0.63958/100</f>
        <v>33993.677</v>
      </c>
      <c r="EF9" s="78">
        <f t="shared" si="81"/>
        <v>2194.39898</v>
      </c>
      <c r="EG9" s="78">
        <f t="shared" si="82"/>
        <v>36188.07598</v>
      </c>
      <c r="EH9" s="78">
        <f t="shared" si="83"/>
        <v>705.0665962</v>
      </c>
      <c r="EI9" s="77">
        <f t="shared" si="84"/>
        <v>42.148322</v>
      </c>
      <c r="EJ9" s="79"/>
      <c r="EK9" s="78">
        <f aca="true" t="shared" si="122" ref="EK9:EK21">C9*0.00642/100</f>
        <v>341.223</v>
      </c>
      <c r="EL9" s="78">
        <f t="shared" si="85"/>
        <v>22.027020000000004</v>
      </c>
      <c r="EM9" s="78">
        <f t="shared" si="86"/>
        <v>363.25002</v>
      </c>
      <c r="EN9" s="78">
        <f t="shared" si="87"/>
        <v>7.0773438</v>
      </c>
      <c r="EO9" s="77">
        <f t="shared" si="88"/>
        <v>0.423078</v>
      </c>
      <c r="EP9" s="79"/>
      <c r="EQ9" s="78">
        <f aca="true" t="shared" si="123" ref="EQ9:EQ21">C9*0.01192/100</f>
        <v>633.548</v>
      </c>
      <c r="ER9" s="78">
        <f t="shared" si="89"/>
        <v>40.89752</v>
      </c>
      <c r="ES9" s="78">
        <f t="shared" si="90"/>
        <v>674.44552</v>
      </c>
      <c r="ET9" s="78">
        <f t="shared" si="91"/>
        <v>13.1404888</v>
      </c>
      <c r="EU9" s="77">
        <f t="shared" si="92"/>
        <v>0.785528</v>
      </c>
      <c r="EV9" s="79"/>
      <c r="EW9" s="78">
        <f aca="true" t="shared" si="124" ref="EW9:EW21">C9*2.15476/100</f>
        <v>114525.494</v>
      </c>
      <c r="EX9" s="78">
        <f t="shared" si="93"/>
        <v>7392.981559999999</v>
      </c>
      <c r="EY9" s="78">
        <f t="shared" si="94"/>
        <v>121918.47556</v>
      </c>
      <c r="EZ9" s="78">
        <f t="shared" si="95"/>
        <v>2375.3858764</v>
      </c>
      <c r="FA9" s="77">
        <f t="shared" si="96"/>
        <v>141.998684</v>
      </c>
      <c r="FB9" s="79"/>
      <c r="FC9" s="78">
        <f aca="true" t="shared" si="125" ref="FC9:FC21">C9*4.00516/100</f>
        <v>212874.254</v>
      </c>
      <c r="FD9" s="78">
        <f t="shared" si="97"/>
        <v>13741.703959999999</v>
      </c>
      <c r="FE9" s="78">
        <f t="shared" si="98"/>
        <v>226615.95795999997</v>
      </c>
      <c r="FF9" s="78">
        <f t="shared" si="99"/>
        <v>4415.2483323999995</v>
      </c>
      <c r="FG9" s="77">
        <f t="shared" si="100"/>
        <v>263.940044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43374</v>
      </c>
      <c r="C10" s="42"/>
      <c r="D10" s="42">
        <v>236800</v>
      </c>
      <c r="E10" s="77">
        <f t="shared" si="0"/>
        <v>236800</v>
      </c>
      <c r="F10" s="77">
        <v>110239</v>
      </c>
      <c r="G10" s="77">
        <v>6590</v>
      </c>
      <c r="H10" s="79"/>
      <c r="I10" s="79">
        <f>'2010C Academic'!I10</f>
        <v>0</v>
      </c>
      <c r="J10" s="79">
        <f>'2010C Academic'!J10</f>
        <v>128541.17312</v>
      </c>
      <c r="K10" s="79">
        <f t="shared" si="1"/>
        <v>128541.17312</v>
      </c>
      <c r="L10" s="79">
        <f>'2010C Academic'!L10</f>
        <v>59840.5843901</v>
      </c>
      <c r="M10" s="79">
        <f>'2010C Academic'!M10</f>
        <v>3577.2226809999993</v>
      </c>
      <c r="N10" s="79"/>
      <c r="O10" s="78">
        <f t="shared" si="2"/>
        <v>0</v>
      </c>
      <c r="P10" s="80">
        <f t="shared" si="2"/>
        <v>108258.82688000001</v>
      </c>
      <c r="Q10" s="78">
        <f t="shared" si="3"/>
        <v>108258.82688000001</v>
      </c>
      <c r="R10" s="78">
        <f t="shared" si="4"/>
        <v>50398.41560990002</v>
      </c>
      <c r="S10" s="78">
        <f t="shared" si="4"/>
        <v>3012.7773190000007</v>
      </c>
      <c r="T10" s="79"/>
      <c r="U10" s="78"/>
      <c r="V10" s="77">
        <f t="shared" si="5"/>
        <v>19352.243199999997</v>
      </c>
      <c r="W10" s="78">
        <f t="shared" si="6"/>
        <v>19352.243199999997</v>
      </c>
      <c r="X10" s="78">
        <f t="shared" si="7"/>
        <v>9009.172036</v>
      </c>
      <c r="Y10" s="77">
        <f t="shared" si="8"/>
        <v>538.5611600000001</v>
      </c>
      <c r="Z10" s="79"/>
      <c r="AA10" s="78"/>
      <c r="AB10" s="78">
        <f t="shared" si="9"/>
        <v>14104.89728</v>
      </c>
      <c r="AC10" s="78">
        <f t="shared" si="10"/>
        <v>14104.89728</v>
      </c>
      <c r="AD10" s="78">
        <f t="shared" si="11"/>
        <v>6566.3419394</v>
      </c>
      <c r="AE10" s="77">
        <f t="shared" si="12"/>
        <v>392.530714</v>
      </c>
      <c r="AF10" s="79"/>
      <c r="AG10" s="78"/>
      <c r="AH10" s="78">
        <f t="shared" si="13"/>
        <v>7478.238720000001</v>
      </c>
      <c r="AI10" s="78">
        <f t="shared" si="14"/>
        <v>7478.238720000001</v>
      </c>
      <c r="AJ10" s="78">
        <f t="shared" si="15"/>
        <v>3481.3917156</v>
      </c>
      <c r="AK10" s="77">
        <f t="shared" si="16"/>
        <v>208.114836</v>
      </c>
      <c r="AL10" s="79"/>
      <c r="AM10" s="78"/>
      <c r="AN10" s="78">
        <f t="shared" si="17"/>
        <v>5438.8224</v>
      </c>
      <c r="AO10" s="78">
        <f t="shared" si="18"/>
        <v>5438.8224</v>
      </c>
      <c r="AP10" s="78">
        <f t="shared" si="19"/>
        <v>2531.969352</v>
      </c>
      <c r="AQ10" s="77">
        <f t="shared" si="20"/>
        <v>151.35912</v>
      </c>
      <c r="AR10" s="79"/>
      <c r="AS10" s="78"/>
      <c r="AT10" s="78">
        <f t="shared" si="21"/>
        <v>622.99712</v>
      </c>
      <c r="AU10" s="78">
        <f t="shared" si="22"/>
        <v>622.99712</v>
      </c>
      <c r="AV10" s="78">
        <f t="shared" si="23"/>
        <v>290.02778509999996</v>
      </c>
      <c r="AW10" s="77">
        <f t="shared" si="24"/>
        <v>17.337631</v>
      </c>
      <c r="AX10" s="79"/>
      <c r="AY10" s="78"/>
      <c r="AZ10" s="78">
        <f t="shared" si="25"/>
        <v>9856.30272</v>
      </c>
      <c r="BA10" s="78">
        <f t="shared" si="26"/>
        <v>9856.30272</v>
      </c>
      <c r="BB10" s="78">
        <f t="shared" si="27"/>
        <v>4588.4668731</v>
      </c>
      <c r="BC10" s="77">
        <f t="shared" si="28"/>
        <v>274.29491099999996</v>
      </c>
      <c r="BD10" s="79"/>
      <c r="BE10" s="78"/>
      <c r="BF10" s="78">
        <f t="shared" si="29"/>
        <v>1068.4652800000001</v>
      </c>
      <c r="BG10" s="78">
        <f t="shared" si="30"/>
        <v>1068.4652800000001</v>
      </c>
      <c r="BH10" s="78">
        <f t="shared" si="31"/>
        <v>497.4093919</v>
      </c>
      <c r="BI10" s="77">
        <f t="shared" si="32"/>
        <v>29.734738999999998</v>
      </c>
      <c r="BJ10" s="79"/>
      <c r="BK10" s="78"/>
      <c r="BL10" s="78">
        <f t="shared" si="33"/>
        <v>3342.36096</v>
      </c>
      <c r="BM10" s="78">
        <f t="shared" si="34"/>
        <v>3342.36096</v>
      </c>
      <c r="BN10" s="78">
        <f t="shared" si="35"/>
        <v>1555.9904133</v>
      </c>
      <c r="BO10" s="77">
        <f t="shared" si="36"/>
        <v>93.015873</v>
      </c>
      <c r="BP10" s="79"/>
      <c r="BQ10" s="78"/>
      <c r="BR10" s="78">
        <f t="shared" si="37"/>
        <v>1694.9907200000002</v>
      </c>
      <c r="BS10" s="78">
        <f t="shared" si="38"/>
        <v>1694.9907200000002</v>
      </c>
      <c r="BT10" s="78">
        <f t="shared" si="39"/>
        <v>789.0797381</v>
      </c>
      <c r="BU10" s="77">
        <f t="shared" si="40"/>
        <v>47.170561</v>
      </c>
      <c r="BV10" s="79"/>
      <c r="BW10" s="78"/>
      <c r="BX10" s="78">
        <f t="shared" si="41"/>
        <v>329.17568</v>
      </c>
      <c r="BY10" s="78">
        <f t="shared" si="42"/>
        <v>329.17568</v>
      </c>
      <c r="BZ10" s="78">
        <f t="shared" si="43"/>
        <v>153.2432339</v>
      </c>
      <c r="CA10" s="77">
        <f t="shared" si="44"/>
        <v>9.160759</v>
      </c>
      <c r="CB10" s="79"/>
      <c r="CC10" s="78"/>
      <c r="CD10" s="78">
        <f t="shared" si="45"/>
        <v>1307.9411200000002</v>
      </c>
      <c r="CE10" s="78">
        <f t="shared" si="46"/>
        <v>1307.9411200000002</v>
      </c>
      <c r="CF10" s="78">
        <f t="shared" si="47"/>
        <v>608.8940926</v>
      </c>
      <c r="CG10" s="77">
        <f t="shared" si="48"/>
        <v>36.399206</v>
      </c>
      <c r="CH10" s="79"/>
      <c r="CI10" s="78"/>
      <c r="CJ10" s="78">
        <f t="shared" si="49"/>
        <v>3190.0038399999994</v>
      </c>
      <c r="CK10" s="78">
        <f t="shared" si="50"/>
        <v>3190.0038399999994</v>
      </c>
      <c r="CL10" s="78">
        <f t="shared" si="51"/>
        <v>1485.0626407</v>
      </c>
      <c r="CM10" s="77">
        <f t="shared" si="52"/>
        <v>88.775867</v>
      </c>
      <c r="CN10" s="79"/>
      <c r="CO10" s="78"/>
      <c r="CP10" s="78">
        <f t="shared" si="53"/>
        <v>7140.088319999999</v>
      </c>
      <c r="CQ10" s="78">
        <f t="shared" si="54"/>
        <v>7140.088319999999</v>
      </c>
      <c r="CR10" s="78">
        <f t="shared" si="55"/>
        <v>3323.9704236</v>
      </c>
      <c r="CS10" s="77">
        <f t="shared" si="56"/>
        <v>198.704316</v>
      </c>
      <c r="CT10" s="79"/>
      <c r="CU10" s="78"/>
      <c r="CV10" s="78">
        <f t="shared" si="57"/>
        <v>1080.25792</v>
      </c>
      <c r="CW10" s="78">
        <f t="shared" si="58"/>
        <v>1080.25792</v>
      </c>
      <c r="CX10" s="78">
        <f t="shared" si="59"/>
        <v>502.89929409999996</v>
      </c>
      <c r="CY10" s="77">
        <f t="shared" si="60"/>
        <v>30.062921</v>
      </c>
      <c r="CZ10" s="79"/>
      <c r="DA10" s="78"/>
      <c r="DB10" s="78">
        <f t="shared" si="61"/>
        <v>3103.95072</v>
      </c>
      <c r="DC10" s="78">
        <f t="shared" si="62"/>
        <v>3103.95072</v>
      </c>
      <c r="DD10" s="78">
        <f t="shared" si="63"/>
        <v>1445.0017881</v>
      </c>
      <c r="DE10" s="77">
        <f t="shared" si="64"/>
        <v>86.381061</v>
      </c>
      <c r="DF10" s="79"/>
      <c r="DG10" s="78"/>
      <c r="DH10" s="78">
        <f t="shared" si="65"/>
        <v>119.60768</v>
      </c>
      <c r="DI10" s="78">
        <f t="shared" si="66"/>
        <v>119.60768</v>
      </c>
      <c r="DJ10" s="78">
        <f t="shared" si="67"/>
        <v>55.6817189</v>
      </c>
      <c r="DK10" s="77">
        <f t="shared" si="68"/>
        <v>3.3286089999999997</v>
      </c>
      <c r="DL10" s="79"/>
      <c r="DM10" s="90"/>
      <c r="DN10" s="90">
        <f t="shared" si="69"/>
        <v>6547.946239999999</v>
      </c>
      <c r="DO10" s="90">
        <f t="shared" si="70"/>
        <v>6547.946239999999</v>
      </c>
      <c r="DP10" s="90">
        <f t="shared" si="71"/>
        <v>3048.3067802</v>
      </c>
      <c r="DQ10" s="94">
        <f t="shared" si="72"/>
        <v>182.22536200000002</v>
      </c>
      <c r="DR10" s="79"/>
      <c r="DS10" s="78"/>
      <c r="DT10" s="78">
        <f t="shared" si="73"/>
        <v>1030.88512</v>
      </c>
      <c r="DU10" s="78">
        <f t="shared" si="74"/>
        <v>1030.88512</v>
      </c>
      <c r="DV10" s="78">
        <f t="shared" si="75"/>
        <v>479.91446260000004</v>
      </c>
      <c r="DW10" s="77">
        <f t="shared" si="76"/>
        <v>28.688906000000003</v>
      </c>
      <c r="DX10" s="79"/>
      <c r="DY10" s="78"/>
      <c r="DZ10" s="78">
        <f t="shared" si="77"/>
        <v>5305.00672</v>
      </c>
      <c r="EA10" s="78">
        <f t="shared" si="78"/>
        <v>5305.00672</v>
      </c>
      <c r="EB10" s="78">
        <f t="shared" si="79"/>
        <v>2469.6732931</v>
      </c>
      <c r="EC10" s="77">
        <f t="shared" si="80"/>
        <v>147.635111</v>
      </c>
      <c r="ED10" s="79"/>
      <c r="EE10" s="78"/>
      <c r="EF10" s="78">
        <f t="shared" si="81"/>
        <v>1514.52544</v>
      </c>
      <c r="EG10" s="78">
        <f t="shared" si="82"/>
        <v>1514.52544</v>
      </c>
      <c r="EH10" s="78">
        <f t="shared" si="83"/>
        <v>705.0665962</v>
      </c>
      <c r="EI10" s="77">
        <f t="shared" si="84"/>
        <v>42.148322</v>
      </c>
      <c r="EJ10" s="79"/>
      <c r="EK10" s="78"/>
      <c r="EL10" s="78">
        <f t="shared" si="85"/>
        <v>15.20256</v>
      </c>
      <c r="EM10" s="78">
        <f t="shared" si="86"/>
        <v>15.20256</v>
      </c>
      <c r="EN10" s="78">
        <f t="shared" si="87"/>
        <v>7.0773438</v>
      </c>
      <c r="EO10" s="77">
        <f t="shared" si="88"/>
        <v>0.423078</v>
      </c>
      <c r="EP10" s="79"/>
      <c r="EQ10" s="78"/>
      <c r="ER10" s="78">
        <f t="shared" si="89"/>
        <v>28.22656</v>
      </c>
      <c r="ES10" s="78">
        <f t="shared" si="90"/>
        <v>28.22656</v>
      </c>
      <c r="ET10" s="78">
        <f t="shared" si="91"/>
        <v>13.1404888</v>
      </c>
      <c r="EU10" s="77">
        <f t="shared" si="92"/>
        <v>0.785528</v>
      </c>
      <c r="EV10" s="79"/>
      <c r="EW10" s="78"/>
      <c r="EX10" s="78">
        <f t="shared" si="93"/>
        <v>5102.47168</v>
      </c>
      <c r="EY10" s="78">
        <f t="shared" si="94"/>
        <v>5102.47168</v>
      </c>
      <c r="EZ10" s="78">
        <f t="shared" si="95"/>
        <v>2375.3858764</v>
      </c>
      <c r="FA10" s="77">
        <f t="shared" si="96"/>
        <v>141.998684</v>
      </c>
      <c r="FB10" s="79"/>
      <c r="FC10" s="78"/>
      <c r="FD10" s="78">
        <f t="shared" si="97"/>
        <v>9484.21888</v>
      </c>
      <c r="FE10" s="78">
        <f t="shared" si="98"/>
        <v>9484.21888</v>
      </c>
      <c r="FF10" s="78">
        <f t="shared" si="99"/>
        <v>4415.2483323999995</v>
      </c>
      <c r="FG10" s="77">
        <f t="shared" si="100"/>
        <v>263.940044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43556</v>
      </c>
      <c r="C11" s="42"/>
      <c r="D11" s="42">
        <v>236800</v>
      </c>
      <c r="E11" s="77">
        <f t="shared" si="0"/>
        <v>236800</v>
      </c>
      <c r="F11" s="77">
        <v>110239</v>
      </c>
      <c r="G11" s="77">
        <v>6590</v>
      </c>
      <c r="H11" s="79"/>
      <c r="I11" s="79">
        <f>'2010C Academic'!I11</f>
        <v>0</v>
      </c>
      <c r="J11" s="79">
        <f>'2010C Academic'!J11</f>
        <v>128541.17312</v>
      </c>
      <c r="K11" s="79">
        <f t="shared" si="1"/>
        <v>128541.17312</v>
      </c>
      <c r="L11" s="79">
        <f>'2010C Academic'!L11</f>
        <v>59840.5843901</v>
      </c>
      <c r="M11" s="79">
        <f>'2010C Academic'!M11</f>
        <v>3577.2226809999993</v>
      </c>
      <c r="N11" s="79"/>
      <c r="O11" s="78">
        <f t="shared" si="2"/>
        <v>0</v>
      </c>
      <c r="P11" s="80">
        <f t="shared" si="2"/>
        <v>108258.82688000001</v>
      </c>
      <c r="Q11" s="78">
        <f t="shared" si="3"/>
        <v>108258.82688000001</v>
      </c>
      <c r="R11" s="78">
        <f t="shared" si="4"/>
        <v>50398.41560990002</v>
      </c>
      <c r="S11" s="78">
        <f t="shared" si="4"/>
        <v>3012.7773190000007</v>
      </c>
      <c r="T11" s="79"/>
      <c r="U11" s="78">
        <f t="shared" si="102"/>
        <v>0</v>
      </c>
      <c r="V11" s="77">
        <f t="shared" si="5"/>
        <v>19352.243199999997</v>
      </c>
      <c r="W11" s="78">
        <f t="shared" si="6"/>
        <v>19352.243199999997</v>
      </c>
      <c r="X11" s="78">
        <f t="shared" si="7"/>
        <v>9009.172036</v>
      </c>
      <c r="Y11" s="77">
        <f t="shared" si="8"/>
        <v>538.5611600000001</v>
      </c>
      <c r="Z11" s="79"/>
      <c r="AA11" s="78">
        <f t="shared" si="103"/>
        <v>0</v>
      </c>
      <c r="AB11" s="78">
        <f t="shared" si="9"/>
        <v>14104.89728</v>
      </c>
      <c r="AC11" s="78">
        <f t="shared" si="10"/>
        <v>14104.89728</v>
      </c>
      <c r="AD11" s="78">
        <f t="shared" si="11"/>
        <v>6566.3419394</v>
      </c>
      <c r="AE11" s="77">
        <f t="shared" si="12"/>
        <v>392.530714</v>
      </c>
      <c r="AF11" s="79"/>
      <c r="AG11" s="78">
        <f t="shared" si="104"/>
        <v>0</v>
      </c>
      <c r="AH11" s="78">
        <f t="shared" si="13"/>
        <v>7478.238720000001</v>
      </c>
      <c r="AI11" s="78">
        <f t="shared" si="14"/>
        <v>7478.238720000001</v>
      </c>
      <c r="AJ11" s="78">
        <f t="shared" si="15"/>
        <v>3481.3917156</v>
      </c>
      <c r="AK11" s="77">
        <f t="shared" si="16"/>
        <v>208.114836</v>
      </c>
      <c r="AL11" s="79"/>
      <c r="AM11" s="78">
        <f t="shared" si="105"/>
        <v>0</v>
      </c>
      <c r="AN11" s="78">
        <f t="shared" si="17"/>
        <v>5438.8224</v>
      </c>
      <c r="AO11" s="78">
        <f t="shared" si="18"/>
        <v>5438.8224</v>
      </c>
      <c r="AP11" s="78">
        <f t="shared" si="19"/>
        <v>2531.969352</v>
      </c>
      <c r="AQ11" s="77">
        <f t="shared" si="20"/>
        <v>151.35912</v>
      </c>
      <c r="AR11" s="79"/>
      <c r="AS11" s="78">
        <f t="shared" si="106"/>
        <v>0</v>
      </c>
      <c r="AT11" s="78">
        <f t="shared" si="21"/>
        <v>622.99712</v>
      </c>
      <c r="AU11" s="78">
        <f t="shared" si="22"/>
        <v>622.99712</v>
      </c>
      <c r="AV11" s="78">
        <f t="shared" si="23"/>
        <v>290.02778509999996</v>
      </c>
      <c r="AW11" s="77">
        <f t="shared" si="24"/>
        <v>17.337631</v>
      </c>
      <c r="AX11" s="79"/>
      <c r="AY11" s="78">
        <f t="shared" si="107"/>
        <v>0</v>
      </c>
      <c r="AZ11" s="78">
        <f t="shared" si="25"/>
        <v>9856.30272</v>
      </c>
      <c r="BA11" s="78">
        <f t="shared" si="26"/>
        <v>9856.30272</v>
      </c>
      <c r="BB11" s="78">
        <f t="shared" si="27"/>
        <v>4588.4668731</v>
      </c>
      <c r="BC11" s="77">
        <f t="shared" si="28"/>
        <v>274.29491099999996</v>
      </c>
      <c r="BD11" s="79"/>
      <c r="BE11" s="78">
        <f t="shared" si="108"/>
        <v>0</v>
      </c>
      <c r="BF11" s="78">
        <f t="shared" si="29"/>
        <v>1068.4652800000001</v>
      </c>
      <c r="BG11" s="78">
        <f t="shared" si="30"/>
        <v>1068.4652800000001</v>
      </c>
      <c r="BH11" s="78">
        <f t="shared" si="31"/>
        <v>497.4093919</v>
      </c>
      <c r="BI11" s="77">
        <f t="shared" si="32"/>
        <v>29.734738999999998</v>
      </c>
      <c r="BJ11" s="79"/>
      <c r="BK11" s="78">
        <f t="shared" si="109"/>
        <v>0</v>
      </c>
      <c r="BL11" s="78">
        <f t="shared" si="33"/>
        <v>3342.36096</v>
      </c>
      <c r="BM11" s="78">
        <f t="shared" si="34"/>
        <v>3342.36096</v>
      </c>
      <c r="BN11" s="78">
        <f t="shared" si="35"/>
        <v>1555.9904133</v>
      </c>
      <c r="BO11" s="77">
        <f t="shared" si="36"/>
        <v>93.015873</v>
      </c>
      <c r="BP11" s="79"/>
      <c r="BQ11" s="78">
        <f t="shared" si="110"/>
        <v>0</v>
      </c>
      <c r="BR11" s="78">
        <f t="shared" si="37"/>
        <v>1694.9907200000002</v>
      </c>
      <c r="BS11" s="78">
        <f t="shared" si="38"/>
        <v>1694.9907200000002</v>
      </c>
      <c r="BT11" s="78">
        <f t="shared" si="39"/>
        <v>789.0797381</v>
      </c>
      <c r="BU11" s="77">
        <f t="shared" si="40"/>
        <v>47.170561</v>
      </c>
      <c r="BV11" s="79"/>
      <c r="BW11" s="78">
        <f t="shared" si="111"/>
        <v>0</v>
      </c>
      <c r="BX11" s="78">
        <f t="shared" si="41"/>
        <v>329.17568</v>
      </c>
      <c r="BY11" s="78">
        <f t="shared" si="42"/>
        <v>329.17568</v>
      </c>
      <c r="BZ11" s="78">
        <f t="shared" si="43"/>
        <v>153.2432339</v>
      </c>
      <c r="CA11" s="77">
        <f t="shared" si="44"/>
        <v>9.160759</v>
      </c>
      <c r="CB11" s="79"/>
      <c r="CC11" s="78">
        <f t="shared" si="112"/>
        <v>0</v>
      </c>
      <c r="CD11" s="78">
        <f t="shared" si="45"/>
        <v>1307.9411200000002</v>
      </c>
      <c r="CE11" s="78">
        <f t="shared" si="46"/>
        <v>1307.9411200000002</v>
      </c>
      <c r="CF11" s="78">
        <f t="shared" si="47"/>
        <v>608.8940926</v>
      </c>
      <c r="CG11" s="77">
        <f t="shared" si="48"/>
        <v>36.399206</v>
      </c>
      <c r="CH11" s="79"/>
      <c r="CI11" s="78">
        <f t="shared" si="113"/>
        <v>0</v>
      </c>
      <c r="CJ11" s="78">
        <f t="shared" si="49"/>
        <v>3190.0038399999994</v>
      </c>
      <c r="CK11" s="78">
        <f t="shared" si="50"/>
        <v>3190.0038399999994</v>
      </c>
      <c r="CL11" s="78">
        <f t="shared" si="51"/>
        <v>1485.0626407</v>
      </c>
      <c r="CM11" s="77">
        <f t="shared" si="52"/>
        <v>88.775867</v>
      </c>
      <c r="CN11" s="79"/>
      <c r="CO11" s="78">
        <f t="shared" si="114"/>
        <v>0</v>
      </c>
      <c r="CP11" s="78">
        <f t="shared" si="53"/>
        <v>7140.088319999999</v>
      </c>
      <c r="CQ11" s="78">
        <f t="shared" si="54"/>
        <v>7140.088319999999</v>
      </c>
      <c r="CR11" s="78">
        <f t="shared" si="55"/>
        <v>3323.9704236</v>
      </c>
      <c r="CS11" s="77">
        <f t="shared" si="56"/>
        <v>198.704316</v>
      </c>
      <c r="CT11" s="79"/>
      <c r="CU11" s="78">
        <f t="shared" si="115"/>
        <v>0</v>
      </c>
      <c r="CV11" s="78">
        <f t="shared" si="57"/>
        <v>1080.25792</v>
      </c>
      <c r="CW11" s="78">
        <f t="shared" si="58"/>
        <v>1080.25792</v>
      </c>
      <c r="CX11" s="78">
        <f t="shared" si="59"/>
        <v>502.89929409999996</v>
      </c>
      <c r="CY11" s="77">
        <f t="shared" si="60"/>
        <v>30.062921</v>
      </c>
      <c r="CZ11" s="79"/>
      <c r="DA11" s="78">
        <f t="shared" si="116"/>
        <v>0</v>
      </c>
      <c r="DB11" s="78">
        <f t="shared" si="61"/>
        <v>3103.95072</v>
      </c>
      <c r="DC11" s="78">
        <f t="shared" si="62"/>
        <v>3103.95072</v>
      </c>
      <c r="DD11" s="78">
        <f t="shared" si="63"/>
        <v>1445.0017881</v>
      </c>
      <c r="DE11" s="77">
        <f t="shared" si="64"/>
        <v>86.381061</v>
      </c>
      <c r="DF11" s="79"/>
      <c r="DG11" s="78">
        <f t="shared" si="117"/>
        <v>0</v>
      </c>
      <c r="DH11" s="78">
        <f t="shared" si="65"/>
        <v>119.60768</v>
      </c>
      <c r="DI11" s="78">
        <f t="shared" si="66"/>
        <v>119.60768</v>
      </c>
      <c r="DJ11" s="78">
        <f t="shared" si="67"/>
        <v>55.6817189</v>
      </c>
      <c r="DK11" s="77">
        <f t="shared" si="68"/>
        <v>3.3286089999999997</v>
      </c>
      <c r="DL11" s="79"/>
      <c r="DM11" s="90">
        <f t="shared" si="118"/>
        <v>0</v>
      </c>
      <c r="DN11" s="90">
        <f t="shared" si="69"/>
        <v>6547.946239999999</v>
      </c>
      <c r="DO11" s="90">
        <f t="shared" si="70"/>
        <v>6547.946239999999</v>
      </c>
      <c r="DP11" s="90">
        <f t="shared" si="71"/>
        <v>3048.3067802</v>
      </c>
      <c r="DQ11" s="94">
        <f t="shared" si="72"/>
        <v>182.22536200000002</v>
      </c>
      <c r="DR11" s="79"/>
      <c r="DS11" s="78">
        <f t="shared" si="119"/>
        <v>0</v>
      </c>
      <c r="DT11" s="78">
        <f t="shared" si="73"/>
        <v>1030.88512</v>
      </c>
      <c r="DU11" s="78">
        <f t="shared" si="74"/>
        <v>1030.88512</v>
      </c>
      <c r="DV11" s="78">
        <f t="shared" si="75"/>
        <v>479.91446260000004</v>
      </c>
      <c r="DW11" s="77">
        <f t="shared" si="76"/>
        <v>28.688906000000003</v>
      </c>
      <c r="DX11" s="79"/>
      <c r="DY11" s="78">
        <f t="shared" si="120"/>
        <v>0</v>
      </c>
      <c r="DZ11" s="78">
        <f t="shared" si="77"/>
        <v>5305.00672</v>
      </c>
      <c r="EA11" s="78">
        <f t="shared" si="78"/>
        <v>5305.00672</v>
      </c>
      <c r="EB11" s="78">
        <f t="shared" si="79"/>
        <v>2469.6732931</v>
      </c>
      <c r="EC11" s="77">
        <f t="shared" si="80"/>
        <v>147.635111</v>
      </c>
      <c r="ED11" s="79"/>
      <c r="EE11" s="78">
        <f t="shared" si="121"/>
        <v>0</v>
      </c>
      <c r="EF11" s="78">
        <f t="shared" si="81"/>
        <v>1514.52544</v>
      </c>
      <c r="EG11" s="78">
        <f t="shared" si="82"/>
        <v>1514.52544</v>
      </c>
      <c r="EH11" s="78">
        <f t="shared" si="83"/>
        <v>705.0665962</v>
      </c>
      <c r="EI11" s="77">
        <f t="shared" si="84"/>
        <v>42.148322</v>
      </c>
      <c r="EJ11" s="79"/>
      <c r="EK11" s="78">
        <f t="shared" si="122"/>
        <v>0</v>
      </c>
      <c r="EL11" s="78">
        <f t="shared" si="85"/>
        <v>15.20256</v>
      </c>
      <c r="EM11" s="78">
        <f t="shared" si="86"/>
        <v>15.20256</v>
      </c>
      <c r="EN11" s="78">
        <f t="shared" si="87"/>
        <v>7.0773438</v>
      </c>
      <c r="EO11" s="77">
        <f t="shared" si="88"/>
        <v>0.423078</v>
      </c>
      <c r="EP11" s="79"/>
      <c r="EQ11" s="78">
        <f t="shared" si="123"/>
        <v>0</v>
      </c>
      <c r="ER11" s="78">
        <f t="shared" si="89"/>
        <v>28.22656</v>
      </c>
      <c r="ES11" s="78">
        <f t="shared" si="90"/>
        <v>28.22656</v>
      </c>
      <c r="ET11" s="78">
        <f t="shared" si="91"/>
        <v>13.1404888</v>
      </c>
      <c r="EU11" s="77">
        <f t="shared" si="92"/>
        <v>0.785528</v>
      </c>
      <c r="EV11" s="79"/>
      <c r="EW11" s="78">
        <f t="shared" si="124"/>
        <v>0</v>
      </c>
      <c r="EX11" s="78">
        <f t="shared" si="93"/>
        <v>5102.47168</v>
      </c>
      <c r="EY11" s="78">
        <f t="shared" si="94"/>
        <v>5102.47168</v>
      </c>
      <c r="EZ11" s="78">
        <f t="shared" si="95"/>
        <v>2375.3858764</v>
      </c>
      <c r="FA11" s="77">
        <f t="shared" si="96"/>
        <v>141.998684</v>
      </c>
      <c r="FB11" s="79"/>
      <c r="FC11" s="78">
        <f t="shared" si="125"/>
        <v>0</v>
      </c>
      <c r="FD11" s="78">
        <f t="shared" si="97"/>
        <v>9484.21888</v>
      </c>
      <c r="FE11" s="78">
        <f t="shared" si="98"/>
        <v>9484.21888</v>
      </c>
      <c r="FF11" s="78">
        <f t="shared" si="99"/>
        <v>4415.2483323999995</v>
      </c>
      <c r="FG11" s="77">
        <f t="shared" si="100"/>
        <v>263.940044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43739</v>
      </c>
      <c r="C12" s="42"/>
      <c r="D12" s="42">
        <v>236800</v>
      </c>
      <c r="E12" s="77">
        <f t="shared" si="0"/>
        <v>236800</v>
      </c>
      <c r="F12" s="77">
        <v>110239</v>
      </c>
      <c r="G12" s="77">
        <v>6590</v>
      </c>
      <c r="H12" s="79"/>
      <c r="I12" s="79">
        <f>'2010C Academic'!I12</f>
        <v>0</v>
      </c>
      <c r="J12" s="79">
        <f>'2010C Academic'!J12</f>
        <v>128541.17312</v>
      </c>
      <c r="K12" s="79">
        <f t="shared" si="1"/>
        <v>128541.17312</v>
      </c>
      <c r="L12" s="79">
        <f>'2010C Academic'!L12</f>
        <v>59840.5843901</v>
      </c>
      <c r="M12" s="79">
        <f>'2010C Academic'!M12</f>
        <v>3577.2226809999993</v>
      </c>
      <c r="N12" s="79"/>
      <c r="O12" s="78">
        <f t="shared" si="2"/>
        <v>0</v>
      </c>
      <c r="P12" s="80">
        <f t="shared" si="2"/>
        <v>108258.82688000001</v>
      </c>
      <c r="Q12" s="78">
        <f t="shared" si="3"/>
        <v>108258.82688000001</v>
      </c>
      <c r="R12" s="78">
        <f t="shared" si="4"/>
        <v>50398.41560990002</v>
      </c>
      <c r="S12" s="78">
        <f t="shared" si="4"/>
        <v>3012.7773190000007</v>
      </c>
      <c r="T12" s="79"/>
      <c r="U12" s="78"/>
      <c r="V12" s="77">
        <f t="shared" si="5"/>
        <v>19352.243199999997</v>
      </c>
      <c r="W12" s="78">
        <f t="shared" si="6"/>
        <v>19352.243199999997</v>
      </c>
      <c r="X12" s="78">
        <f t="shared" si="7"/>
        <v>9009.172036</v>
      </c>
      <c r="Y12" s="77">
        <f t="shared" si="8"/>
        <v>538.5611600000001</v>
      </c>
      <c r="Z12" s="79"/>
      <c r="AA12" s="78"/>
      <c r="AB12" s="78">
        <f t="shared" si="9"/>
        <v>14104.89728</v>
      </c>
      <c r="AC12" s="78">
        <f t="shared" si="10"/>
        <v>14104.89728</v>
      </c>
      <c r="AD12" s="78">
        <f t="shared" si="11"/>
        <v>6566.3419394</v>
      </c>
      <c r="AE12" s="77">
        <f t="shared" si="12"/>
        <v>392.530714</v>
      </c>
      <c r="AF12" s="79"/>
      <c r="AG12" s="78"/>
      <c r="AH12" s="78">
        <f t="shared" si="13"/>
        <v>7478.238720000001</v>
      </c>
      <c r="AI12" s="78">
        <f t="shared" si="14"/>
        <v>7478.238720000001</v>
      </c>
      <c r="AJ12" s="78">
        <f t="shared" si="15"/>
        <v>3481.3917156</v>
      </c>
      <c r="AK12" s="77">
        <f t="shared" si="16"/>
        <v>208.114836</v>
      </c>
      <c r="AL12" s="79"/>
      <c r="AM12" s="78"/>
      <c r="AN12" s="78">
        <f t="shared" si="17"/>
        <v>5438.8224</v>
      </c>
      <c r="AO12" s="78">
        <f t="shared" si="18"/>
        <v>5438.8224</v>
      </c>
      <c r="AP12" s="78">
        <f t="shared" si="19"/>
        <v>2531.969352</v>
      </c>
      <c r="AQ12" s="77">
        <f t="shared" si="20"/>
        <v>151.35912</v>
      </c>
      <c r="AR12" s="79"/>
      <c r="AS12" s="78"/>
      <c r="AT12" s="78">
        <f t="shared" si="21"/>
        <v>622.99712</v>
      </c>
      <c r="AU12" s="78">
        <f t="shared" si="22"/>
        <v>622.99712</v>
      </c>
      <c r="AV12" s="78">
        <f t="shared" si="23"/>
        <v>290.02778509999996</v>
      </c>
      <c r="AW12" s="77">
        <f t="shared" si="24"/>
        <v>17.337631</v>
      </c>
      <c r="AX12" s="79"/>
      <c r="AY12" s="78"/>
      <c r="AZ12" s="78">
        <f t="shared" si="25"/>
        <v>9856.30272</v>
      </c>
      <c r="BA12" s="78">
        <f t="shared" si="26"/>
        <v>9856.30272</v>
      </c>
      <c r="BB12" s="78">
        <f t="shared" si="27"/>
        <v>4588.4668731</v>
      </c>
      <c r="BC12" s="77">
        <f t="shared" si="28"/>
        <v>274.29491099999996</v>
      </c>
      <c r="BD12" s="79"/>
      <c r="BE12" s="78"/>
      <c r="BF12" s="78">
        <f t="shared" si="29"/>
        <v>1068.4652800000001</v>
      </c>
      <c r="BG12" s="78">
        <f t="shared" si="30"/>
        <v>1068.4652800000001</v>
      </c>
      <c r="BH12" s="78">
        <f t="shared" si="31"/>
        <v>497.4093919</v>
      </c>
      <c r="BI12" s="77">
        <f t="shared" si="32"/>
        <v>29.734738999999998</v>
      </c>
      <c r="BJ12" s="79"/>
      <c r="BK12" s="78"/>
      <c r="BL12" s="78">
        <f t="shared" si="33"/>
        <v>3342.36096</v>
      </c>
      <c r="BM12" s="78">
        <f t="shared" si="34"/>
        <v>3342.36096</v>
      </c>
      <c r="BN12" s="78">
        <f t="shared" si="35"/>
        <v>1555.9904133</v>
      </c>
      <c r="BO12" s="77">
        <f t="shared" si="36"/>
        <v>93.015873</v>
      </c>
      <c r="BP12" s="79"/>
      <c r="BQ12" s="78"/>
      <c r="BR12" s="78">
        <f t="shared" si="37"/>
        <v>1694.9907200000002</v>
      </c>
      <c r="BS12" s="78">
        <f t="shared" si="38"/>
        <v>1694.9907200000002</v>
      </c>
      <c r="BT12" s="78">
        <f t="shared" si="39"/>
        <v>789.0797381</v>
      </c>
      <c r="BU12" s="77">
        <f t="shared" si="40"/>
        <v>47.170561</v>
      </c>
      <c r="BV12" s="79"/>
      <c r="BW12" s="78"/>
      <c r="BX12" s="78">
        <f t="shared" si="41"/>
        <v>329.17568</v>
      </c>
      <c r="BY12" s="78">
        <f t="shared" si="42"/>
        <v>329.17568</v>
      </c>
      <c r="BZ12" s="78">
        <f t="shared" si="43"/>
        <v>153.2432339</v>
      </c>
      <c r="CA12" s="77">
        <f t="shared" si="44"/>
        <v>9.160759</v>
      </c>
      <c r="CB12" s="79"/>
      <c r="CC12" s="78"/>
      <c r="CD12" s="78">
        <f t="shared" si="45"/>
        <v>1307.9411200000002</v>
      </c>
      <c r="CE12" s="78">
        <f t="shared" si="46"/>
        <v>1307.9411200000002</v>
      </c>
      <c r="CF12" s="78">
        <f t="shared" si="47"/>
        <v>608.8940926</v>
      </c>
      <c r="CG12" s="77">
        <f t="shared" si="48"/>
        <v>36.399206</v>
      </c>
      <c r="CH12" s="79"/>
      <c r="CI12" s="78"/>
      <c r="CJ12" s="78">
        <f t="shared" si="49"/>
        <v>3190.0038399999994</v>
      </c>
      <c r="CK12" s="78">
        <f t="shared" si="50"/>
        <v>3190.0038399999994</v>
      </c>
      <c r="CL12" s="78">
        <f t="shared" si="51"/>
        <v>1485.0626407</v>
      </c>
      <c r="CM12" s="77">
        <f t="shared" si="52"/>
        <v>88.775867</v>
      </c>
      <c r="CN12" s="79"/>
      <c r="CO12" s="78"/>
      <c r="CP12" s="78">
        <f t="shared" si="53"/>
        <v>7140.088319999999</v>
      </c>
      <c r="CQ12" s="78">
        <f t="shared" si="54"/>
        <v>7140.088319999999</v>
      </c>
      <c r="CR12" s="78">
        <f t="shared" si="55"/>
        <v>3323.9704236</v>
      </c>
      <c r="CS12" s="77">
        <f t="shared" si="56"/>
        <v>198.704316</v>
      </c>
      <c r="CT12" s="79"/>
      <c r="CU12" s="78"/>
      <c r="CV12" s="78">
        <f t="shared" si="57"/>
        <v>1080.25792</v>
      </c>
      <c r="CW12" s="78">
        <f t="shared" si="58"/>
        <v>1080.25792</v>
      </c>
      <c r="CX12" s="78">
        <f t="shared" si="59"/>
        <v>502.89929409999996</v>
      </c>
      <c r="CY12" s="77">
        <f t="shared" si="60"/>
        <v>30.062921</v>
      </c>
      <c r="CZ12" s="79"/>
      <c r="DA12" s="78"/>
      <c r="DB12" s="78">
        <f t="shared" si="61"/>
        <v>3103.95072</v>
      </c>
      <c r="DC12" s="78">
        <f t="shared" si="62"/>
        <v>3103.95072</v>
      </c>
      <c r="DD12" s="78">
        <f t="shared" si="63"/>
        <v>1445.0017881</v>
      </c>
      <c r="DE12" s="77">
        <f t="shared" si="64"/>
        <v>86.381061</v>
      </c>
      <c r="DF12" s="79"/>
      <c r="DG12" s="78"/>
      <c r="DH12" s="78">
        <f t="shared" si="65"/>
        <v>119.60768</v>
      </c>
      <c r="DI12" s="78">
        <f t="shared" si="66"/>
        <v>119.60768</v>
      </c>
      <c r="DJ12" s="78">
        <f t="shared" si="67"/>
        <v>55.6817189</v>
      </c>
      <c r="DK12" s="77">
        <f t="shared" si="68"/>
        <v>3.3286089999999997</v>
      </c>
      <c r="DL12" s="79"/>
      <c r="DM12" s="90"/>
      <c r="DN12" s="90">
        <f t="shared" si="69"/>
        <v>6547.946239999999</v>
      </c>
      <c r="DO12" s="90">
        <f t="shared" si="70"/>
        <v>6547.946239999999</v>
      </c>
      <c r="DP12" s="90">
        <f t="shared" si="71"/>
        <v>3048.3067802</v>
      </c>
      <c r="DQ12" s="94">
        <f t="shared" si="72"/>
        <v>182.22536200000002</v>
      </c>
      <c r="DR12" s="79"/>
      <c r="DS12" s="78"/>
      <c r="DT12" s="78">
        <f t="shared" si="73"/>
        <v>1030.88512</v>
      </c>
      <c r="DU12" s="78">
        <f t="shared" si="74"/>
        <v>1030.88512</v>
      </c>
      <c r="DV12" s="78">
        <f t="shared" si="75"/>
        <v>479.91446260000004</v>
      </c>
      <c r="DW12" s="77">
        <f t="shared" si="76"/>
        <v>28.688906000000003</v>
      </c>
      <c r="DX12" s="79"/>
      <c r="DY12" s="78"/>
      <c r="DZ12" s="78">
        <f t="shared" si="77"/>
        <v>5305.00672</v>
      </c>
      <c r="EA12" s="78">
        <f t="shared" si="78"/>
        <v>5305.00672</v>
      </c>
      <c r="EB12" s="78">
        <f t="shared" si="79"/>
        <v>2469.6732931</v>
      </c>
      <c r="EC12" s="77">
        <f t="shared" si="80"/>
        <v>147.635111</v>
      </c>
      <c r="ED12" s="79"/>
      <c r="EE12" s="78"/>
      <c r="EF12" s="78">
        <f t="shared" si="81"/>
        <v>1514.52544</v>
      </c>
      <c r="EG12" s="78">
        <f t="shared" si="82"/>
        <v>1514.52544</v>
      </c>
      <c r="EH12" s="78">
        <f t="shared" si="83"/>
        <v>705.0665962</v>
      </c>
      <c r="EI12" s="77">
        <f t="shared" si="84"/>
        <v>42.148322</v>
      </c>
      <c r="EJ12" s="79"/>
      <c r="EK12" s="78"/>
      <c r="EL12" s="78">
        <f t="shared" si="85"/>
        <v>15.20256</v>
      </c>
      <c r="EM12" s="78">
        <f t="shared" si="86"/>
        <v>15.20256</v>
      </c>
      <c r="EN12" s="78">
        <f t="shared" si="87"/>
        <v>7.0773438</v>
      </c>
      <c r="EO12" s="77">
        <f t="shared" si="88"/>
        <v>0.423078</v>
      </c>
      <c r="EP12" s="79"/>
      <c r="EQ12" s="78"/>
      <c r="ER12" s="78">
        <f t="shared" si="89"/>
        <v>28.22656</v>
      </c>
      <c r="ES12" s="78">
        <f t="shared" si="90"/>
        <v>28.22656</v>
      </c>
      <c r="ET12" s="78">
        <f t="shared" si="91"/>
        <v>13.1404888</v>
      </c>
      <c r="EU12" s="77">
        <f t="shared" si="92"/>
        <v>0.785528</v>
      </c>
      <c r="EV12" s="79"/>
      <c r="EW12" s="78"/>
      <c r="EX12" s="78">
        <f t="shared" si="93"/>
        <v>5102.47168</v>
      </c>
      <c r="EY12" s="78">
        <f t="shared" si="94"/>
        <v>5102.47168</v>
      </c>
      <c r="EZ12" s="78">
        <f t="shared" si="95"/>
        <v>2375.3858764</v>
      </c>
      <c r="FA12" s="77">
        <f t="shared" si="96"/>
        <v>141.998684</v>
      </c>
      <c r="FB12" s="79"/>
      <c r="FC12" s="78"/>
      <c r="FD12" s="78">
        <f t="shared" si="97"/>
        <v>9484.21888</v>
      </c>
      <c r="FE12" s="78">
        <f t="shared" si="98"/>
        <v>9484.21888</v>
      </c>
      <c r="FF12" s="78">
        <f t="shared" si="99"/>
        <v>4415.2483323999995</v>
      </c>
      <c r="FG12" s="77">
        <f t="shared" si="100"/>
        <v>263.940044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43922</v>
      </c>
      <c r="C13" s="42">
        <v>5805000</v>
      </c>
      <c r="D13" s="42">
        <v>236800</v>
      </c>
      <c r="E13" s="77">
        <f t="shared" si="0"/>
        <v>6041800</v>
      </c>
      <c r="F13" s="77">
        <v>110239</v>
      </c>
      <c r="G13" s="77">
        <v>6590</v>
      </c>
      <c r="H13" s="79"/>
      <c r="I13" s="79">
        <f>'2010C Academic'!I13</f>
        <v>3151104.3494999995</v>
      </c>
      <c r="J13" s="79">
        <f>'2010C Academic'!J13</f>
        <v>128541.17312</v>
      </c>
      <c r="K13" s="79">
        <f t="shared" si="1"/>
        <v>3279645.5226199995</v>
      </c>
      <c r="L13" s="79">
        <f>'2010C Academic'!L13</f>
        <v>59840.5843901</v>
      </c>
      <c r="M13" s="79">
        <f>'2010C Academic'!M13</f>
        <v>3577.2226809999993</v>
      </c>
      <c r="N13" s="79"/>
      <c r="O13" s="78">
        <f t="shared" si="2"/>
        <v>2653895.6505</v>
      </c>
      <c r="P13" s="80">
        <f t="shared" si="2"/>
        <v>108258.82688000001</v>
      </c>
      <c r="Q13" s="78">
        <f t="shared" si="3"/>
        <v>2762154.47738</v>
      </c>
      <c r="R13" s="78">
        <f t="shared" si="4"/>
        <v>50398.41560990002</v>
      </c>
      <c r="S13" s="78">
        <f t="shared" si="4"/>
        <v>3012.7773190000007</v>
      </c>
      <c r="T13" s="79"/>
      <c r="U13" s="78">
        <f t="shared" si="102"/>
        <v>474407.82</v>
      </c>
      <c r="V13" s="77">
        <f t="shared" si="5"/>
        <v>19352.243199999997</v>
      </c>
      <c r="W13" s="78">
        <f t="shared" si="6"/>
        <v>493760.0632</v>
      </c>
      <c r="X13" s="78">
        <f t="shared" si="7"/>
        <v>9009.172036</v>
      </c>
      <c r="Y13" s="77">
        <f t="shared" si="8"/>
        <v>538.5611600000001</v>
      </c>
      <c r="Z13" s="79"/>
      <c r="AA13" s="78">
        <f t="shared" si="103"/>
        <v>345772.50299999997</v>
      </c>
      <c r="AB13" s="78">
        <f t="shared" si="9"/>
        <v>14104.89728</v>
      </c>
      <c r="AC13" s="78">
        <f t="shared" si="10"/>
        <v>359877.40027999994</v>
      </c>
      <c r="AD13" s="78">
        <f t="shared" si="11"/>
        <v>6566.3419394</v>
      </c>
      <c r="AE13" s="77">
        <f t="shared" si="12"/>
        <v>392.530714</v>
      </c>
      <c r="AF13" s="79"/>
      <c r="AG13" s="78">
        <f t="shared" si="104"/>
        <v>183324.22199999998</v>
      </c>
      <c r="AH13" s="78">
        <f t="shared" si="13"/>
        <v>7478.238720000001</v>
      </c>
      <c r="AI13" s="78">
        <f t="shared" si="14"/>
        <v>190802.46071999997</v>
      </c>
      <c r="AJ13" s="78">
        <f t="shared" si="15"/>
        <v>3481.3917156</v>
      </c>
      <c r="AK13" s="77">
        <f t="shared" si="16"/>
        <v>208.114836</v>
      </c>
      <c r="AL13" s="79"/>
      <c r="AM13" s="78">
        <f t="shared" si="105"/>
        <v>133329.24000000002</v>
      </c>
      <c r="AN13" s="78">
        <f t="shared" si="17"/>
        <v>5438.8224</v>
      </c>
      <c r="AO13" s="78">
        <f t="shared" si="18"/>
        <v>138768.06240000002</v>
      </c>
      <c r="AP13" s="78">
        <f t="shared" si="19"/>
        <v>2531.969352</v>
      </c>
      <c r="AQ13" s="77">
        <f t="shared" si="20"/>
        <v>151.35912</v>
      </c>
      <c r="AR13" s="79"/>
      <c r="AS13" s="78">
        <f t="shared" si="106"/>
        <v>15272.3745</v>
      </c>
      <c r="AT13" s="78">
        <f t="shared" si="21"/>
        <v>622.99712</v>
      </c>
      <c r="AU13" s="78">
        <f t="shared" si="22"/>
        <v>15895.37162</v>
      </c>
      <c r="AV13" s="78">
        <f t="shared" si="23"/>
        <v>290.02778509999996</v>
      </c>
      <c r="AW13" s="77">
        <f t="shared" si="24"/>
        <v>17.337631</v>
      </c>
      <c r="AX13" s="79"/>
      <c r="AY13" s="78">
        <f t="shared" si="107"/>
        <v>241620.9345</v>
      </c>
      <c r="AZ13" s="78">
        <f t="shared" si="25"/>
        <v>9856.30272</v>
      </c>
      <c r="BA13" s="78">
        <f t="shared" si="26"/>
        <v>251477.23722</v>
      </c>
      <c r="BB13" s="78">
        <f t="shared" si="27"/>
        <v>4588.4668731</v>
      </c>
      <c r="BC13" s="77">
        <f t="shared" si="28"/>
        <v>274.29491099999996</v>
      </c>
      <c r="BD13" s="79"/>
      <c r="BE13" s="78">
        <f t="shared" si="108"/>
        <v>26192.7405</v>
      </c>
      <c r="BF13" s="78">
        <f t="shared" si="29"/>
        <v>1068.4652800000001</v>
      </c>
      <c r="BG13" s="78">
        <f t="shared" si="30"/>
        <v>27261.20578</v>
      </c>
      <c r="BH13" s="78">
        <f t="shared" si="31"/>
        <v>497.4093919</v>
      </c>
      <c r="BI13" s="77">
        <f t="shared" si="32"/>
        <v>29.734738999999998</v>
      </c>
      <c r="BJ13" s="79"/>
      <c r="BK13" s="78">
        <f t="shared" si="109"/>
        <v>81935.8335</v>
      </c>
      <c r="BL13" s="78">
        <f t="shared" si="33"/>
        <v>3342.36096</v>
      </c>
      <c r="BM13" s="78">
        <f t="shared" si="34"/>
        <v>85278.19446</v>
      </c>
      <c r="BN13" s="78">
        <f t="shared" si="35"/>
        <v>1555.9904133</v>
      </c>
      <c r="BO13" s="77">
        <f t="shared" si="36"/>
        <v>93.015873</v>
      </c>
      <c r="BP13" s="79"/>
      <c r="BQ13" s="78">
        <f t="shared" si="110"/>
        <v>41551.6095</v>
      </c>
      <c r="BR13" s="78">
        <f t="shared" si="37"/>
        <v>1694.9907200000002</v>
      </c>
      <c r="BS13" s="78">
        <f t="shared" si="38"/>
        <v>43246.60022</v>
      </c>
      <c r="BT13" s="78">
        <f t="shared" si="39"/>
        <v>789.0797381</v>
      </c>
      <c r="BU13" s="77">
        <f t="shared" si="40"/>
        <v>47.170561</v>
      </c>
      <c r="BV13" s="79"/>
      <c r="BW13" s="78">
        <f t="shared" si="111"/>
        <v>8069.530499999999</v>
      </c>
      <c r="BX13" s="78">
        <f t="shared" si="41"/>
        <v>329.17568</v>
      </c>
      <c r="BY13" s="78">
        <f t="shared" si="42"/>
        <v>8398.70618</v>
      </c>
      <c r="BZ13" s="78">
        <f t="shared" si="43"/>
        <v>153.2432339</v>
      </c>
      <c r="CA13" s="77">
        <f t="shared" si="44"/>
        <v>9.160759</v>
      </c>
      <c r="CB13" s="79"/>
      <c r="CC13" s="78">
        <f t="shared" si="112"/>
        <v>32063.337000000003</v>
      </c>
      <c r="CD13" s="78">
        <f t="shared" si="45"/>
        <v>1307.9411200000002</v>
      </c>
      <c r="CE13" s="78">
        <f t="shared" si="46"/>
        <v>33371.27812</v>
      </c>
      <c r="CF13" s="78">
        <f t="shared" si="47"/>
        <v>608.8940926</v>
      </c>
      <c r="CG13" s="77">
        <f t="shared" si="48"/>
        <v>36.399206</v>
      </c>
      <c r="CH13" s="79"/>
      <c r="CI13" s="78">
        <f t="shared" si="113"/>
        <v>78200.89649999999</v>
      </c>
      <c r="CJ13" s="78">
        <f t="shared" si="49"/>
        <v>3190.0038399999994</v>
      </c>
      <c r="CK13" s="78">
        <f t="shared" si="50"/>
        <v>81390.90034</v>
      </c>
      <c r="CL13" s="78">
        <f t="shared" si="51"/>
        <v>1485.0626407</v>
      </c>
      <c r="CM13" s="77">
        <f t="shared" si="52"/>
        <v>88.775867</v>
      </c>
      <c r="CN13" s="79"/>
      <c r="CO13" s="78">
        <f t="shared" si="114"/>
        <v>175034.682</v>
      </c>
      <c r="CP13" s="78">
        <f t="shared" si="53"/>
        <v>7140.088319999999</v>
      </c>
      <c r="CQ13" s="78">
        <f t="shared" si="54"/>
        <v>182174.77032</v>
      </c>
      <c r="CR13" s="78">
        <f t="shared" si="55"/>
        <v>3323.9704236</v>
      </c>
      <c r="CS13" s="77">
        <f t="shared" si="56"/>
        <v>198.704316</v>
      </c>
      <c r="CT13" s="79"/>
      <c r="CU13" s="78">
        <f t="shared" si="115"/>
        <v>26481.829499999996</v>
      </c>
      <c r="CV13" s="78">
        <f t="shared" si="57"/>
        <v>1080.25792</v>
      </c>
      <c r="CW13" s="78">
        <f t="shared" si="58"/>
        <v>27562.087419999996</v>
      </c>
      <c r="CX13" s="78">
        <f t="shared" si="59"/>
        <v>502.89929409999996</v>
      </c>
      <c r="CY13" s="77">
        <f t="shared" si="60"/>
        <v>30.062921</v>
      </c>
      <c r="CZ13" s="79"/>
      <c r="DA13" s="78">
        <f t="shared" si="116"/>
        <v>76091.35949999999</v>
      </c>
      <c r="DB13" s="78">
        <f t="shared" si="61"/>
        <v>3103.95072</v>
      </c>
      <c r="DC13" s="78">
        <f t="shared" si="62"/>
        <v>79195.31021999998</v>
      </c>
      <c r="DD13" s="78">
        <f t="shared" si="63"/>
        <v>1445.0017881</v>
      </c>
      <c r="DE13" s="77">
        <f t="shared" si="64"/>
        <v>86.381061</v>
      </c>
      <c r="DF13" s="79"/>
      <c r="DG13" s="78">
        <f t="shared" si="117"/>
        <v>2932.1054999999997</v>
      </c>
      <c r="DH13" s="78">
        <f t="shared" si="65"/>
        <v>119.60768</v>
      </c>
      <c r="DI13" s="78">
        <f t="shared" si="66"/>
        <v>3051.7131799999997</v>
      </c>
      <c r="DJ13" s="78">
        <f t="shared" si="67"/>
        <v>55.6817189</v>
      </c>
      <c r="DK13" s="77">
        <f t="shared" si="68"/>
        <v>3.3286089999999997</v>
      </c>
      <c r="DL13" s="79"/>
      <c r="DM13" s="90">
        <f t="shared" si="118"/>
        <v>160518.699</v>
      </c>
      <c r="DN13" s="90">
        <f t="shared" si="69"/>
        <v>6547.946239999999</v>
      </c>
      <c r="DO13" s="90">
        <f t="shared" si="70"/>
        <v>167066.64523999998</v>
      </c>
      <c r="DP13" s="90">
        <f t="shared" si="71"/>
        <v>3048.3067802</v>
      </c>
      <c r="DQ13" s="94">
        <f t="shared" si="72"/>
        <v>182.22536200000002</v>
      </c>
      <c r="DR13" s="79"/>
      <c r="DS13" s="78">
        <f t="shared" si="119"/>
        <v>25271.487</v>
      </c>
      <c r="DT13" s="78">
        <f t="shared" si="73"/>
        <v>1030.88512</v>
      </c>
      <c r="DU13" s="78">
        <f t="shared" si="74"/>
        <v>26302.37212</v>
      </c>
      <c r="DV13" s="78">
        <f t="shared" si="75"/>
        <v>479.91446260000004</v>
      </c>
      <c r="DW13" s="77">
        <f t="shared" si="76"/>
        <v>28.688906000000003</v>
      </c>
      <c r="DX13" s="79"/>
      <c r="DY13" s="78">
        <f t="shared" si="120"/>
        <v>130048.8345</v>
      </c>
      <c r="DZ13" s="78">
        <f t="shared" si="77"/>
        <v>5305.00672</v>
      </c>
      <c r="EA13" s="78">
        <f t="shared" si="78"/>
        <v>135353.84122</v>
      </c>
      <c r="EB13" s="78">
        <f t="shared" si="79"/>
        <v>2469.6732931</v>
      </c>
      <c r="EC13" s="77">
        <f t="shared" si="80"/>
        <v>147.635111</v>
      </c>
      <c r="ED13" s="79"/>
      <c r="EE13" s="78">
        <f t="shared" si="121"/>
        <v>37127.619000000006</v>
      </c>
      <c r="EF13" s="78">
        <f t="shared" si="81"/>
        <v>1514.52544</v>
      </c>
      <c r="EG13" s="78">
        <f t="shared" si="82"/>
        <v>38642.144440000004</v>
      </c>
      <c r="EH13" s="78">
        <f t="shared" si="83"/>
        <v>705.0665962</v>
      </c>
      <c r="EI13" s="77">
        <f t="shared" si="84"/>
        <v>42.148322</v>
      </c>
      <c r="EJ13" s="79"/>
      <c r="EK13" s="78">
        <f t="shared" si="122"/>
        <v>372.681</v>
      </c>
      <c r="EL13" s="78">
        <f t="shared" si="85"/>
        <v>15.20256</v>
      </c>
      <c r="EM13" s="78">
        <f t="shared" si="86"/>
        <v>387.88356</v>
      </c>
      <c r="EN13" s="78">
        <f t="shared" si="87"/>
        <v>7.0773438</v>
      </c>
      <c r="EO13" s="77">
        <f t="shared" si="88"/>
        <v>0.423078</v>
      </c>
      <c r="EP13" s="79"/>
      <c r="EQ13" s="78">
        <f t="shared" si="123"/>
        <v>691.956</v>
      </c>
      <c r="ER13" s="78">
        <f t="shared" si="89"/>
        <v>28.22656</v>
      </c>
      <c r="ES13" s="78">
        <f t="shared" si="90"/>
        <v>720.18256</v>
      </c>
      <c r="ET13" s="78">
        <f t="shared" si="91"/>
        <v>13.1404888</v>
      </c>
      <c r="EU13" s="77">
        <f t="shared" si="92"/>
        <v>0.785528</v>
      </c>
      <c r="EV13" s="79"/>
      <c r="EW13" s="78">
        <f t="shared" si="124"/>
        <v>125083.81800000001</v>
      </c>
      <c r="EX13" s="78">
        <f t="shared" si="93"/>
        <v>5102.47168</v>
      </c>
      <c r="EY13" s="78">
        <f t="shared" si="94"/>
        <v>130186.28968000002</v>
      </c>
      <c r="EZ13" s="78">
        <f t="shared" si="95"/>
        <v>2375.3858764</v>
      </c>
      <c r="FA13" s="77">
        <f t="shared" si="96"/>
        <v>141.998684</v>
      </c>
      <c r="FB13" s="79"/>
      <c r="FC13" s="78">
        <f t="shared" si="125"/>
        <v>232499.538</v>
      </c>
      <c r="FD13" s="78">
        <f t="shared" si="97"/>
        <v>9484.21888</v>
      </c>
      <c r="FE13" s="78">
        <f t="shared" si="98"/>
        <v>241983.75688</v>
      </c>
      <c r="FF13" s="78">
        <f t="shared" si="99"/>
        <v>4415.2483323999995</v>
      </c>
      <c r="FG13" s="77">
        <f t="shared" si="100"/>
        <v>263.940044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44105</v>
      </c>
      <c r="C14" s="42"/>
      <c r="D14" s="42">
        <v>120700</v>
      </c>
      <c r="E14" s="77">
        <f t="shared" si="0"/>
        <v>120700</v>
      </c>
      <c r="F14" s="77">
        <v>110239</v>
      </c>
      <c r="G14" s="77">
        <v>6590</v>
      </c>
      <c r="H14" s="79"/>
      <c r="I14" s="79">
        <f>'2010C Academic'!I14</f>
        <v>0</v>
      </c>
      <c r="J14" s="79">
        <f>'2010C Academic'!J14</f>
        <v>65519.086129999996</v>
      </c>
      <c r="K14" s="79">
        <f t="shared" si="1"/>
        <v>65519.086129999996</v>
      </c>
      <c r="L14" s="79">
        <f>'2010C Academic'!L14</f>
        <v>59840.5843901</v>
      </c>
      <c r="M14" s="79">
        <f>'2010C Academic'!M14</f>
        <v>3577.2226809999993</v>
      </c>
      <c r="N14" s="79"/>
      <c r="O14" s="78">
        <f t="shared" si="2"/>
        <v>0</v>
      </c>
      <c r="P14" s="80">
        <f t="shared" si="2"/>
        <v>55180.91387</v>
      </c>
      <c r="Q14" s="78">
        <f t="shared" si="3"/>
        <v>55180.91387</v>
      </c>
      <c r="R14" s="78">
        <f t="shared" si="4"/>
        <v>50398.41560990002</v>
      </c>
      <c r="S14" s="78">
        <f t="shared" si="4"/>
        <v>3012.7773190000007</v>
      </c>
      <c r="T14" s="79"/>
      <c r="U14" s="78"/>
      <c r="V14" s="77">
        <f t="shared" si="5"/>
        <v>9864.0868</v>
      </c>
      <c r="W14" s="78">
        <f t="shared" si="6"/>
        <v>9864.0868</v>
      </c>
      <c r="X14" s="78">
        <f t="shared" si="7"/>
        <v>9009.172036</v>
      </c>
      <c r="Y14" s="77">
        <f t="shared" si="8"/>
        <v>538.5611600000001</v>
      </c>
      <c r="Z14" s="79"/>
      <c r="AA14" s="78"/>
      <c r="AB14" s="78">
        <f t="shared" si="9"/>
        <v>7189.447219999999</v>
      </c>
      <c r="AC14" s="78">
        <f t="shared" si="10"/>
        <v>7189.447219999999</v>
      </c>
      <c r="AD14" s="78">
        <f t="shared" si="11"/>
        <v>6566.3419394</v>
      </c>
      <c r="AE14" s="77">
        <f t="shared" si="12"/>
        <v>392.530714</v>
      </c>
      <c r="AF14" s="79"/>
      <c r="AG14" s="78"/>
      <c r="AH14" s="78">
        <f t="shared" si="13"/>
        <v>3811.75428</v>
      </c>
      <c r="AI14" s="78">
        <f t="shared" si="14"/>
        <v>3811.75428</v>
      </c>
      <c r="AJ14" s="78">
        <f t="shared" si="15"/>
        <v>3481.3917156</v>
      </c>
      <c r="AK14" s="77">
        <f t="shared" si="16"/>
        <v>208.114836</v>
      </c>
      <c r="AL14" s="79"/>
      <c r="AM14" s="78"/>
      <c r="AN14" s="78">
        <f t="shared" si="17"/>
        <v>2772.2376</v>
      </c>
      <c r="AO14" s="78">
        <f t="shared" si="18"/>
        <v>2772.2376</v>
      </c>
      <c r="AP14" s="78">
        <f t="shared" si="19"/>
        <v>2531.969352</v>
      </c>
      <c r="AQ14" s="77">
        <f t="shared" si="20"/>
        <v>151.35912</v>
      </c>
      <c r="AR14" s="79"/>
      <c r="AS14" s="78"/>
      <c r="AT14" s="78">
        <f t="shared" si="21"/>
        <v>317.54963</v>
      </c>
      <c r="AU14" s="78">
        <f t="shared" si="22"/>
        <v>317.54963</v>
      </c>
      <c r="AV14" s="78">
        <f t="shared" si="23"/>
        <v>290.02778509999996</v>
      </c>
      <c r="AW14" s="77">
        <f t="shared" si="24"/>
        <v>17.337631</v>
      </c>
      <c r="AX14" s="79"/>
      <c r="AY14" s="78"/>
      <c r="AZ14" s="78">
        <f t="shared" si="25"/>
        <v>5023.884029999999</v>
      </c>
      <c r="BA14" s="78">
        <f t="shared" si="26"/>
        <v>5023.884029999999</v>
      </c>
      <c r="BB14" s="78">
        <f t="shared" si="27"/>
        <v>4588.4668731</v>
      </c>
      <c r="BC14" s="77">
        <f t="shared" si="28"/>
        <v>274.29491099999996</v>
      </c>
      <c r="BD14" s="79"/>
      <c r="BE14" s="78"/>
      <c r="BF14" s="78">
        <f t="shared" si="29"/>
        <v>544.61047</v>
      </c>
      <c r="BG14" s="78">
        <f t="shared" si="30"/>
        <v>544.61047</v>
      </c>
      <c r="BH14" s="78">
        <f t="shared" si="31"/>
        <v>497.4093919</v>
      </c>
      <c r="BI14" s="77">
        <f t="shared" si="32"/>
        <v>29.734738999999998</v>
      </c>
      <c r="BJ14" s="79"/>
      <c r="BK14" s="78"/>
      <c r="BL14" s="78">
        <f t="shared" si="33"/>
        <v>1703.64429</v>
      </c>
      <c r="BM14" s="78">
        <f t="shared" si="34"/>
        <v>1703.64429</v>
      </c>
      <c r="BN14" s="78">
        <f t="shared" si="35"/>
        <v>1555.9904133</v>
      </c>
      <c r="BO14" s="77">
        <f t="shared" si="36"/>
        <v>93.015873</v>
      </c>
      <c r="BP14" s="79"/>
      <c r="BQ14" s="78"/>
      <c r="BR14" s="78">
        <f t="shared" si="37"/>
        <v>863.95853</v>
      </c>
      <c r="BS14" s="78">
        <f t="shared" si="38"/>
        <v>863.95853</v>
      </c>
      <c r="BT14" s="78">
        <f t="shared" si="39"/>
        <v>789.0797381</v>
      </c>
      <c r="BU14" s="77">
        <f t="shared" si="40"/>
        <v>47.170561</v>
      </c>
      <c r="BV14" s="79"/>
      <c r="BW14" s="78"/>
      <c r="BX14" s="78">
        <f t="shared" si="41"/>
        <v>167.78507</v>
      </c>
      <c r="BY14" s="78">
        <f t="shared" si="42"/>
        <v>167.78507</v>
      </c>
      <c r="BZ14" s="78">
        <f t="shared" si="43"/>
        <v>153.2432339</v>
      </c>
      <c r="CA14" s="77">
        <f t="shared" si="44"/>
        <v>9.160759</v>
      </c>
      <c r="CB14" s="79"/>
      <c r="CC14" s="78"/>
      <c r="CD14" s="78">
        <f t="shared" si="45"/>
        <v>666.67438</v>
      </c>
      <c r="CE14" s="78">
        <f t="shared" si="46"/>
        <v>666.67438</v>
      </c>
      <c r="CF14" s="78">
        <f t="shared" si="47"/>
        <v>608.8940926</v>
      </c>
      <c r="CG14" s="77">
        <f t="shared" si="48"/>
        <v>36.399206</v>
      </c>
      <c r="CH14" s="79"/>
      <c r="CI14" s="78"/>
      <c r="CJ14" s="78">
        <f t="shared" si="49"/>
        <v>1625.9859099999999</v>
      </c>
      <c r="CK14" s="78">
        <f t="shared" si="50"/>
        <v>1625.9859099999999</v>
      </c>
      <c r="CL14" s="78">
        <f t="shared" si="51"/>
        <v>1485.0626407</v>
      </c>
      <c r="CM14" s="77">
        <f t="shared" si="52"/>
        <v>88.775867</v>
      </c>
      <c r="CN14" s="79"/>
      <c r="CO14" s="78"/>
      <c r="CP14" s="78">
        <f t="shared" si="53"/>
        <v>3639.39468</v>
      </c>
      <c r="CQ14" s="78">
        <f t="shared" si="54"/>
        <v>3639.39468</v>
      </c>
      <c r="CR14" s="78">
        <f t="shared" si="55"/>
        <v>3323.9704236</v>
      </c>
      <c r="CS14" s="77">
        <f t="shared" si="56"/>
        <v>198.704316</v>
      </c>
      <c r="CT14" s="79"/>
      <c r="CU14" s="78"/>
      <c r="CV14" s="78">
        <f t="shared" si="57"/>
        <v>550.6213300000001</v>
      </c>
      <c r="CW14" s="78">
        <f t="shared" si="58"/>
        <v>550.6213300000001</v>
      </c>
      <c r="CX14" s="78">
        <f t="shared" si="59"/>
        <v>502.89929409999996</v>
      </c>
      <c r="CY14" s="77">
        <f t="shared" si="60"/>
        <v>30.062921</v>
      </c>
      <c r="CZ14" s="79"/>
      <c r="DA14" s="78"/>
      <c r="DB14" s="78">
        <f t="shared" si="61"/>
        <v>1582.1235299999998</v>
      </c>
      <c r="DC14" s="78">
        <f t="shared" si="62"/>
        <v>1582.1235299999998</v>
      </c>
      <c r="DD14" s="78">
        <f t="shared" si="63"/>
        <v>1445.0017881</v>
      </c>
      <c r="DE14" s="77">
        <f t="shared" si="64"/>
        <v>86.381061</v>
      </c>
      <c r="DF14" s="79"/>
      <c r="DG14" s="78"/>
      <c r="DH14" s="78">
        <f t="shared" si="65"/>
        <v>60.96557</v>
      </c>
      <c r="DI14" s="78">
        <f t="shared" si="66"/>
        <v>60.96557</v>
      </c>
      <c r="DJ14" s="78">
        <f t="shared" si="67"/>
        <v>55.6817189</v>
      </c>
      <c r="DK14" s="77">
        <f t="shared" si="68"/>
        <v>3.3286089999999997</v>
      </c>
      <c r="DL14" s="79"/>
      <c r="DM14" s="90"/>
      <c r="DN14" s="90">
        <f t="shared" si="69"/>
        <v>3337.5722600000004</v>
      </c>
      <c r="DO14" s="90">
        <f t="shared" si="70"/>
        <v>3337.5722600000004</v>
      </c>
      <c r="DP14" s="90">
        <f t="shared" si="71"/>
        <v>3048.3067802</v>
      </c>
      <c r="DQ14" s="94">
        <f t="shared" si="72"/>
        <v>182.22536200000002</v>
      </c>
      <c r="DR14" s="79"/>
      <c r="DS14" s="78"/>
      <c r="DT14" s="78">
        <f t="shared" si="73"/>
        <v>525.45538</v>
      </c>
      <c r="DU14" s="78">
        <f t="shared" si="74"/>
        <v>525.45538</v>
      </c>
      <c r="DV14" s="78">
        <f t="shared" si="75"/>
        <v>479.91446260000004</v>
      </c>
      <c r="DW14" s="77">
        <f t="shared" si="76"/>
        <v>28.688906000000003</v>
      </c>
      <c r="DX14" s="79"/>
      <c r="DY14" s="78"/>
      <c r="DZ14" s="78">
        <f t="shared" si="77"/>
        <v>2704.03003</v>
      </c>
      <c r="EA14" s="78">
        <f t="shared" si="78"/>
        <v>2704.03003</v>
      </c>
      <c r="EB14" s="78">
        <f t="shared" si="79"/>
        <v>2469.6732931</v>
      </c>
      <c r="EC14" s="77">
        <f t="shared" si="80"/>
        <v>147.635111</v>
      </c>
      <c r="ED14" s="79"/>
      <c r="EE14" s="78"/>
      <c r="EF14" s="78">
        <f t="shared" si="81"/>
        <v>771.9730600000001</v>
      </c>
      <c r="EG14" s="78">
        <f t="shared" si="82"/>
        <v>771.9730600000001</v>
      </c>
      <c r="EH14" s="78">
        <f t="shared" si="83"/>
        <v>705.0665962</v>
      </c>
      <c r="EI14" s="77">
        <f t="shared" si="84"/>
        <v>42.148322</v>
      </c>
      <c r="EJ14" s="79"/>
      <c r="EK14" s="78"/>
      <c r="EL14" s="78">
        <f t="shared" si="85"/>
        <v>7.74894</v>
      </c>
      <c r="EM14" s="78">
        <f t="shared" si="86"/>
        <v>7.74894</v>
      </c>
      <c r="EN14" s="78">
        <f t="shared" si="87"/>
        <v>7.0773438</v>
      </c>
      <c r="EO14" s="77">
        <f t="shared" si="88"/>
        <v>0.423078</v>
      </c>
      <c r="EP14" s="79"/>
      <c r="EQ14" s="78"/>
      <c r="ER14" s="78">
        <f t="shared" si="89"/>
        <v>14.38744</v>
      </c>
      <c r="ES14" s="78">
        <f t="shared" si="90"/>
        <v>14.38744</v>
      </c>
      <c r="ET14" s="78">
        <f t="shared" si="91"/>
        <v>13.1404888</v>
      </c>
      <c r="EU14" s="77">
        <f t="shared" si="92"/>
        <v>0.785528</v>
      </c>
      <c r="EV14" s="79"/>
      <c r="EW14" s="78"/>
      <c r="EX14" s="78">
        <f t="shared" si="93"/>
        <v>2600.79532</v>
      </c>
      <c r="EY14" s="78">
        <f t="shared" si="94"/>
        <v>2600.79532</v>
      </c>
      <c r="EZ14" s="78">
        <f t="shared" si="95"/>
        <v>2375.3858764</v>
      </c>
      <c r="FA14" s="77">
        <f t="shared" si="96"/>
        <v>141.998684</v>
      </c>
      <c r="FB14" s="79"/>
      <c r="FC14" s="78"/>
      <c r="FD14" s="78">
        <f t="shared" si="97"/>
        <v>4834.228120000001</v>
      </c>
      <c r="FE14" s="78">
        <f t="shared" si="98"/>
        <v>4834.228120000001</v>
      </c>
      <c r="FF14" s="78">
        <f t="shared" si="99"/>
        <v>4415.2483323999995</v>
      </c>
      <c r="FG14" s="77">
        <f t="shared" si="100"/>
        <v>263.940044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44287</v>
      </c>
      <c r="C15" s="42">
        <v>6035000</v>
      </c>
      <c r="D15" s="42">
        <v>120700</v>
      </c>
      <c r="E15" s="77">
        <f t="shared" si="0"/>
        <v>6155700</v>
      </c>
      <c r="F15" s="77">
        <v>110238</v>
      </c>
      <c r="G15" s="77">
        <v>6587</v>
      </c>
      <c r="H15" s="79"/>
      <c r="I15" s="79">
        <f>'2010C Academic'!I15</f>
        <v>3275954.3065000004</v>
      </c>
      <c r="J15" s="79">
        <f>'2010C Academic'!J15</f>
        <v>65519.086129999996</v>
      </c>
      <c r="K15" s="79">
        <f t="shared" si="1"/>
        <v>3341473.3926300006</v>
      </c>
      <c r="L15" s="79">
        <f>'2010C Academic'!L15</f>
        <v>59840.04156420001</v>
      </c>
      <c r="M15" s="79">
        <f>'2010C Academic'!M15</f>
        <v>3575.5942032999997</v>
      </c>
      <c r="N15" s="79"/>
      <c r="O15" s="78">
        <f t="shared" si="2"/>
        <v>2759045.6934999996</v>
      </c>
      <c r="P15" s="80">
        <f t="shared" si="2"/>
        <v>55180.91387</v>
      </c>
      <c r="Q15" s="78">
        <f t="shared" si="3"/>
        <v>2814226.6073699994</v>
      </c>
      <c r="R15" s="78">
        <f t="shared" si="4"/>
        <v>50397.9584358</v>
      </c>
      <c r="S15" s="78">
        <f t="shared" si="4"/>
        <v>3011.4057966999994</v>
      </c>
      <c r="T15" s="79"/>
      <c r="U15" s="78">
        <f t="shared" si="102"/>
        <v>493204.34</v>
      </c>
      <c r="V15" s="77">
        <f t="shared" si="5"/>
        <v>9864.0868</v>
      </c>
      <c r="W15" s="78">
        <f t="shared" si="6"/>
        <v>503068.4268</v>
      </c>
      <c r="X15" s="78">
        <f t="shared" si="7"/>
        <v>9009.090312</v>
      </c>
      <c r="Y15" s="77">
        <f t="shared" si="8"/>
        <v>538.3159880000001</v>
      </c>
      <c r="Z15" s="79"/>
      <c r="AA15" s="78">
        <f t="shared" si="103"/>
        <v>359472.36100000003</v>
      </c>
      <c r="AB15" s="78">
        <f t="shared" si="9"/>
        <v>7189.447219999999</v>
      </c>
      <c r="AC15" s="78">
        <f t="shared" si="10"/>
        <v>366661.80822</v>
      </c>
      <c r="AD15" s="78">
        <f t="shared" si="11"/>
        <v>6566.2823748</v>
      </c>
      <c r="AE15" s="77">
        <f t="shared" si="12"/>
        <v>392.3520202</v>
      </c>
      <c r="AF15" s="79"/>
      <c r="AG15" s="78">
        <f t="shared" si="104"/>
        <v>190587.71400000004</v>
      </c>
      <c r="AH15" s="78">
        <f t="shared" si="13"/>
        <v>3811.75428</v>
      </c>
      <c r="AI15" s="78">
        <f t="shared" si="14"/>
        <v>194399.46828000003</v>
      </c>
      <c r="AJ15" s="78">
        <f t="shared" si="15"/>
        <v>3481.3601352</v>
      </c>
      <c r="AK15" s="77">
        <f t="shared" si="16"/>
        <v>208.0200948</v>
      </c>
      <c r="AL15" s="79"/>
      <c r="AM15" s="78">
        <f t="shared" si="105"/>
        <v>138611.88</v>
      </c>
      <c r="AN15" s="78">
        <f t="shared" si="17"/>
        <v>2772.2376</v>
      </c>
      <c r="AO15" s="78">
        <f t="shared" si="18"/>
        <v>141384.1176</v>
      </c>
      <c r="AP15" s="78">
        <f t="shared" si="19"/>
        <v>2531.946384</v>
      </c>
      <c r="AQ15" s="77">
        <f t="shared" si="20"/>
        <v>151.290216</v>
      </c>
      <c r="AR15" s="79"/>
      <c r="AS15" s="78">
        <f t="shared" si="106"/>
        <v>15877.4815</v>
      </c>
      <c r="AT15" s="78">
        <f t="shared" si="21"/>
        <v>317.54963</v>
      </c>
      <c r="AU15" s="78">
        <f t="shared" si="22"/>
        <v>16195.03113</v>
      </c>
      <c r="AV15" s="78">
        <f t="shared" si="23"/>
        <v>290.0251542</v>
      </c>
      <c r="AW15" s="77">
        <f t="shared" si="24"/>
        <v>17.3297383</v>
      </c>
      <c r="AX15" s="79"/>
      <c r="AY15" s="78">
        <f t="shared" si="107"/>
        <v>251194.2015</v>
      </c>
      <c r="AZ15" s="78">
        <f t="shared" si="25"/>
        <v>5023.884029999999</v>
      </c>
      <c r="BA15" s="78">
        <f t="shared" si="26"/>
        <v>256218.08552999998</v>
      </c>
      <c r="BB15" s="78">
        <f t="shared" si="27"/>
        <v>4588.4252502</v>
      </c>
      <c r="BC15" s="77">
        <f t="shared" si="28"/>
        <v>274.1700423</v>
      </c>
      <c r="BD15" s="79"/>
      <c r="BE15" s="78">
        <f t="shared" si="108"/>
        <v>27230.5235</v>
      </c>
      <c r="BF15" s="78">
        <f t="shared" si="29"/>
        <v>544.61047</v>
      </c>
      <c r="BG15" s="78">
        <f t="shared" si="30"/>
        <v>27775.13397</v>
      </c>
      <c r="BH15" s="78">
        <f t="shared" si="31"/>
        <v>497.4048798</v>
      </c>
      <c r="BI15" s="77">
        <f t="shared" si="32"/>
        <v>29.7212027</v>
      </c>
      <c r="BJ15" s="79"/>
      <c r="BK15" s="78">
        <f t="shared" si="109"/>
        <v>85182.21449999999</v>
      </c>
      <c r="BL15" s="78">
        <f t="shared" si="33"/>
        <v>1703.64429</v>
      </c>
      <c r="BM15" s="78">
        <f t="shared" si="34"/>
        <v>86885.85878999998</v>
      </c>
      <c r="BN15" s="78">
        <f t="shared" si="35"/>
        <v>1555.9762986</v>
      </c>
      <c r="BO15" s="77">
        <f t="shared" si="36"/>
        <v>92.9735289</v>
      </c>
      <c r="BP15" s="79"/>
      <c r="BQ15" s="78">
        <f t="shared" si="110"/>
        <v>43197.9265</v>
      </c>
      <c r="BR15" s="78">
        <f t="shared" si="37"/>
        <v>863.95853</v>
      </c>
      <c r="BS15" s="78">
        <f t="shared" si="38"/>
        <v>44061.885030000005</v>
      </c>
      <c r="BT15" s="78">
        <f t="shared" si="39"/>
        <v>789.0725802</v>
      </c>
      <c r="BU15" s="77">
        <f t="shared" si="40"/>
        <v>47.1490873</v>
      </c>
      <c r="BV15" s="79"/>
      <c r="BW15" s="78">
        <f t="shared" si="111"/>
        <v>8389.253499999999</v>
      </c>
      <c r="BX15" s="78">
        <f t="shared" si="41"/>
        <v>167.78507</v>
      </c>
      <c r="BY15" s="78">
        <f t="shared" si="42"/>
        <v>8557.038569999999</v>
      </c>
      <c r="BZ15" s="78">
        <f t="shared" si="43"/>
        <v>153.2418438</v>
      </c>
      <c r="CA15" s="77">
        <f t="shared" si="44"/>
        <v>9.1565887</v>
      </c>
      <c r="CB15" s="79"/>
      <c r="CC15" s="78">
        <f t="shared" si="112"/>
        <v>33333.719000000005</v>
      </c>
      <c r="CD15" s="78">
        <f t="shared" si="45"/>
        <v>666.67438</v>
      </c>
      <c r="CE15" s="78">
        <f t="shared" si="46"/>
        <v>34000.39338</v>
      </c>
      <c r="CF15" s="78">
        <f t="shared" si="47"/>
        <v>608.8885692</v>
      </c>
      <c r="CG15" s="77">
        <f t="shared" si="48"/>
        <v>36.3826358</v>
      </c>
      <c r="CH15" s="79"/>
      <c r="CI15" s="78">
        <f t="shared" si="113"/>
        <v>81299.2955</v>
      </c>
      <c r="CJ15" s="78">
        <f t="shared" si="49"/>
        <v>1625.9859099999999</v>
      </c>
      <c r="CK15" s="78">
        <f t="shared" si="50"/>
        <v>82925.28141</v>
      </c>
      <c r="CL15" s="78">
        <f t="shared" si="51"/>
        <v>1485.0491694</v>
      </c>
      <c r="CM15" s="77">
        <f t="shared" si="52"/>
        <v>88.7354531</v>
      </c>
      <c r="CN15" s="79"/>
      <c r="CO15" s="78">
        <f t="shared" si="114"/>
        <v>181969.734</v>
      </c>
      <c r="CP15" s="78">
        <f t="shared" si="53"/>
        <v>3639.39468</v>
      </c>
      <c r="CQ15" s="78">
        <f t="shared" si="54"/>
        <v>185609.12868</v>
      </c>
      <c r="CR15" s="78">
        <f t="shared" si="55"/>
        <v>3323.9402712</v>
      </c>
      <c r="CS15" s="77">
        <f t="shared" si="56"/>
        <v>198.6138588</v>
      </c>
      <c r="CT15" s="79"/>
      <c r="CU15" s="78">
        <f t="shared" si="115"/>
        <v>27531.0665</v>
      </c>
      <c r="CV15" s="78">
        <f t="shared" si="57"/>
        <v>550.6213300000001</v>
      </c>
      <c r="CW15" s="78">
        <f t="shared" si="58"/>
        <v>28081.687830000003</v>
      </c>
      <c r="CX15" s="78">
        <f t="shared" si="59"/>
        <v>502.89473219999996</v>
      </c>
      <c r="CY15" s="77">
        <f t="shared" si="60"/>
        <v>30.0492353</v>
      </c>
      <c r="CZ15" s="79"/>
      <c r="DA15" s="78">
        <f t="shared" si="116"/>
        <v>79106.1765</v>
      </c>
      <c r="DB15" s="78">
        <f t="shared" si="61"/>
        <v>1582.1235299999998</v>
      </c>
      <c r="DC15" s="78">
        <f t="shared" si="62"/>
        <v>80688.30003</v>
      </c>
      <c r="DD15" s="78">
        <f t="shared" si="63"/>
        <v>1444.9886802</v>
      </c>
      <c r="DE15" s="77">
        <f t="shared" si="64"/>
        <v>86.3417373</v>
      </c>
      <c r="DF15" s="79"/>
      <c r="DG15" s="78">
        <f t="shared" si="117"/>
        <v>3048.2785</v>
      </c>
      <c r="DH15" s="78">
        <f t="shared" si="65"/>
        <v>60.96557</v>
      </c>
      <c r="DI15" s="78">
        <f t="shared" si="66"/>
        <v>3109.2440699999997</v>
      </c>
      <c r="DJ15" s="78">
        <f t="shared" si="67"/>
        <v>55.681213799999995</v>
      </c>
      <c r="DK15" s="77">
        <f t="shared" si="68"/>
        <v>3.3270937</v>
      </c>
      <c r="DL15" s="79"/>
      <c r="DM15" s="90">
        <f t="shared" si="118"/>
        <v>166878.613</v>
      </c>
      <c r="DN15" s="90">
        <f t="shared" si="69"/>
        <v>3337.5722600000004</v>
      </c>
      <c r="DO15" s="90">
        <f t="shared" si="70"/>
        <v>170216.18526</v>
      </c>
      <c r="DP15" s="90">
        <f t="shared" si="71"/>
        <v>3048.2791284</v>
      </c>
      <c r="DQ15" s="94">
        <f t="shared" si="72"/>
        <v>182.14240660000002</v>
      </c>
      <c r="DR15" s="79"/>
      <c r="DS15" s="78">
        <f t="shared" si="119"/>
        <v>26272.769</v>
      </c>
      <c r="DT15" s="78">
        <f t="shared" si="73"/>
        <v>525.45538</v>
      </c>
      <c r="DU15" s="78">
        <f t="shared" si="74"/>
        <v>26798.22438</v>
      </c>
      <c r="DV15" s="78">
        <f t="shared" si="75"/>
        <v>479.9101092</v>
      </c>
      <c r="DW15" s="77">
        <f t="shared" si="76"/>
        <v>28.6758458</v>
      </c>
      <c r="DX15" s="79"/>
      <c r="DY15" s="78">
        <f t="shared" si="120"/>
        <v>135201.50149999998</v>
      </c>
      <c r="DZ15" s="78">
        <f t="shared" si="77"/>
        <v>2704.03003</v>
      </c>
      <c r="EA15" s="78">
        <f t="shared" si="78"/>
        <v>137905.53152999998</v>
      </c>
      <c r="EB15" s="78">
        <f t="shared" si="79"/>
        <v>2469.6508902</v>
      </c>
      <c r="EC15" s="77">
        <f t="shared" si="80"/>
        <v>147.5679023</v>
      </c>
      <c r="ED15" s="79"/>
      <c r="EE15" s="78">
        <f t="shared" si="121"/>
        <v>38598.653000000006</v>
      </c>
      <c r="EF15" s="78">
        <f t="shared" si="81"/>
        <v>771.9730600000001</v>
      </c>
      <c r="EG15" s="78">
        <f t="shared" si="82"/>
        <v>39370.62606</v>
      </c>
      <c r="EH15" s="78">
        <f t="shared" si="83"/>
        <v>705.0602004</v>
      </c>
      <c r="EI15" s="77">
        <f t="shared" si="84"/>
        <v>42.1291346</v>
      </c>
      <c r="EJ15" s="79"/>
      <c r="EK15" s="78">
        <f t="shared" si="122"/>
        <v>387.44700000000006</v>
      </c>
      <c r="EL15" s="78">
        <f t="shared" si="85"/>
        <v>7.74894</v>
      </c>
      <c r="EM15" s="78">
        <f t="shared" si="86"/>
        <v>395.19594000000006</v>
      </c>
      <c r="EN15" s="78">
        <f t="shared" si="87"/>
        <v>7.0772796</v>
      </c>
      <c r="EO15" s="77">
        <f t="shared" si="88"/>
        <v>0.4228854</v>
      </c>
      <c r="EP15" s="79"/>
      <c r="EQ15" s="78">
        <f t="shared" si="123"/>
        <v>719.372</v>
      </c>
      <c r="ER15" s="78">
        <f t="shared" si="89"/>
        <v>14.38744</v>
      </c>
      <c r="ES15" s="78">
        <f t="shared" si="90"/>
        <v>733.7594399999999</v>
      </c>
      <c r="ET15" s="78">
        <f t="shared" si="91"/>
        <v>13.1403696</v>
      </c>
      <c r="EU15" s="77">
        <f t="shared" si="92"/>
        <v>0.7851703999999999</v>
      </c>
      <c r="EV15" s="79"/>
      <c r="EW15" s="78">
        <f t="shared" si="124"/>
        <v>130039.766</v>
      </c>
      <c r="EX15" s="78">
        <f t="shared" si="93"/>
        <v>2600.79532</v>
      </c>
      <c r="EY15" s="78">
        <f t="shared" si="94"/>
        <v>132640.56132</v>
      </c>
      <c r="EZ15" s="78">
        <f t="shared" si="95"/>
        <v>2375.3643288</v>
      </c>
      <c r="FA15" s="77">
        <f t="shared" si="96"/>
        <v>141.9340412</v>
      </c>
      <c r="FB15" s="79"/>
      <c r="FC15" s="78">
        <f t="shared" si="125"/>
        <v>241711.40600000002</v>
      </c>
      <c r="FD15" s="78">
        <f t="shared" si="97"/>
        <v>4834.228120000001</v>
      </c>
      <c r="FE15" s="78">
        <f t="shared" si="98"/>
        <v>246545.63412000003</v>
      </c>
      <c r="FF15" s="78">
        <f t="shared" si="99"/>
        <v>4415.2082808</v>
      </c>
      <c r="FG15" s="77">
        <f t="shared" si="100"/>
        <v>263.8198892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 hidden="1">
      <c r="A16" s="51">
        <v>44470</v>
      </c>
      <c r="C16" s="77"/>
      <c r="D16" s="77"/>
      <c r="E16" s="77">
        <f t="shared" si="0"/>
        <v>0</v>
      </c>
      <c r="F16" s="77"/>
      <c r="G16" s="77"/>
      <c r="H16" s="79"/>
      <c r="I16" s="79">
        <f>'2010C Academic'!I16</f>
        <v>0</v>
      </c>
      <c r="J16" s="79">
        <f>'2010C Academic'!J16</f>
        <v>0</v>
      </c>
      <c r="K16" s="79">
        <f t="shared" si="1"/>
        <v>0</v>
      </c>
      <c r="L16" s="79">
        <f>'2010C Academic'!L16</f>
        <v>0</v>
      </c>
      <c r="M16" s="79">
        <f>'2010C Academic'!M16</f>
        <v>0</v>
      </c>
      <c r="N16" s="79"/>
      <c r="O16" s="78">
        <f t="shared" si="2"/>
        <v>0</v>
      </c>
      <c r="P16" s="80">
        <f t="shared" si="2"/>
        <v>0</v>
      </c>
      <c r="Q16" s="78">
        <f t="shared" si="3"/>
        <v>0</v>
      </c>
      <c r="R16" s="78">
        <f t="shared" si="4"/>
        <v>0</v>
      </c>
      <c r="S16" s="78">
        <f t="shared" si="4"/>
        <v>0</v>
      </c>
      <c r="T16" s="79"/>
      <c r="U16" s="78"/>
      <c r="V16" s="77">
        <f t="shared" si="5"/>
        <v>0</v>
      </c>
      <c r="W16" s="78">
        <f t="shared" si="6"/>
        <v>0</v>
      </c>
      <c r="X16" s="78">
        <f t="shared" si="7"/>
        <v>0</v>
      </c>
      <c r="Y16" s="77">
        <f t="shared" si="8"/>
        <v>0</v>
      </c>
      <c r="Z16" s="79"/>
      <c r="AA16" s="78"/>
      <c r="AB16" s="78">
        <f t="shared" si="9"/>
        <v>0</v>
      </c>
      <c r="AC16" s="78">
        <f t="shared" si="10"/>
        <v>0</v>
      </c>
      <c r="AD16" s="78">
        <f t="shared" si="11"/>
        <v>0</v>
      </c>
      <c r="AE16" s="77">
        <f t="shared" si="12"/>
        <v>0</v>
      </c>
      <c r="AF16" s="79"/>
      <c r="AG16" s="78"/>
      <c r="AH16" s="78">
        <f t="shared" si="13"/>
        <v>0</v>
      </c>
      <c r="AI16" s="78">
        <f t="shared" si="14"/>
        <v>0</v>
      </c>
      <c r="AJ16" s="78">
        <f t="shared" si="15"/>
        <v>0</v>
      </c>
      <c r="AK16" s="77">
        <f t="shared" si="16"/>
        <v>0</v>
      </c>
      <c r="AL16" s="79"/>
      <c r="AM16" s="78"/>
      <c r="AN16" s="78">
        <f t="shared" si="17"/>
        <v>0</v>
      </c>
      <c r="AO16" s="78">
        <f t="shared" si="18"/>
        <v>0</v>
      </c>
      <c r="AP16" s="78">
        <f t="shared" si="19"/>
        <v>0</v>
      </c>
      <c r="AQ16" s="77">
        <f t="shared" si="20"/>
        <v>0</v>
      </c>
      <c r="AR16" s="79"/>
      <c r="AS16" s="78"/>
      <c r="AT16" s="78">
        <f t="shared" si="21"/>
        <v>0</v>
      </c>
      <c r="AU16" s="78">
        <f t="shared" si="22"/>
        <v>0</v>
      </c>
      <c r="AV16" s="78">
        <f t="shared" si="23"/>
        <v>0</v>
      </c>
      <c r="AW16" s="77">
        <f t="shared" si="24"/>
        <v>0</v>
      </c>
      <c r="AX16" s="79"/>
      <c r="AY16" s="78"/>
      <c r="AZ16" s="78">
        <f t="shared" si="25"/>
        <v>0</v>
      </c>
      <c r="BA16" s="78">
        <f t="shared" si="26"/>
        <v>0</v>
      </c>
      <c r="BB16" s="78">
        <f t="shared" si="27"/>
        <v>0</v>
      </c>
      <c r="BC16" s="77">
        <f t="shared" si="28"/>
        <v>0</v>
      </c>
      <c r="BD16" s="79"/>
      <c r="BE16" s="78"/>
      <c r="BF16" s="78">
        <f t="shared" si="29"/>
        <v>0</v>
      </c>
      <c r="BG16" s="78">
        <f t="shared" si="30"/>
        <v>0</v>
      </c>
      <c r="BH16" s="78">
        <f t="shared" si="31"/>
        <v>0</v>
      </c>
      <c r="BI16" s="77">
        <f t="shared" si="32"/>
        <v>0</v>
      </c>
      <c r="BJ16" s="79"/>
      <c r="BK16" s="78"/>
      <c r="BL16" s="78">
        <f t="shared" si="33"/>
        <v>0</v>
      </c>
      <c r="BM16" s="78">
        <f t="shared" si="34"/>
        <v>0</v>
      </c>
      <c r="BN16" s="78">
        <f t="shared" si="35"/>
        <v>0</v>
      </c>
      <c r="BO16" s="77">
        <f t="shared" si="36"/>
        <v>0</v>
      </c>
      <c r="BP16" s="79"/>
      <c r="BQ16" s="78"/>
      <c r="BR16" s="78">
        <f t="shared" si="37"/>
        <v>0</v>
      </c>
      <c r="BS16" s="78">
        <f t="shared" si="38"/>
        <v>0</v>
      </c>
      <c r="BT16" s="78">
        <f t="shared" si="39"/>
        <v>0</v>
      </c>
      <c r="BU16" s="77">
        <f t="shared" si="40"/>
        <v>0</v>
      </c>
      <c r="BV16" s="79"/>
      <c r="BW16" s="78"/>
      <c r="BX16" s="78">
        <f t="shared" si="41"/>
        <v>0</v>
      </c>
      <c r="BY16" s="78">
        <f t="shared" si="42"/>
        <v>0</v>
      </c>
      <c r="BZ16" s="78">
        <f t="shared" si="43"/>
        <v>0</v>
      </c>
      <c r="CA16" s="77">
        <f t="shared" si="44"/>
        <v>0</v>
      </c>
      <c r="CB16" s="79"/>
      <c r="CC16" s="78"/>
      <c r="CD16" s="78">
        <f t="shared" si="45"/>
        <v>0</v>
      </c>
      <c r="CE16" s="78">
        <f t="shared" si="46"/>
        <v>0</v>
      </c>
      <c r="CF16" s="78">
        <f t="shared" si="47"/>
        <v>0</v>
      </c>
      <c r="CG16" s="77">
        <f t="shared" si="48"/>
        <v>0</v>
      </c>
      <c r="CH16" s="79"/>
      <c r="CI16" s="78"/>
      <c r="CJ16" s="78">
        <f t="shared" si="49"/>
        <v>0</v>
      </c>
      <c r="CK16" s="78">
        <f t="shared" si="50"/>
        <v>0</v>
      </c>
      <c r="CL16" s="78">
        <f t="shared" si="51"/>
        <v>0</v>
      </c>
      <c r="CM16" s="77">
        <f t="shared" si="52"/>
        <v>0</v>
      </c>
      <c r="CN16" s="79"/>
      <c r="CO16" s="78"/>
      <c r="CP16" s="78">
        <f t="shared" si="53"/>
        <v>0</v>
      </c>
      <c r="CQ16" s="78">
        <f t="shared" si="54"/>
        <v>0</v>
      </c>
      <c r="CR16" s="78">
        <f t="shared" si="55"/>
        <v>0</v>
      </c>
      <c r="CS16" s="77">
        <f t="shared" si="56"/>
        <v>0</v>
      </c>
      <c r="CT16" s="79"/>
      <c r="CU16" s="78"/>
      <c r="CV16" s="78">
        <f t="shared" si="57"/>
        <v>0</v>
      </c>
      <c r="CW16" s="78">
        <f t="shared" si="58"/>
        <v>0</v>
      </c>
      <c r="CX16" s="78">
        <f t="shared" si="59"/>
        <v>0</v>
      </c>
      <c r="CY16" s="77">
        <f t="shared" si="60"/>
        <v>0</v>
      </c>
      <c r="CZ16" s="79"/>
      <c r="DA16" s="78"/>
      <c r="DB16" s="78">
        <f t="shared" si="61"/>
        <v>0</v>
      </c>
      <c r="DC16" s="78">
        <f t="shared" si="62"/>
        <v>0</v>
      </c>
      <c r="DD16" s="78">
        <f t="shared" si="63"/>
        <v>0</v>
      </c>
      <c r="DE16" s="77">
        <f t="shared" si="64"/>
        <v>0</v>
      </c>
      <c r="DF16" s="79"/>
      <c r="DG16" s="78"/>
      <c r="DH16" s="78">
        <f t="shared" si="65"/>
        <v>0</v>
      </c>
      <c r="DI16" s="78">
        <f t="shared" si="66"/>
        <v>0</v>
      </c>
      <c r="DJ16" s="78">
        <f t="shared" si="67"/>
        <v>0</v>
      </c>
      <c r="DK16" s="77">
        <f t="shared" si="68"/>
        <v>0</v>
      </c>
      <c r="DL16" s="79"/>
      <c r="DM16" s="90"/>
      <c r="DN16" s="90">
        <f t="shared" si="69"/>
        <v>0</v>
      </c>
      <c r="DO16" s="90">
        <f t="shared" si="70"/>
        <v>0</v>
      </c>
      <c r="DP16" s="90">
        <f t="shared" si="71"/>
        <v>0</v>
      </c>
      <c r="DQ16" s="94">
        <f t="shared" si="72"/>
        <v>0</v>
      </c>
      <c r="DR16" s="79"/>
      <c r="DS16" s="78"/>
      <c r="DT16" s="78">
        <f t="shared" si="73"/>
        <v>0</v>
      </c>
      <c r="DU16" s="78">
        <f t="shared" si="74"/>
        <v>0</v>
      </c>
      <c r="DV16" s="78">
        <f t="shared" si="75"/>
        <v>0</v>
      </c>
      <c r="DW16" s="77">
        <f t="shared" si="76"/>
        <v>0</v>
      </c>
      <c r="DX16" s="79"/>
      <c r="DY16" s="78"/>
      <c r="DZ16" s="78">
        <f t="shared" si="77"/>
        <v>0</v>
      </c>
      <c r="EA16" s="78">
        <f t="shared" si="78"/>
        <v>0</v>
      </c>
      <c r="EB16" s="78">
        <f t="shared" si="79"/>
        <v>0</v>
      </c>
      <c r="EC16" s="77">
        <f t="shared" si="80"/>
        <v>0</v>
      </c>
      <c r="ED16" s="79"/>
      <c r="EE16" s="78"/>
      <c r="EF16" s="78">
        <f t="shared" si="81"/>
        <v>0</v>
      </c>
      <c r="EG16" s="78">
        <f t="shared" si="82"/>
        <v>0</v>
      </c>
      <c r="EH16" s="78">
        <f t="shared" si="83"/>
        <v>0</v>
      </c>
      <c r="EI16" s="77">
        <f t="shared" si="84"/>
        <v>0</v>
      </c>
      <c r="EJ16" s="79"/>
      <c r="EK16" s="78"/>
      <c r="EL16" s="78">
        <f t="shared" si="85"/>
        <v>0</v>
      </c>
      <c r="EM16" s="78">
        <f t="shared" si="86"/>
        <v>0</v>
      </c>
      <c r="EN16" s="78">
        <f t="shared" si="87"/>
        <v>0</v>
      </c>
      <c r="EO16" s="77">
        <f t="shared" si="88"/>
        <v>0</v>
      </c>
      <c r="EP16" s="79"/>
      <c r="EQ16" s="78"/>
      <c r="ER16" s="78">
        <f t="shared" si="89"/>
        <v>0</v>
      </c>
      <c r="ES16" s="78">
        <f t="shared" si="90"/>
        <v>0</v>
      </c>
      <c r="ET16" s="78">
        <f t="shared" si="91"/>
        <v>0</v>
      </c>
      <c r="EU16" s="77">
        <f t="shared" si="92"/>
        <v>0</v>
      </c>
      <c r="EV16" s="79"/>
      <c r="EW16" s="78"/>
      <c r="EX16" s="78">
        <f t="shared" si="93"/>
        <v>0</v>
      </c>
      <c r="EY16" s="78">
        <f t="shared" si="94"/>
        <v>0</v>
      </c>
      <c r="EZ16" s="78">
        <f t="shared" si="95"/>
        <v>0</v>
      </c>
      <c r="FA16" s="77">
        <f t="shared" si="96"/>
        <v>0</v>
      </c>
      <c r="FB16" s="79"/>
      <c r="FC16" s="78"/>
      <c r="FD16" s="78">
        <f t="shared" si="97"/>
        <v>0</v>
      </c>
      <c r="FE16" s="78">
        <f t="shared" si="98"/>
        <v>0</v>
      </c>
      <c r="FF16" s="78">
        <f t="shared" si="99"/>
        <v>0</v>
      </c>
      <c r="FG16" s="77">
        <f t="shared" si="100"/>
        <v>0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 hidden="1">
      <c r="A17" s="51">
        <v>44652</v>
      </c>
      <c r="C17" s="77"/>
      <c r="D17" s="77"/>
      <c r="E17" s="77">
        <f t="shared" si="0"/>
        <v>0</v>
      </c>
      <c r="F17" s="77"/>
      <c r="G17" s="77"/>
      <c r="H17" s="79"/>
      <c r="I17" s="79">
        <f>'2010C Academic'!I17</f>
        <v>0</v>
      </c>
      <c r="J17" s="79">
        <f>'2010C Academic'!J17</f>
        <v>0</v>
      </c>
      <c r="K17" s="79">
        <f t="shared" si="1"/>
        <v>0</v>
      </c>
      <c r="L17" s="79">
        <f>'2010C Academic'!L17</f>
        <v>0</v>
      </c>
      <c r="M17" s="79">
        <f>'2010C Academic'!M17</f>
        <v>0</v>
      </c>
      <c r="N17" s="79"/>
      <c r="O17" s="78">
        <f t="shared" si="2"/>
        <v>0</v>
      </c>
      <c r="P17" s="80">
        <f t="shared" si="2"/>
        <v>0</v>
      </c>
      <c r="Q17" s="78">
        <f t="shared" si="3"/>
        <v>0</v>
      </c>
      <c r="R17" s="78">
        <f t="shared" si="4"/>
        <v>0</v>
      </c>
      <c r="S17" s="78">
        <f t="shared" si="4"/>
        <v>0</v>
      </c>
      <c r="T17" s="79"/>
      <c r="U17" s="78">
        <f t="shared" si="102"/>
        <v>0</v>
      </c>
      <c r="V17" s="77">
        <f t="shared" si="5"/>
        <v>0</v>
      </c>
      <c r="W17" s="78">
        <f t="shared" si="6"/>
        <v>0</v>
      </c>
      <c r="X17" s="78">
        <f t="shared" si="7"/>
        <v>0</v>
      </c>
      <c r="Y17" s="77">
        <f t="shared" si="8"/>
        <v>0</v>
      </c>
      <c r="Z17" s="79"/>
      <c r="AA17" s="78">
        <f t="shared" si="103"/>
        <v>0</v>
      </c>
      <c r="AB17" s="78">
        <f t="shared" si="9"/>
        <v>0</v>
      </c>
      <c r="AC17" s="78">
        <f t="shared" si="10"/>
        <v>0</v>
      </c>
      <c r="AD17" s="78">
        <f t="shared" si="11"/>
        <v>0</v>
      </c>
      <c r="AE17" s="77">
        <f t="shared" si="12"/>
        <v>0</v>
      </c>
      <c r="AF17" s="79"/>
      <c r="AG17" s="78">
        <f t="shared" si="104"/>
        <v>0</v>
      </c>
      <c r="AH17" s="78">
        <f t="shared" si="13"/>
        <v>0</v>
      </c>
      <c r="AI17" s="78">
        <f t="shared" si="14"/>
        <v>0</v>
      </c>
      <c r="AJ17" s="78">
        <f t="shared" si="15"/>
        <v>0</v>
      </c>
      <c r="AK17" s="77">
        <f t="shared" si="16"/>
        <v>0</v>
      </c>
      <c r="AL17" s="79"/>
      <c r="AM17" s="78">
        <f t="shared" si="105"/>
        <v>0</v>
      </c>
      <c r="AN17" s="78">
        <f t="shared" si="17"/>
        <v>0</v>
      </c>
      <c r="AO17" s="78">
        <f t="shared" si="18"/>
        <v>0</v>
      </c>
      <c r="AP17" s="78">
        <f t="shared" si="19"/>
        <v>0</v>
      </c>
      <c r="AQ17" s="77">
        <f t="shared" si="20"/>
        <v>0</v>
      </c>
      <c r="AR17" s="79"/>
      <c r="AS17" s="78">
        <f t="shared" si="106"/>
        <v>0</v>
      </c>
      <c r="AT17" s="78">
        <f t="shared" si="21"/>
        <v>0</v>
      </c>
      <c r="AU17" s="78">
        <f t="shared" si="22"/>
        <v>0</v>
      </c>
      <c r="AV17" s="78">
        <f t="shared" si="23"/>
        <v>0</v>
      </c>
      <c r="AW17" s="77">
        <f t="shared" si="24"/>
        <v>0</v>
      </c>
      <c r="AX17" s="79"/>
      <c r="AY17" s="78">
        <f t="shared" si="107"/>
        <v>0</v>
      </c>
      <c r="AZ17" s="78">
        <f t="shared" si="25"/>
        <v>0</v>
      </c>
      <c r="BA17" s="78">
        <f t="shared" si="26"/>
        <v>0</v>
      </c>
      <c r="BB17" s="78">
        <f t="shared" si="27"/>
        <v>0</v>
      </c>
      <c r="BC17" s="77">
        <f t="shared" si="28"/>
        <v>0</v>
      </c>
      <c r="BD17" s="79"/>
      <c r="BE17" s="78">
        <f t="shared" si="108"/>
        <v>0</v>
      </c>
      <c r="BF17" s="78">
        <f t="shared" si="29"/>
        <v>0</v>
      </c>
      <c r="BG17" s="78">
        <f t="shared" si="30"/>
        <v>0</v>
      </c>
      <c r="BH17" s="78">
        <f t="shared" si="31"/>
        <v>0</v>
      </c>
      <c r="BI17" s="77">
        <f t="shared" si="32"/>
        <v>0</v>
      </c>
      <c r="BJ17" s="79"/>
      <c r="BK17" s="78">
        <f t="shared" si="109"/>
        <v>0</v>
      </c>
      <c r="BL17" s="78">
        <f t="shared" si="33"/>
        <v>0</v>
      </c>
      <c r="BM17" s="78">
        <f t="shared" si="34"/>
        <v>0</v>
      </c>
      <c r="BN17" s="78">
        <f t="shared" si="35"/>
        <v>0</v>
      </c>
      <c r="BO17" s="77">
        <f t="shared" si="36"/>
        <v>0</v>
      </c>
      <c r="BP17" s="79"/>
      <c r="BQ17" s="78">
        <f t="shared" si="110"/>
        <v>0</v>
      </c>
      <c r="BR17" s="78">
        <f t="shared" si="37"/>
        <v>0</v>
      </c>
      <c r="BS17" s="78">
        <f t="shared" si="38"/>
        <v>0</v>
      </c>
      <c r="BT17" s="78">
        <f t="shared" si="39"/>
        <v>0</v>
      </c>
      <c r="BU17" s="77">
        <f t="shared" si="40"/>
        <v>0</v>
      </c>
      <c r="BV17" s="79"/>
      <c r="BW17" s="78">
        <f t="shared" si="111"/>
        <v>0</v>
      </c>
      <c r="BX17" s="78">
        <f t="shared" si="41"/>
        <v>0</v>
      </c>
      <c r="BY17" s="78">
        <f t="shared" si="42"/>
        <v>0</v>
      </c>
      <c r="BZ17" s="78">
        <f t="shared" si="43"/>
        <v>0</v>
      </c>
      <c r="CA17" s="77">
        <f t="shared" si="44"/>
        <v>0</v>
      </c>
      <c r="CB17" s="79"/>
      <c r="CC17" s="78">
        <f t="shared" si="112"/>
        <v>0</v>
      </c>
      <c r="CD17" s="78">
        <f t="shared" si="45"/>
        <v>0</v>
      </c>
      <c r="CE17" s="78">
        <f t="shared" si="46"/>
        <v>0</v>
      </c>
      <c r="CF17" s="78">
        <f t="shared" si="47"/>
        <v>0</v>
      </c>
      <c r="CG17" s="77">
        <f t="shared" si="48"/>
        <v>0</v>
      </c>
      <c r="CH17" s="79"/>
      <c r="CI17" s="78">
        <f t="shared" si="113"/>
        <v>0</v>
      </c>
      <c r="CJ17" s="78">
        <f t="shared" si="49"/>
        <v>0</v>
      </c>
      <c r="CK17" s="78">
        <f t="shared" si="50"/>
        <v>0</v>
      </c>
      <c r="CL17" s="78">
        <f t="shared" si="51"/>
        <v>0</v>
      </c>
      <c r="CM17" s="77">
        <f t="shared" si="52"/>
        <v>0</v>
      </c>
      <c r="CN17" s="79"/>
      <c r="CO17" s="78">
        <f t="shared" si="114"/>
        <v>0</v>
      </c>
      <c r="CP17" s="78">
        <f t="shared" si="53"/>
        <v>0</v>
      </c>
      <c r="CQ17" s="78">
        <f t="shared" si="54"/>
        <v>0</v>
      </c>
      <c r="CR17" s="78">
        <f t="shared" si="55"/>
        <v>0</v>
      </c>
      <c r="CS17" s="77">
        <f t="shared" si="56"/>
        <v>0</v>
      </c>
      <c r="CT17" s="79"/>
      <c r="CU17" s="78">
        <f t="shared" si="115"/>
        <v>0</v>
      </c>
      <c r="CV17" s="78">
        <f t="shared" si="57"/>
        <v>0</v>
      </c>
      <c r="CW17" s="78">
        <f t="shared" si="58"/>
        <v>0</v>
      </c>
      <c r="CX17" s="78">
        <f t="shared" si="59"/>
        <v>0</v>
      </c>
      <c r="CY17" s="77">
        <f t="shared" si="60"/>
        <v>0</v>
      </c>
      <c r="CZ17" s="79"/>
      <c r="DA17" s="78">
        <f t="shared" si="116"/>
        <v>0</v>
      </c>
      <c r="DB17" s="78">
        <f t="shared" si="61"/>
        <v>0</v>
      </c>
      <c r="DC17" s="78">
        <f t="shared" si="62"/>
        <v>0</v>
      </c>
      <c r="DD17" s="78">
        <f t="shared" si="63"/>
        <v>0</v>
      </c>
      <c r="DE17" s="77">
        <f t="shared" si="64"/>
        <v>0</v>
      </c>
      <c r="DF17" s="79"/>
      <c r="DG17" s="78">
        <f t="shared" si="117"/>
        <v>0</v>
      </c>
      <c r="DH17" s="78">
        <f t="shared" si="65"/>
        <v>0</v>
      </c>
      <c r="DI17" s="78">
        <f t="shared" si="66"/>
        <v>0</v>
      </c>
      <c r="DJ17" s="78">
        <f t="shared" si="67"/>
        <v>0</v>
      </c>
      <c r="DK17" s="77">
        <f t="shared" si="68"/>
        <v>0</v>
      </c>
      <c r="DL17" s="79"/>
      <c r="DM17" s="90">
        <f t="shared" si="118"/>
        <v>0</v>
      </c>
      <c r="DN17" s="90">
        <f t="shared" si="69"/>
        <v>0</v>
      </c>
      <c r="DO17" s="90">
        <f t="shared" si="70"/>
        <v>0</v>
      </c>
      <c r="DP17" s="90">
        <f t="shared" si="71"/>
        <v>0</v>
      </c>
      <c r="DQ17" s="94">
        <f t="shared" si="72"/>
        <v>0</v>
      </c>
      <c r="DR17" s="79"/>
      <c r="DS17" s="78">
        <f t="shared" si="119"/>
        <v>0</v>
      </c>
      <c r="DT17" s="78">
        <f t="shared" si="73"/>
        <v>0</v>
      </c>
      <c r="DU17" s="78">
        <f t="shared" si="74"/>
        <v>0</v>
      </c>
      <c r="DV17" s="78">
        <f t="shared" si="75"/>
        <v>0</v>
      </c>
      <c r="DW17" s="77">
        <f t="shared" si="76"/>
        <v>0</v>
      </c>
      <c r="DX17" s="79"/>
      <c r="DY17" s="78">
        <f t="shared" si="120"/>
        <v>0</v>
      </c>
      <c r="DZ17" s="78">
        <f t="shared" si="77"/>
        <v>0</v>
      </c>
      <c r="EA17" s="78">
        <f t="shared" si="78"/>
        <v>0</v>
      </c>
      <c r="EB17" s="78">
        <f t="shared" si="79"/>
        <v>0</v>
      </c>
      <c r="EC17" s="77">
        <f t="shared" si="80"/>
        <v>0</v>
      </c>
      <c r="ED17" s="79"/>
      <c r="EE17" s="78">
        <f t="shared" si="121"/>
        <v>0</v>
      </c>
      <c r="EF17" s="78">
        <f t="shared" si="81"/>
        <v>0</v>
      </c>
      <c r="EG17" s="78">
        <f t="shared" si="82"/>
        <v>0</v>
      </c>
      <c r="EH17" s="78">
        <f t="shared" si="83"/>
        <v>0</v>
      </c>
      <c r="EI17" s="77">
        <f t="shared" si="84"/>
        <v>0</v>
      </c>
      <c r="EJ17" s="79"/>
      <c r="EK17" s="78">
        <f t="shared" si="122"/>
        <v>0</v>
      </c>
      <c r="EL17" s="78">
        <f t="shared" si="85"/>
        <v>0</v>
      </c>
      <c r="EM17" s="78">
        <f t="shared" si="86"/>
        <v>0</v>
      </c>
      <c r="EN17" s="78">
        <f t="shared" si="87"/>
        <v>0</v>
      </c>
      <c r="EO17" s="77">
        <f t="shared" si="88"/>
        <v>0</v>
      </c>
      <c r="EP17" s="79"/>
      <c r="EQ17" s="78">
        <f t="shared" si="123"/>
        <v>0</v>
      </c>
      <c r="ER17" s="78">
        <f t="shared" si="89"/>
        <v>0</v>
      </c>
      <c r="ES17" s="78">
        <f t="shared" si="90"/>
        <v>0</v>
      </c>
      <c r="ET17" s="78">
        <f t="shared" si="91"/>
        <v>0</v>
      </c>
      <c r="EU17" s="77">
        <f t="shared" si="92"/>
        <v>0</v>
      </c>
      <c r="EV17" s="79"/>
      <c r="EW17" s="78">
        <f t="shared" si="124"/>
        <v>0</v>
      </c>
      <c r="EX17" s="78">
        <f t="shared" si="93"/>
        <v>0</v>
      </c>
      <c r="EY17" s="78">
        <f t="shared" si="94"/>
        <v>0</v>
      </c>
      <c r="EZ17" s="78">
        <f t="shared" si="95"/>
        <v>0</v>
      </c>
      <c r="FA17" s="77">
        <f t="shared" si="96"/>
        <v>0</v>
      </c>
      <c r="FB17" s="79"/>
      <c r="FC17" s="78">
        <f t="shared" si="125"/>
        <v>0</v>
      </c>
      <c r="FD17" s="78">
        <f t="shared" si="97"/>
        <v>0</v>
      </c>
      <c r="FE17" s="78">
        <f t="shared" si="98"/>
        <v>0</v>
      </c>
      <c r="FF17" s="78">
        <f t="shared" si="99"/>
        <v>0</v>
      </c>
      <c r="FG17" s="77">
        <f t="shared" si="100"/>
        <v>0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 hidden="1">
      <c r="A18" s="51">
        <v>44835</v>
      </c>
      <c r="C18" s="77"/>
      <c r="D18" s="77"/>
      <c r="E18" s="77">
        <f t="shared" si="0"/>
        <v>0</v>
      </c>
      <c r="F18" s="77"/>
      <c r="G18" s="77"/>
      <c r="H18" s="79"/>
      <c r="I18" s="79">
        <f>'2010C Academic'!I18</f>
        <v>0</v>
      </c>
      <c r="J18" s="79">
        <f>'2010C Academic'!J18</f>
        <v>0</v>
      </c>
      <c r="K18" s="79">
        <f t="shared" si="1"/>
        <v>0</v>
      </c>
      <c r="L18" s="79">
        <f>'2010C Academic'!L18</f>
        <v>0</v>
      </c>
      <c r="M18" s="79">
        <f>'2010C Academic'!M18</f>
        <v>0</v>
      </c>
      <c r="N18" s="79"/>
      <c r="O18" s="78">
        <f t="shared" si="2"/>
        <v>0</v>
      </c>
      <c r="P18" s="80">
        <f t="shared" si="2"/>
        <v>0</v>
      </c>
      <c r="Q18" s="78">
        <f t="shared" si="3"/>
        <v>0</v>
      </c>
      <c r="R18" s="78">
        <f t="shared" si="4"/>
        <v>0</v>
      </c>
      <c r="S18" s="78">
        <f t="shared" si="4"/>
        <v>0</v>
      </c>
      <c r="T18" s="79"/>
      <c r="U18" s="78"/>
      <c r="V18" s="77">
        <f t="shared" si="5"/>
        <v>0</v>
      </c>
      <c r="W18" s="78">
        <f t="shared" si="6"/>
        <v>0</v>
      </c>
      <c r="X18" s="78">
        <f t="shared" si="7"/>
        <v>0</v>
      </c>
      <c r="Y18" s="77">
        <f t="shared" si="8"/>
        <v>0</v>
      </c>
      <c r="Z18" s="79"/>
      <c r="AA18" s="78"/>
      <c r="AB18" s="78">
        <f t="shared" si="9"/>
        <v>0</v>
      </c>
      <c r="AC18" s="78">
        <f t="shared" si="10"/>
        <v>0</v>
      </c>
      <c r="AD18" s="78">
        <f t="shared" si="11"/>
        <v>0</v>
      </c>
      <c r="AE18" s="77">
        <f t="shared" si="12"/>
        <v>0</v>
      </c>
      <c r="AF18" s="79"/>
      <c r="AG18" s="78"/>
      <c r="AH18" s="78">
        <f t="shared" si="13"/>
        <v>0</v>
      </c>
      <c r="AI18" s="78">
        <f t="shared" si="14"/>
        <v>0</v>
      </c>
      <c r="AJ18" s="78">
        <f t="shared" si="15"/>
        <v>0</v>
      </c>
      <c r="AK18" s="77">
        <f t="shared" si="16"/>
        <v>0</v>
      </c>
      <c r="AL18" s="79"/>
      <c r="AM18" s="78"/>
      <c r="AN18" s="78">
        <f t="shared" si="17"/>
        <v>0</v>
      </c>
      <c r="AO18" s="78">
        <f t="shared" si="18"/>
        <v>0</v>
      </c>
      <c r="AP18" s="78">
        <f t="shared" si="19"/>
        <v>0</v>
      </c>
      <c r="AQ18" s="77">
        <f t="shared" si="20"/>
        <v>0</v>
      </c>
      <c r="AR18" s="79"/>
      <c r="AS18" s="78"/>
      <c r="AT18" s="78">
        <f t="shared" si="21"/>
        <v>0</v>
      </c>
      <c r="AU18" s="78">
        <f t="shared" si="22"/>
        <v>0</v>
      </c>
      <c r="AV18" s="78">
        <f t="shared" si="23"/>
        <v>0</v>
      </c>
      <c r="AW18" s="77">
        <f t="shared" si="24"/>
        <v>0</v>
      </c>
      <c r="AX18" s="79"/>
      <c r="AY18" s="78"/>
      <c r="AZ18" s="78">
        <f t="shared" si="25"/>
        <v>0</v>
      </c>
      <c r="BA18" s="78">
        <f t="shared" si="26"/>
        <v>0</v>
      </c>
      <c r="BB18" s="78">
        <f t="shared" si="27"/>
        <v>0</v>
      </c>
      <c r="BC18" s="77">
        <f t="shared" si="28"/>
        <v>0</v>
      </c>
      <c r="BD18" s="79"/>
      <c r="BE18" s="78"/>
      <c r="BF18" s="78">
        <f t="shared" si="29"/>
        <v>0</v>
      </c>
      <c r="BG18" s="78">
        <f t="shared" si="30"/>
        <v>0</v>
      </c>
      <c r="BH18" s="78">
        <f t="shared" si="31"/>
        <v>0</v>
      </c>
      <c r="BI18" s="77">
        <f t="shared" si="32"/>
        <v>0</v>
      </c>
      <c r="BJ18" s="79"/>
      <c r="BK18" s="78"/>
      <c r="BL18" s="78">
        <f t="shared" si="33"/>
        <v>0</v>
      </c>
      <c r="BM18" s="78">
        <f t="shared" si="34"/>
        <v>0</v>
      </c>
      <c r="BN18" s="78">
        <f t="shared" si="35"/>
        <v>0</v>
      </c>
      <c r="BO18" s="77">
        <f t="shared" si="36"/>
        <v>0</v>
      </c>
      <c r="BP18" s="79"/>
      <c r="BQ18" s="78"/>
      <c r="BR18" s="78">
        <f t="shared" si="37"/>
        <v>0</v>
      </c>
      <c r="BS18" s="78">
        <f t="shared" si="38"/>
        <v>0</v>
      </c>
      <c r="BT18" s="78">
        <f t="shared" si="39"/>
        <v>0</v>
      </c>
      <c r="BU18" s="77">
        <f t="shared" si="40"/>
        <v>0</v>
      </c>
      <c r="BV18" s="79"/>
      <c r="BW18" s="78"/>
      <c r="BX18" s="78">
        <f t="shared" si="41"/>
        <v>0</v>
      </c>
      <c r="BY18" s="78">
        <f t="shared" si="42"/>
        <v>0</v>
      </c>
      <c r="BZ18" s="78">
        <f t="shared" si="43"/>
        <v>0</v>
      </c>
      <c r="CA18" s="77">
        <f t="shared" si="44"/>
        <v>0</v>
      </c>
      <c r="CB18" s="79"/>
      <c r="CC18" s="78"/>
      <c r="CD18" s="78">
        <f t="shared" si="45"/>
        <v>0</v>
      </c>
      <c r="CE18" s="78">
        <f t="shared" si="46"/>
        <v>0</v>
      </c>
      <c r="CF18" s="78">
        <f t="shared" si="47"/>
        <v>0</v>
      </c>
      <c r="CG18" s="77">
        <f t="shared" si="48"/>
        <v>0</v>
      </c>
      <c r="CH18" s="79"/>
      <c r="CI18" s="78"/>
      <c r="CJ18" s="78">
        <f t="shared" si="49"/>
        <v>0</v>
      </c>
      <c r="CK18" s="78">
        <f t="shared" si="50"/>
        <v>0</v>
      </c>
      <c r="CL18" s="78">
        <f t="shared" si="51"/>
        <v>0</v>
      </c>
      <c r="CM18" s="77">
        <f t="shared" si="52"/>
        <v>0</v>
      </c>
      <c r="CN18" s="79"/>
      <c r="CO18" s="78"/>
      <c r="CP18" s="78">
        <f t="shared" si="53"/>
        <v>0</v>
      </c>
      <c r="CQ18" s="78">
        <f t="shared" si="54"/>
        <v>0</v>
      </c>
      <c r="CR18" s="78">
        <f t="shared" si="55"/>
        <v>0</v>
      </c>
      <c r="CS18" s="77">
        <f t="shared" si="56"/>
        <v>0</v>
      </c>
      <c r="CT18" s="79"/>
      <c r="CU18" s="78"/>
      <c r="CV18" s="78">
        <f t="shared" si="57"/>
        <v>0</v>
      </c>
      <c r="CW18" s="78">
        <f t="shared" si="58"/>
        <v>0</v>
      </c>
      <c r="CX18" s="78">
        <f t="shared" si="59"/>
        <v>0</v>
      </c>
      <c r="CY18" s="77">
        <f t="shared" si="60"/>
        <v>0</v>
      </c>
      <c r="CZ18" s="79"/>
      <c r="DA18" s="78"/>
      <c r="DB18" s="78">
        <f t="shared" si="61"/>
        <v>0</v>
      </c>
      <c r="DC18" s="78">
        <f t="shared" si="62"/>
        <v>0</v>
      </c>
      <c r="DD18" s="78">
        <f t="shared" si="63"/>
        <v>0</v>
      </c>
      <c r="DE18" s="77">
        <f t="shared" si="64"/>
        <v>0</v>
      </c>
      <c r="DF18" s="79"/>
      <c r="DG18" s="78"/>
      <c r="DH18" s="78">
        <f t="shared" si="65"/>
        <v>0</v>
      </c>
      <c r="DI18" s="78">
        <f t="shared" si="66"/>
        <v>0</v>
      </c>
      <c r="DJ18" s="78">
        <f t="shared" si="67"/>
        <v>0</v>
      </c>
      <c r="DK18" s="77">
        <f t="shared" si="68"/>
        <v>0</v>
      </c>
      <c r="DL18" s="79"/>
      <c r="DM18" s="90"/>
      <c r="DN18" s="90">
        <f t="shared" si="69"/>
        <v>0</v>
      </c>
      <c r="DO18" s="90">
        <f t="shared" si="70"/>
        <v>0</v>
      </c>
      <c r="DP18" s="90">
        <f t="shared" si="71"/>
        <v>0</v>
      </c>
      <c r="DQ18" s="94">
        <f t="shared" si="72"/>
        <v>0</v>
      </c>
      <c r="DR18" s="79"/>
      <c r="DS18" s="78"/>
      <c r="DT18" s="78">
        <f t="shared" si="73"/>
        <v>0</v>
      </c>
      <c r="DU18" s="78">
        <f t="shared" si="74"/>
        <v>0</v>
      </c>
      <c r="DV18" s="78">
        <f t="shared" si="75"/>
        <v>0</v>
      </c>
      <c r="DW18" s="77">
        <f t="shared" si="76"/>
        <v>0</v>
      </c>
      <c r="DX18" s="79"/>
      <c r="DY18" s="78"/>
      <c r="DZ18" s="78">
        <f t="shared" si="77"/>
        <v>0</v>
      </c>
      <c r="EA18" s="78">
        <f t="shared" si="78"/>
        <v>0</v>
      </c>
      <c r="EB18" s="78">
        <f t="shared" si="79"/>
        <v>0</v>
      </c>
      <c r="EC18" s="77">
        <f t="shared" si="80"/>
        <v>0</v>
      </c>
      <c r="ED18" s="79"/>
      <c r="EE18" s="78"/>
      <c r="EF18" s="78">
        <f t="shared" si="81"/>
        <v>0</v>
      </c>
      <c r="EG18" s="78">
        <f t="shared" si="82"/>
        <v>0</v>
      </c>
      <c r="EH18" s="78">
        <f t="shared" si="83"/>
        <v>0</v>
      </c>
      <c r="EI18" s="77">
        <f t="shared" si="84"/>
        <v>0</v>
      </c>
      <c r="EJ18" s="79"/>
      <c r="EK18" s="78"/>
      <c r="EL18" s="78">
        <f t="shared" si="85"/>
        <v>0</v>
      </c>
      <c r="EM18" s="78">
        <f t="shared" si="86"/>
        <v>0</v>
      </c>
      <c r="EN18" s="78">
        <f t="shared" si="87"/>
        <v>0</v>
      </c>
      <c r="EO18" s="77">
        <f t="shared" si="88"/>
        <v>0</v>
      </c>
      <c r="EP18" s="79"/>
      <c r="EQ18" s="78"/>
      <c r="ER18" s="78">
        <f t="shared" si="89"/>
        <v>0</v>
      </c>
      <c r="ES18" s="78">
        <f t="shared" si="90"/>
        <v>0</v>
      </c>
      <c r="ET18" s="78">
        <f t="shared" si="91"/>
        <v>0</v>
      </c>
      <c r="EU18" s="77">
        <f t="shared" si="92"/>
        <v>0</v>
      </c>
      <c r="EV18" s="79"/>
      <c r="EW18" s="78"/>
      <c r="EX18" s="78">
        <f t="shared" si="93"/>
        <v>0</v>
      </c>
      <c r="EY18" s="78">
        <f t="shared" si="94"/>
        <v>0</v>
      </c>
      <c r="EZ18" s="78">
        <f t="shared" si="95"/>
        <v>0</v>
      </c>
      <c r="FA18" s="77">
        <f t="shared" si="96"/>
        <v>0</v>
      </c>
      <c r="FB18" s="79"/>
      <c r="FC18" s="78"/>
      <c r="FD18" s="78">
        <f t="shared" si="97"/>
        <v>0</v>
      </c>
      <c r="FE18" s="78">
        <f t="shared" si="98"/>
        <v>0</v>
      </c>
      <c r="FF18" s="78">
        <f t="shared" si="99"/>
        <v>0</v>
      </c>
      <c r="FG18" s="77">
        <f t="shared" si="100"/>
        <v>0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 hidden="1">
      <c r="A19" s="51">
        <v>45017</v>
      </c>
      <c r="C19" s="77"/>
      <c r="D19" s="77"/>
      <c r="E19" s="77">
        <f t="shared" si="0"/>
        <v>0</v>
      </c>
      <c r="F19" s="77"/>
      <c r="G19" s="77"/>
      <c r="H19" s="79"/>
      <c r="I19" s="79">
        <f>'2010C Academic'!I19</f>
        <v>0</v>
      </c>
      <c r="J19" s="79">
        <f>'2010C Academic'!J19</f>
        <v>0</v>
      </c>
      <c r="K19" s="79">
        <f t="shared" si="1"/>
        <v>0</v>
      </c>
      <c r="L19" s="79">
        <f>'2010C Academic'!L19</f>
        <v>0</v>
      </c>
      <c r="M19" s="79">
        <f>'2010C Academic'!M19</f>
        <v>0</v>
      </c>
      <c r="N19" s="79"/>
      <c r="O19" s="78">
        <f t="shared" si="2"/>
        <v>0</v>
      </c>
      <c r="P19" s="80">
        <f t="shared" si="2"/>
        <v>0</v>
      </c>
      <c r="Q19" s="78">
        <f t="shared" si="3"/>
        <v>0</v>
      </c>
      <c r="R19" s="78">
        <f t="shared" si="4"/>
        <v>0</v>
      </c>
      <c r="S19" s="78">
        <f t="shared" si="4"/>
        <v>0</v>
      </c>
      <c r="T19" s="79"/>
      <c r="U19" s="78">
        <f t="shared" si="102"/>
        <v>0</v>
      </c>
      <c r="V19" s="77">
        <f t="shared" si="5"/>
        <v>0</v>
      </c>
      <c r="W19" s="78">
        <f t="shared" si="6"/>
        <v>0</v>
      </c>
      <c r="X19" s="78">
        <f t="shared" si="7"/>
        <v>0</v>
      </c>
      <c r="Y19" s="77">
        <f t="shared" si="8"/>
        <v>0</v>
      </c>
      <c r="Z19" s="79"/>
      <c r="AA19" s="78">
        <f t="shared" si="103"/>
        <v>0</v>
      </c>
      <c r="AB19" s="78">
        <f t="shared" si="9"/>
        <v>0</v>
      </c>
      <c r="AC19" s="78">
        <f t="shared" si="10"/>
        <v>0</v>
      </c>
      <c r="AD19" s="78">
        <f t="shared" si="11"/>
        <v>0</v>
      </c>
      <c r="AE19" s="77">
        <f t="shared" si="12"/>
        <v>0</v>
      </c>
      <c r="AF19" s="79"/>
      <c r="AG19" s="78">
        <f t="shared" si="104"/>
        <v>0</v>
      </c>
      <c r="AH19" s="78">
        <f t="shared" si="13"/>
        <v>0</v>
      </c>
      <c r="AI19" s="78">
        <f t="shared" si="14"/>
        <v>0</v>
      </c>
      <c r="AJ19" s="78">
        <f t="shared" si="15"/>
        <v>0</v>
      </c>
      <c r="AK19" s="77">
        <f t="shared" si="16"/>
        <v>0</v>
      </c>
      <c r="AL19" s="79"/>
      <c r="AM19" s="78">
        <f t="shared" si="105"/>
        <v>0</v>
      </c>
      <c r="AN19" s="78">
        <f t="shared" si="17"/>
        <v>0</v>
      </c>
      <c r="AO19" s="78">
        <f t="shared" si="18"/>
        <v>0</v>
      </c>
      <c r="AP19" s="78">
        <f t="shared" si="19"/>
        <v>0</v>
      </c>
      <c r="AQ19" s="77">
        <f t="shared" si="20"/>
        <v>0</v>
      </c>
      <c r="AR19" s="79"/>
      <c r="AS19" s="78">
        <f t="shared" si="106"/>
        <v>0</v>
      </c>
      <c r="AT19" s="78">
        <f t="shared" si="21"/>
        <v>0</v>
      </c>
      <c r="AU19" s="78">
        <f t="shared" si="22"/>
        <v>0</v>
      </c>
      <c r="AV19" s="78">
        <f t="shared" si="23"/>
        <v>0</v>
      </c>
      <c r="AW19" s="77">
        <f t="shared" si="24"/>
        <v>0</v>
      </c>
      <c r="AX19" s="79"/>
      <c r="AY19" s="78">
        <f t="shared" si="107"/>
        <v>0</v>
      </c>
      <c r="AZ19" s="78">
        <f t="shared" si="25"/>
        <v>0</v>
      </c>
      <c r="BA19" s="78">
        <f t="shared" si="26"/>
        <v>0</v>
      </c>
      <c r="BB19" s="78">
        <f t="shared" si="27"/>
        <v>0</v>
      </c>
      <c r="BC19" s="77">
        <f t="shared" si="28"/>
        <v>0</v>
      </c>
      <c r="BD19" s="79"/>
      <c r="BE19" s="78">
        <f t="shared" si="108"/>
        <v>0</v>
      </c>
      <c r="BF19" s="78">
        <f t="shared" si="29"/>
        <v>0</v>
      </c>
      <c r="BG19" s="78">
        <f t="shared" si="30"/>
        <v>0</v>
      </c>
      <c r="BH19" s="78">
        <f t="shared" si="31"/>
        <v>0</v>
      </c>
      <c r="BI19" s="77">
        <f t="shared" si="32"/>
        <v>0</v>
      </c>
      <c r="BJ19" s="79"/>
      <c r="BK19" s="78">
        <f t="shared" si="109"/>
        <v>0</v>
      </c>
      <c r="BL19" s="78">
        <f t="shared" si="33"/>
        <v>0</v>
      </c>
      <c r="BM19" s="78">
        <f t="shared" si="34"/>
        <v>0</v>
      </c>
      <c r="BN19" s="78">
        <f t="shared" si="35"/>
        <v>0</v>
      </c>
      <c r="BO19" s="77">
        <f t="shared" si="36"/>
        <v>0</v>
      </c>
      <c r="BP19" s="79"/>
      <c r="BQ19" s="78">
        <f t="shared" si="110"/>
        <v>0</v>
      </c>
      <c r="BR19" s="78">
        <f t="shared" si="37"/>
        <v>0</v>
      </c>
      <c r="BS19" s="78">
        <f t="shared" si="38"/>
        <v>0</v>
      </c>
      <c r="BT19" s="78">
        <f t="shared" si="39"/>
        <v>0</v>
      </c>
      <c r="BU19" s="77">
        <f t="shared" si="40"/>
        <v>0</v>
      </c>
      <c r="BV19" s="79"/>
      <c r="BW19" s="78">
        <f t="shared" si="111"/>
        <v>0</v>
      </c>
      <c r="BX19" s="78">
        <f t="shared" si="41"/>
        <v>0</v>
      </c>
      <c r="BY19" s="78">
        <f t="shared" si="42"/>
        <v>0</v>
      </c>
      <c r="BZ19" s="78">
        <f t="shared" si="43"/>
        <v>0</v>
      </c>
      <c r="CA19" s="77">
        <f t="shared" si="44"/>
        <v>0</v>
      </c>
      <c r="CB19" s="79"/>
      <c r="CC19" s="78">
        <f t="shared" si="112"/>
        <v>0</v>
      </c>
      <c r="CD19" s="78">
        <f t="shared" si="45"/>
        <v>0</v>
      </c>
      <c r="CE19" s="78">
        <f t="shared" si="46"/>
        <v>0</v>
      </c>
      <c r="CF19" s="78">
        <f t="shared" si="47"/>
        <v>0</v>
      </c>
      <c r="CG19" s="77">
        <f t="shared" si="48"/>
        <v>0</v>
      </c>
      <c r="CH19" s="79"/>
      <c r="CI19" s="78">
        <f t="shared" si="113"/>
        <v>0</v>
      </c>
      <c r="CJ19" s="78">
        <f t="shared" si="49"/>
        <v>0</v>
      </c>
      <c r="CK19" s="78">
        <f t="shared" si="50"/>
        <v>0</v>
      </c>
      <c r="CL19" s="78">
        <f t="shared" si="51"/>
        <v>0</v>
      </c>
      <c r="CM19" s="77">
        <f t="shared" si="52"/>
        <v>0</v>
      </c>
      <c r="CN19" s="79"/>
      <c r="CO19" s="78">
        <f t="shared" si="114"/>
        <v>0</v>
      </c>
      <c r="CP19" s="78">
        <f t="shared" si="53"/>
        <v>0</v>
      </c>
      <c r="CQ19" s="78">
        <f t="shared" si="54"/>
        <v>0</v>
      </c>
      <c r="CR19" s="78">
        <f t="shared" si="55"/>
        <v>0</v>
      </c>
      <c r="CS19" s="77">
        <f t="shared" si="56"/>
        <v>0</v>
      </c>
      <c r="CT19" s="79"/>
      <c r="CU19" s="78">
        <f t="shared" si="115"/>
        <v>0</v>
      </c>
      <c r="CV19" s="78">
        <f t="shared" si="57"/>
        <v>0</v>
      </c>
      <c r="CW19" s="78">
        <f t="shared" si="58"/>
        <v>0</v>
      </c>
      <c r="CX19" s="78">
        <f t="shared" si="59"/>
        <v>0</v>
      </c>
      <c r="CY19" s="77">
        <f t="shared" si="60"/>
        <v>0</v>
      </c>
      <c r="CZ19" s="79"/>
      <c r="DA19" s="78">
        <f t="shared" si="116"/>
        <v>0</v>
      </c>
      <c r="DB19" s="78">
        <f t="shared" si="61"/>
        <v>0</v>
      </c>
      <c r="DC19" s="78">
        <f t="shared" si="62"/>
        <v>0</v>
      </c>
      <c r="DD19" s="78">
        <f t="shared" si="63"/>
        <v>0</v>
      </c>
      <c r="DE19" s="77">
        <f t="shared" si="64"/>
        <v>0</v>
      </c>
      <c r="DF19" s="79"/>
      <c r="DG19" s="78">
        <f t="shared" si="117"/>
        <v>0</v>
      </c>
      <c r="DH19" s="78">
        <f t="shared" si="65"/>
        <v>0</v>
      </c>
      <c r="DI19" s="78">
        <f t="shared" si="66"/>
        <v>0</v>
      </c>
      <c r="DJ19" s="78">
        <f t="shared" si="67"/>
        <v>0</v>
      </c>
      <c r="DK19" s="77">
        <f t="shared" si="68"/>
        <v>0</v>
      </c>
      <c r="DL19" s="79"/>
      <c r="DM19" s="90">
        <f t="shared" si="118"/>
        <v>0</v>
      </c>
      <c r="DN19" s="90">
        <f t="shared" si="69"/>
        <v>0</v>
      </c>
      <c r="DO19" s="90">
        <f t="shared" si="70"/>
        <v>0</v>
      </c>
      <c r="DP19" s="90">
        <f t="shared" si="71"/>
        <v>0</v>
      </c>
      <c r="DQ19" s="94">
        <f t="shared" si="72"/>
        <v>0</v>
      </c>
      <c r="DR19" s="79"/>
      <c r="DS19" s="78">
        <f t="shared" si="119"/>
        <v>0</v>
      </c>
      <c r="DT19" s="78">
        <f t="shared" si="73"/>
        <v>0</v>
      </c>
      <c r="DU19" s="78">
        <f t="shared" si="74"/>
        <v>0</v>
      </c>
      <c r="DV19" s="78">
        <f t="shared" si="75"/>
        <v>0</v>
      </c>
      <c r="DW19" s="77">
        <f t="shared" si="76"/>
        <v>0</v>
      </c>
      <c r="DX19" s="79"/>
      <c r="DY19" s="78">
        <f t="shared" si="120"/>
        <v>0</v>
      </c>
      <c r="DZ19" s="78">
        <f t="shared" si="77"/>
        <v>0</v>
      </c>
      <c r="EA19" s="78">
        <f t="shared" si="78"/>
        <v>0</v>
      </c>
      <c r="EB19" s="78">
        <f t="shared" si="79"/>
        <v>0</v>
      </c>
      <c r="EC19" s="77">
        <f t="shared" si="80"/>
        <v>0</v>
      </c>
      <c r="ED19" s="79"/>
      <c r="EE19" s="78">
        <f t="shared" si="121"/>
        <v>0</v>
      </c>
      <c r="EF19" s="78">
        <f t="shared" si="81"/>
        <v>0</v>
      </c>
      <c r="EG19" s="78">
        <f t="shared" si="82"/>
        <v>0</v>
      </c>
      <c r="EH19" s="78">
        <f t="shared" si="83"/>
        <v>0</v>
      </c>
      <c r="EI19" s="77">
        <f t="shared" si="84"/>
        <v>0</v>
      </c>
      <c r="EJ19" s="79"/>
      <c r="EK19" s="78">
        <f t="shared" si="122"/>
        <v>0</v>
      </c>
      <c r="EL19" s="78">
        <f t="shared" si="85"/>
        <v>0</v>
      </c>
      <c r="EM19" s="78">
        <f t="shared" si="86"/>
        <v>0</v>
      </c>
      <c r="EN19" s="78">
        <f t="shared" si="87"/>
        <v>0</v>
      </c>
      <c r="EO19" s="77">
        <f t="shared" si="88"/>
        <v>0</v>
      </c>
      <c r="EP19" s="79"/>
      <c r="EQ19" s="78">
        <f t="shared" si="123"/>
        <v>0</v>
      </c>
      <c r="ER19" s="78">
        <f t="shared" si="89"/>
        <v>0</v>
      </c>
      <c r="ES19" s="78">
        <f t="shared" si="90"/>
        <v>0</v>
      </c>
      <c r="ET19" s="78">
        <f t="shared" si="91"/>
        <v>0</v>
      </c>
      <c r="EU19" s="77">
        <f t="shared" si="92"/>
        <v>0</v>
      </c>
      <c r="EV19" s="79"/>
      <c r="EW19" s="78">
        <f t="shared" si="124"/>
        <v>0</v>
      </c>
      <c r="EX19" s="78">
        <f t="shared" si="93"/>
        <v>0</v>
      </c>
      <c r="EY19" s="78">
        <f t="shared" si="94"/>
        <v>0</v>
      </c>
      <c r="EZ19" s="78">
        <f t="shared" si="95"/>
        <v>0</v>
      </c>
      <c r="FA19" s="77">
        <f t="shared" si="96"/>
        <v>0</v>
      </c>
      <c r="FB19" s="79"/>
      <c r="FC19" s="78">
        <f t="shared" si="125"/>
        <v>0</v>
      </c>
      <c r="FD19" s="78">
        <f t="shared" si="97"/>
        <v>0</v>
      </c>
      <c r="FE19" s="78">
        <f t="shared" si="98"/>
        <v>0</v>
      </c>
      <c r="FF19" s="78">
        <f t="shared" si="99"/>
        <v>0</v>
      </c>
      <c r="FG19" s="77">
        <f t="shared" si="100"/>
        <v>0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.75" hidden="1">
      <c r="A20" s="51">
        <v>45200</v>
      </c>
      <c r="C20" s="77"/>
      <c r="D20" s="77"/>
      <c r="E20" s="77">
        <f t="shared" si="0"/>
        <v>0</v>
      </c>
      <c r="F20" s="77"/>
      <c r="G20" s="77"/>
      <c r="H20" s="79"/>
      <c r="I20" s="79">
        <f>'2010C Academic'!I20</f>
        <v>0</v>
      </c>
      <c r="J20" s="79">
        <f>'2010C Academic'!J20</f>
        <v>0</v>
      </c>
      <c r="K20" s="79">
        <f t="shared" si="1"/>
        <v>0</v>
      </c>
      <c r="L20" s="79">
        <f>'2010C Academic'!L20</f>
        <v>0</v>
      </c>
      <c r="M20" s="79">
        <f>'2010C Academic'!M20</f>
        <v>0</v>
      </c>
      <c r="N20" s="79"/>
      <c r="O20" s="78">
        <f t="shared" si="2"/>
        <v>0</v>
      </c>
      <c r="P20" s="80">
        <f t="shared" si="2"/>
        <v>0</v>
      </c>
      <c r="Q20" s="78">
        <f t="shared" si="3"/>
        <v>0</v>
      </c>
      <c r="R20" s="78">
        <f t="shared" si="4"/>
        <v>0</v>
      </c>
      <c r="S20" s="78">
        <f t="shared" si="4"/>
        <v>0</v>
      </c>
      <c r="T20" s="79"/>
      <c r="U20" s="78"/>
      <c r="V20" s="77">
        <f t="shared" si="5"/>
        <v>0</v>
      </c>
      <c r="W20" s="78">
        <f t="shared" si="6"/>
        <v>0</v>
      </c>
      <c r="X20" s="78">
        <f t="shared" si="7"/>
        <v>0</v>
      </c>
      <c r="Y20" s="77">
        <f t="shared" si="8"/>
        <v>0</v>
      </c>
      <c r="Z20" s="79"/>
      <c r="AA20" s="78"/>
      <c r="AB20" s="78">
        <f t="shared" si="9"/>
        <v>0</v>
      </c>
      <c r="AC20" s="78">
        <f t="shared" si="10"/>
        <v>0</v>
      </c>
      <c r="AD20" s="78">
        <f t="shared" si="11"/>
        <v>0</v>
      </c>
      <c r="AE20" s="77">
        <f t="shared" si="12"/>
        <v>0</v>
      </c>
      <c r="AF20" s="79"/>
      <c r="AG20" s="78"/>
      <c r="AH20" s="78">
        <f t="shared" si="13"/>
        <v>0</v>
      </c>
      <c r="AI20" s="78">
        <f t="shared" si="14"/>
        <v>0</v>
      </c>
      <c r="AJ20" s="78">
        <f t="shared" si="15"/>
        <v>0</v>
      </c>
      <c r="AK20" s="77">
        <f t="shared" si="16"/>
        <v>0</v>
      </c>
      <c r="AL20" s="79"/>
      <c r="AM20" s="78"/>
      <c r="AN20" s="78">
        <f t="shared" si="17"/>
        <v>0</v>
      </c>
      <c r="AO20" s="78">
        <f t="shared" si="18"/>
        <v>0</v>
      </c>
      <c r="AP20" s="78">
        <f t="shared" si="19"/>
        <v>0</v>
      </c>
      <c r="AQ20" s="77">
        <f t="shared" si="20"/>
        <v>0</v>
      </c>
      <c r="AR20" s="79"/>
      <c r="AS20" s="78"/>
      <c r="AT20" s="78">
        <f t="shared" si="21"/>
        <v>0</v>
      </c>
      <c r="AU20" s="78">
        <f t="shared" si="22"/>
        <v>0</v>
      </c>
      <c r="AV20" s="78">
        <f t="shared" si="23"/>
        <v>0</v>
      </c>
      <c r="AW20" s="77">
        <f t="shared" si="24"/>
        <v>0</v>
      </c>
      <c r="AX20" s="79"/>
      <c r="AY20" s="78"/>
      <c r="AZ20" s="78">
        <f t="shared" si="25"/>
        <v>0</v>
      </c>
      <c r="BA20" s="78">
        <f t="shared" si="26"/>
        <v>0</v>
      </c>
      <c r="BB20" s="78">
        <f t="shared" si="27"/>
        <v>0</v>
      </c>
      <c r="BC20" s="77">
        <f t="shared" si="28"/>
        <v>0</v>
      </c>
      <c r="BD20" s="79"/>
      <c r="BE20" s="78"/>
      <c r="BF20" s="78">
        <f t="shared" si="29"/>
        <v>0</v>
      </c>
      <c r="BG20" s="78">
        <f t="shared" si="30"/>
        <v>0</v>
      </c>
      <c r="BH20" s="78">
        <f t="shared" si="31"/>
        <v>0</v>
      </c>
      <c r="BI20" s="77">
        <f t="shared" si="32"/>
        <v>0</v>
      </c>
      <c r="BJ20" s="79"/>
      <c r="BK20" s="78"/>
      <c r="BL20" s="78">
        <f t="shared" si="33"/>
        <v>0</v>
      </c>
      <c r="BM20" s="78">
        <f t="shared" si="34"/>
        <v>0</v>
      </c>
      <c r="BN20" s="78">
        <f t="shared" si="35"/>
        <v>0</v>
      </c>
      <c r="BO20" s="77">
        <f t="shared" si="36"/>
        <v>0</v>
      </c>
      <c r="BP20" s="79"/>
      <c r="BQ20" s="78"/>
      <c r="BR20" s="78">
        <f t="shared" si="37"/>
        <v>0</v>
      </c>
      <c r="BS20" s="78">
        <f t="shared" si="38"/>
        <v>0</v>
      </c>
      <c r="BT20" s="78">
        <f t="shared" si="39"/>
        <v>0</v>
      </c>
      <c r="BU20" s="77">
        <f t="shared" si="40"/>
        <v>0</v>
      </c>
      <c r="BV20" s="79"/>
      <c r="BW20" s="78"/>
      <c r="BX20" s="78">
        <f t="shared" si="41"/>
        <v>0</v>
      </c>
      <c r="BY20" s="78">
        <f t="shared" si="42"/>
        <v>0</v>
      </c>
      <c r="BZ20" s="78">
        <f t="shared" si="43"/>
        <v>0</v>
      </c>
      <c r="CA20" s="77">
        <f t="shared" si="44"/>
        <v>0</v>
      </c>
      <c r="CB20" s="79"/>
      <c r="CC20" s="78"/>
      <c r="CD20" s="78">
        <f t="shared" si="45"/>
        <v>0</v>
      </c>
      <c r="CE20" s="78">
        <f t="shared" si="46"/>
        <v>0</v>
      </c>
      <c r="CF20" s="78">
        <f t="shared" si="47"/>
        <v>0</v>
      </c>
      <c r="CG20" s="77">
        <f t="shared" si="48"/>
        <v>0</v>
      </c>
      <c r="CH20" s="79"/>
      <c r="CI20" s="78"/>
      <c r="CJ20" s="78">
        <f t="shared" si="49"/>
        <v>0</v>
      </c>
      <c r="CK20" s="78">
        <f t="shared" si="50"/>
        <v>0</v>
      </c>
      <c r="CL20" s="78">
        <f t="shared" si="51"/>
        <v>0</v>
      </c>
      <c r="CM20" s="77">
        <f t="shared" si="52"/>
        <v>0</v>
      </c>
      <c r="CN20" s="79"/>
      <c r="CO20" s="78"/>
      <c r="CP20" s="78">
        <f t="shared" si="53"/>
        <v>0</v>
      </c>
      <c r="CQ20" s="78">
        <f t="shared" si="54"/>
        <v>0</v>
      </c>
      <c r="CR20" s="78">
        <f t="shared" si="55"/>
        <v>0</v>
      </c>
      <c r="CS20" s="77">
        <f t="shared" si="56"/>
        <v>0</v>
      </c>
      <c r="CT20" s="79"/>
      <c r="CU20" s="78"/>
      <c r="CV20" s="78">
        <f t="shared" si="57"/>
        <v>0</v>
      </c>
      <c r="CW20" s="78">
        <f t="shared" si="58"/>
        <v>0</v>
      </c>
      <c r="CX20" s="78">
        <f t="shared" si="59"/>
        <v>0</v>
      </c>
      <c r="CY20" s="77">
        <f t="shared" si="60"/>
        <v>0</v>
      </c>
      <c r="CZ20" s="79"/>
      <c r="DA20" s="78"/>
      <c r="DB20" s="78">
        <f t="shared" si="61"/>
        <v>0</v>
      </c>
      <c r="DC20" s="78">
        <f t="shared" si="62"/>
        <v>0</v>
      </c>
      <c r="DD20" s="78">
        <f t="shared" si="63"/>
        <v>0</v>
      </c>
      <c r="DE20" s="77">
        <f t="shared" si="64"/>
        <v>0</v>
      </c>
      <c r="DF20" s="79"/>
      <c r="DG20" s="78"/>
      <c r="DH20" s="78">
        <f t="shared" si="65"/>
        <v>0</v>
      </c>
      <c r="DI20" s="78">
        <f t="shared" si="66"/>
        <v>0</v>
      </c>
      <c r="DJ20" s="78">
        <f t="shared" si="67"/>
        <v>0</v>
      </c>
      <c r="DK20" s="77">
        <f t="shared" si="68"/>
        <v>0</v>
      </c>
      <c r="DL20" s="79"/>
      <c r="DM20" s="90"/>
      <c r="DN20" s="90">
        <f t="shared" si="69"/>
        <v>0</v>
      </c>
      <c r="DO20" s="90">
        <f t="shared" si="70"/>
        <v>0</v>
      </c>
      <c r="DP20" s="90">
        <f t="shared" si="71"/>
        <v>0</v>
      </c>
      <c r="DQ20" s="94">
        <f t="shared" si="72"/>
        <v>0</v>
      </c>
      <c r="DR20" s="79"/>
      <c r="DS20" s="78"/>
      <c r="DT20" s="78">
        <f t="shared" si="73"/>
        <v>0</v>
      </c>
      <c r="DU20" s="78">
        <f t="shared" si="74"/>
        <v>0</v>
      </c>
      <c r="DV20" s="78">
        <f t="shared" si="75"/>
        <v>0</v>
      </c>
      <c r="DW20" s="77">
        <f t="shared" si="76"/>
        <v>0</v>
      </c>
      <c r="DX20" s="79"/>
      <c r="DY20" s="78"/>
      <c r="DZ20" s="78">
        <f t="shared" si="77"/>
        <v>0</v>
      </c>
      <c r="EA20" s="78">
        <f t="shared" si="78"/>
        <v>0</v>
      </c>
      <c r="EB20" s="78">
        <f t="shared" si="79"/>
        <v>0</v>
      </c>
      <c r="EC20" s="77">
        <f t="shared" si="80"/>
        <v>0</v>
      </c>
      <c r="ED20" s="79"/>
      <c r="EE20" s="78"/>
      <c r="EF20" s="78">
        <f t="shared" si="81"/>
        <v>0</v>
      </c>
      <c r="EG20" s="78">
        <f t="shared" si="82"/>
        <v>0</v>
      </c>
      <c r="EH20" s="78">
        <f t="shared" si="83"/>
        <v>0</v>
      </c>
      <c r="EI20" s="77">
        <f t="shared" si="84"/>
        <v>0</v>
      </c>
      <c r="EJ20" s="79"/>
      <c r="EK20" s="78"/>
      <c r="EL20" s="78">
        <f t="shared" si="85"/>
        <v>0</v>
      </c>
      <c r="EM20" s="78">
        <f t="shared" si="86"/>
        <v>0</v>
      </c>
      <c r="EN20" s="78">
        <f t="shared" si="87"/>
        <v>0</v>
      </c>
      <c r="EO20" s="77">
        <f t="shared" si="88"/>
        <v>0</v>
      </c>
      <c r="EP20" s="79"/>
      <c r="EQ20" s="78"/>
      <c r="ER20" s="78">
        <f t="shared" si="89"/>
        <v>0</v>
      </c>
      <c r="ES20" s="78">
        <f t="shared" si="90"/>
        <v>0</v>
      </c>
      <c r="ET20" s="78">
        <f t="shared" si="91"/>
        <v>0</v>
      </c>
      <c r="EU20" s="77">
        <f t="shared" si="92"/>
        <v>0</v>
      </c>
      <c r="EV20" s="79"/>
      <c r="EW20" s="78"/>
      <c r="EX20" s="78">
        <f t="shared" si="93"/>
        <v>0</v>
      </c>
      <c r="EY20" s="78">
        <f t="shared" si="94"/>
        <v>0</v>
      </c>
      <c r="EZ20" s="78">
        <f t="shared" si="95"/>
        <v>0</v>
      </c>
      <c r="FA20" s="77">
        <f t="shared" si="96"/>
        <v>0</v>
      </c>
      <c r="FB20" s="79"/>
      <c r="FC20" s="78"/>
      <c r="FD20" s="78">
        <f t="shared" si="97"/>
        <v>0</v>
      </c>
      <c r="FE20" s="78">
        <f t="shared" si="98"/>
        <v>0</v>
      </c>
      <c r="FF20" s="78">
        <f t="shared" si="99"/>
        <v>0</v>
      </c>
      <c r="FG20" s="77">
        <f t="shared" si="100"/>
        <v>0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.75" hidden="1">
      <c r="A21" s="51">
        <v>45383</v>
      </c>
      <c r="C21" s="77"/>
      <c r="D21" s="77"/>
      <c r="E21" s="77">
        <f t="shared" si="0"/>
        <v>0</v>
      </c>
      <c r="F21" s="77"/>
      <c r="G21" s="77"/>
      <c r="H21" s="79"/>
      <c r="I21" s="79">
        <f>'2010C Academic'!I21</f>
        <v>0</v>
      </c>
      <c r="J21" s="79">
        <f>'2010C Academic'!J21</f>
        <v>0</v>
      </c>
      <c r="K21" s="79">
        <f t="shared" si="1"/>
        <v>0</v>
      </c>
      <c r="L21" s="79">
        <f>'2010C Academic'!L21</f>
        <v>0</v>
      </c>
      <c r="M21" s="79">
        <f>'2010C Academic'!M21</f>
        <v>0</v>
      </c>
      <c r="N21" s="79"/>
      <c r="O21" s="78">
        <f t="shared" si="2"/>
        <v>0</v>
      </c>
      <c r="P21" s="80">
        <f t="shared" si="2"/>
        <v>0</v>
      </c>
      <c r="Q21" s="78">
        <f t="shared" si="3"/>
        <v>0</v>
      </c>
      <c r="R21" s="78">
        <f t="shared" si="4"/>
        <v>0</v>
      </c>
      <c r="S21" s="78">
        <f t="shared" si="4"/>
        <v>0</v>
      </c>
      <c r="T21" s="79"/>
      <c r="U21" s="78">
        <f t="shared" si="102"/>
        <v>0</v>
      </c>
      <c r="V21" s="77">
        <f t="shared" si="5"/>
        <v>0</v>
      </c>
      <c r="W21" s="78">
        <f t="shared" si="6"/>
        <v>0</v>
      </c>
      <c r="X21" s="78">
        <f t="shared" si="7"/>
        <v>0</v>
      </c>
      <c r="Y21" s="77">
        <f t="shared" si="8"/>
        <v>0</v>
      </c>
      <c r="Z21" s="79"/>
      <c r="AA21" s="78">
        <f t="shared" si="103"/>
        <v>0</v>
      </c>
      <c r="AB21" s="78">
        <f t="shared" si="9"/>
        <v>0</v>
      </c>
      <c r="AC21" s="78">
        <f t="shared" si="10"/>
        <v>0</v>
      </c>
      <c r="AD21" s="78">
        <f t="shared" si="11"/>
        <v>0</v>
      </c>
      <c r="AE21" s="77">
        <f t="shared" si="12"/>
        <v>0</v>
      </c>
      <c r="AF21" s="79"/>
      <c r="AG21" s="78">
        <f t="shared" si="104"/>
        <v>0</v>
      </c>
      <c r="AH21" s="78">
        <f t="shared" si="13"/>
        <v>0</v>
      </c>
      <c r="AI21" s="78">
        <f t="shared" si="14"/>
        <v>0</v>
      </c>
      <c r="AJ21" s="78">
        <f t="shared" si="15"/>
        <v>0</v>
      </c>
      <c r="AK21" s="77">
        <f t="shared" si="16"/>
        <v>0</v>
      </c>
      <c r="AL21" s="79"/>
      <c r="AM21" s="78">
        <f t="shared" si="105"/>
        <v>0</v>
      </c>
      <c r="AN21" s="78">
        <f t="shared" si="17"/>
        <v>0</v>
      </c>
      <c r="AO21" s="78">
        <f t="shared" si="18"/>
        <v>0</v>
      </c>
      <c r="AP21" s="78">
        <f t="shared" si="19"/>
        <v>0</v>
      </c>
      <c r="AQ21" s="77">
        <f t="shared" si="20"/>
        <v>0</v>
      </c>
      <c r="AR21" s="79"/>
      <c r="AS21" s="78">
        <f t="shared" si="106"/>
        <v>0</v>
      </c>
      <c r="AT21" s="78">
        <f t="shared" si="21"/>
        <v>0</v>
      </c>
      <c r="AU21" s="78">
        <f t="shared" si="22"/>
        <v>0</v>
      </c>
      <c r="AV21" s="78">
        <f t="shared" si="23"/>
        <v>0</v>
      </c>
      <c r="AW21" s="77">
        <f t="shared" si="24"/>
        <v>0</v>
      </c>
      <c r="AX21" s="79"/>
      <c r="AY21" s="78">
        <f t="shared" si="107"/>
        <v>0</v>
      </c>
      <c r="AZ21" s="78">
        <f t="shared" si="25"/>
        <v>0</v>
      </c>
      <c r="BA21" s="78">
        <f t="shared" si="26"/>
        <v>0</v>
      </c>
      <c r="BB21" s="78">
        <f t="shared" si="27"/>
        <v>0</v>
      </c>
      <c r="BC21" s="77">
        <f t="shared" si="28"/>
        <v>0</v>
      </c>
      <c r="BD21" s="79"/>
      <c r="BE21" s="78">
        <f t="shared" si="108"/>
        <v>0</v>
      </c>
      <c r="BF21" s="78">
        <f t="shared" si="29"/>
        <v>0</v>
      </c>
      <c r="BG21" s="78">
        <f t="shared" si="30"/>
        <v>0</v>
      </c>
      <c r="BH21" s="78">
        <f t="shared" si="31"/>
        <v>0</v>
      </c>
      <c r="BI21" s="77">
        <f t="shared" si="32"/>
        <v>0</v>
      </c>
      <c r="BJ21" s="79"/>
      <c r="BK21" s="78">
        <f t="shared" si="109"/>
        <v>0</v>
      </c>
      <c r="BL21" s="78">
        <f t="shared" si="33"/>
        <v>0</v>
      </c>
      <c r="BM21" s="78">
        <f t="shared" si="34"/>
        <v>0</v>
      </c>
      <c r="BN21" s="78">
        <f t="shared" si="35"/>
        <v>0</v>
      </c>
      <c r="BO21" s="77">
        <f t="shared" si="36"/>
        <v>0</v>
      </c>
      <c r="BP21" s="79"/>
      <c r="BQ21" s="78">
        <f t="shared" si="110"/>
        <v>0</v>
      </c>
      <c r="BR21" s="78">
        <f t="shared" si="37"/>
        <v>0</v>
      </c>
      <c r="BS21" s="78">
        <f t="shared" si="38"/>
        <v>0</v>
      </c>
      <c r="BT21" s="78">
        <f t="shared" si="39"/>
        <v>0</v>
      </c>
      <c r="BU21" s="77">
        <f t="shared" si="40"/>
        <v>0</v>
      </c>
      <c r="BV21" s="79"/>
      <c r="BW21" s="78">
        <f t="shared" si="111"/>
        <v>0</v>
      </c>
      <c r="BX21" s="78">
        <f t="shared" si="41"/>
        <v>0</v>
      </c>
      <c r="BY21" s="78">
        <f t="shared" si="42"/>
        <v>0</v>
      </c>
      <c r="BZ21" s="78">
        <f t="shared" si="43"/>
        <v>0</v>
      </c>
      <c r="CA21" s="77">
        <f t="shared" si="44"/>
        <v>0</v>
      </c>
      <c r="CB21" s="79"/>
      <c r="CC21" s="78">
        <f t="shared" si="112"/>
        <v>0</v>
      </c>
      <c r="CD21" s="78">
        <f t="shared" si="45"/>
        <v>0</v>
      </c>
      <c r="CE21" s="78">
        <f t="shared" si="46"/>
        <v>0</v>
      </c>
      <c r="CF21" s="78">
        <f t="shared" si="47"/>
        <v>0</v>
      </c>
      <c r="CG21" s="77">
        <f t="shared" si="48"/>
        <v>0</v>
      </c>
      <c r="CH21" s="79"/>
      <c r="CI21" s="78">
        <f t="shared" si="113"/>
        <v>0</v>
      </c>
      <c r="CJ21" s="78">
        <f t="shared" si="49"/>
        <v>0</v>
      </c>
      <c r="CK21" s="78">
        <f t="shared" si="50"/>
        <v>0</v>
      </c>
      <c r="CL21" s="78">
        <f t="shared" si="51"/>
        <v>0</v>
      </c>
      <c r="CM21" s="77">
        <f t="shared" si="52"/>
        <v>0</v>
      </c>
      <c r="CN21" s="79"/>
      <c r="CO21" s="78">
        <f t="shared" si="114"/>
        <v>0</v>
      </c>
      <c r="CP21" s="78">
        <f t="shared" si="53"/>
        <v>0</v>
      </c>
      <c r="CQ21" s="78">
        <f t="shared" si="54"/>
        <v>0</v>
      </c>
      <c r="CR21" s="78">
        <f t="shared" si="55"/>
        <v>0</v>
      </c>
      <c r="CS21" s="77">
        <f t="shared" si="56"/>
        <v>0</v>
      </c>
      <c r="CT21" s="79"/>
      <c r="CU21" s="78">
        <f t="shared" si="115"/>
        <v>0</v>
      </c>
      <c r="CV21" s="78">
        <f t="shared" si="57"/>
        <v>0</v>
      </c>
      <c r="CW21" s="78">
        <f t="shared" si="58"/>
        <v>0</v>
      </c>
      <c r="CX21" s="78">
        <f t="shared" si="59"/>
        <v>0</v>
      </c>
      <c r="CY21" s="77">
        <f t="shared" si="60"/>
        <v>0</v>
      </c>
      <c r="CZ21" s="79"/>
      <c r="DA21" s="78">
        <f t="shared" si="116"/>
        <v>0</v>
      </c>
      <c r="DB21" s="78">
        <f t="shared" si="61"/>
        <v>0</v>
      </c>
      <c r="DC21" s="78">
        <f t="shared" si="62"/>
        <v>0</v>
      </c>
      <c r="DD21" s="78">
        <f t="shared" si="63"/>
        <v>0</v>
      </c>
      <c r="DE21" s="77">
        <f t="shared" si="64"/>
        <v>0</v>
      </c>
      <c r="DF21" s="79"/>
      <c r="DG21" s="78">
        <f t="shared" si="117"/>
        <v>0</v>
      </c>
      <c r="DH21" s="78">
        <f t="shared" si="65"/>
        <v>0</v>
      </c>
      <c r="DI21" s="78">
        <f t="shared" si="66"/>
        <v>0</v>
      </c>
      <c r="DJ21" s="78">
        <f t="shared" si="67"/>
        <v>0</v>
      </c>
      <c r="DK21" s="77">
        <f t="shared" si="68"/>
        <v>0</v>
      </c>
      <c r="DL21" s="79"/>
      <c r="DM21" s="90">
        <f t="shared" si="118"/>
        <v>0</v>
      </c>
      <c r="DN21" s="90">
        <f t="shared" si="69"/>
        <v>0</v>
      </c>
      <c r="DO21" s="90">
        <f t="shared" si="70"/>
        <v>0</v>
      </c>
      <c r="DP21" s="90">
        <f t="shared" si="71"/>
        <v>0</v>
      </c>
      <c r="DQ21" s="94">
        <f t="shared" si="72"/>
        <v>0</v>
      </c>
      <c r="DR21" s="79"/>
      <c r="DS21" s="78">
        <f t="shared" si="119"/>
        <v>0</v>
      </c>
      <c r="DT21" s="78">
        <f t="shared" si="73"/>
        <v>0</v>
      </c>
      <c r="DU21" s="78">
        <f t="shared" si="74"/>
        <v>0</v>
      </c>
      <c r="DV21" s="78">
        <f t="shared" si="75"/>
        <v>0</v>
      </c>
      <c r="DW21" s="77">
        <f t="shared" si="76"/>
        <v>0</v>
      </c>
      <c r="DX21" s="79"/>
      <c r="DY21" s="78">
        <f t="shared" si="120"/>
        <v>0</v>
      </c>
      <c r="DZ21" s="78">
        <f t="shared" si="77"/>
        <v>0</v>
      </c>
      <c r="EA21" s="78">
        <f t="shared" si="78"/>
        <v>0</v>
      </c>
      <c r="EB21" s="78">
        <f t="shared" si="79"/>
        <v>0</v>
      </c>
      <c r="EC21" s="77">
        <f t="shared" si="80"/>
        <v>0</v>
      </c>
      <c r="ED21" s="79"/>
      <c r="EE21" s="78">
        <f t="shared" si="121"/>
        <v>0</v>
      </c>
      <c r="EF21" s="78">
        <f t="shared" si="81"/>
        <v>0</v>
      </c>
      <c r="EG21" s="78">
        <f t="shared" si="82"/>
        <v>0</v>
      </c>
      <c r="EH21" s="78">
        <f t="shared" si="83"/>
        <v>0</v>
      </c>
      <c r="EI21" s="77">
        <f t="shared" si="84"/>
        <v>0</v>
      </c>
      <c r="EJ21" s="79"/>
      <c r="EK21" s="78">
        <f t="shared" si="122"/>
        <v>0</v>
      </c>
      <c r="EL21" s="78">
        <f t="shared" si="85"/>
        <v>0</v>
      </c>
      <c r="EM21" s="78">
        <f t="shared" si="86"/>
        <v>0</v>
      </c>
      <c r="EN21" s="78">
        <f t="shared" si="87"/>
        <v>0</v>
      </c>
      <c r="EO21" s="77">
        <f t="shared" si="88"/>
        <v>0</v>
      </c>
      <c r="EP21" s="79"/>
      <c r="EQ21" s="78">
        <f t="shared" si="123"/>
        <v>0</v>
      </c>
      <c r="ER21" s="78">
        <f t="shared" si="89"/>
        <v>0</v>
      </c>
      <c r="ES21" s="78">
        <f t="shared" si="90"/>
        <v>0</v>
      </c>
      <c r="ET21" s="78">
        <f t="shared" si="91"/>
        <v>0</v>
      </c>
      <c r="EU21" s="77">
        <f t="shared" si="92"/>
        <v>0</v>
      </c>
      <c r="EV21" s="79"/>
      <c r="EW21" s="78">
        <f t="shared" si="124"/>
        <v>0</v>
      </c>
      <c r="EX21" s="78">
        <f t="shared" si="93"/>
        <v>0</v>
      </c>
      <c r="EY21" s="78">
        <f t="shared" si="94"/>
        <v>0</v>
      </c>
      <c r="EZ21" s="78">
        <f t="shared" si="95"/>
        <v>0</v>
      </c>
      <c r="FA21" s="77">
        <f t="shared" si="96"/>
        <v>0</v>
      </c>
      <c r="FB21" s="79"/>
      <c r="FC21" s="78">
        <f t="shared" si="125"/>
        <v>0</v>
      </c>
      <c r="FD21" s="78">
        <f t="shared" si="97"/>
        <v>0</v>
      </c>
      <c r="FE21" s="78">
        <f t="shared" si="98"/>
        <v>0</v>
      </c>
      <c r="FF21" s="78">
        <f t="shared" si="99"/>
        <v>0</v>
      </c>
      <c r="FG21" s="77">
        <f t="shared" si="100"/>
        <v>0</v>
      </c>
      <c r="FH21" s="79"/>
      <c r="FI21" s="80"/>
      <c r="FJ21" s="78"/>
      <c r="FK21" s="78"/>
      <c r="FL21" s="78"/>
      <c r="FM21" s="77">
        <f t="shared" si="101"/>
        <v>0</v>
      </c>
    </row>
    <row r="22" spans="3:169" ht="12.75">
      <c r="C22" s="42"/>
      <c r="D22" s="42"/>
      <c r="E22" s="42"/>
      <c r="F22" s="42"/>
      <c r="G22" s="42"/>
      <c r="J22" s="50"/>
      <c r="M22" s="42"/>
      <c r="S22" s="42"/>
      <c r="Y22" s="42"/>
      <c r="AA22" s="33"/>
      <c r="AB22" s="33"/>
      <c r="AE22" s="42"/>
      <c r="AG22" s="33"/>
      <c r="AH22" s="33"/>
      <c r="AI22" s="33"/>
      <c r="AJ22" s="33"/>
      <c r="AK22" s="42"/>
      <c r="AM22" s="20"/>
      <c r="AN22" s="20"/>
      <c r="AO22" s="20"/>
      <c r="AP22" s="20"/>
      <c r="AQ22" s="42"/>
      <c r="AR22" s="33"/>
      <c r="AS22" s="33"/>
      <c r="AT22" s="33"/>
      <c r="AU22" s="33"/>
      <c r="AV22" s="33"/>
      <c r="AW22" s="42"/>
      <c r="AX22" s="33"/>
      <c r="AY22" s="33"/>
      <c r="AZ22" s="33"/>
      <c r="BA22" s="33"/>
      <c r="BB22" s="33"/>
      <c r="BC22" s="42"/>
      <c r="BD22" s="33"/>
      <c r="BE22" s="33"/>
      <c r="BF22" s="33"/>
      <c r="BG22" s="33"/>
      <c r="BH22" s="33"/>
      <c r="BI22" s="42"/>
      <c r="BJ22" s="33"/>
      <c r="BK22" s="33"/>
      <c r="BL22" s="33"/>
      <c r="BM22" s="33"/>
      <c r="BN22" s="33"/>
      <c r="BO22" s="42"/>
      <c r="BP22" s="33"/>
      <c r="BQ22" s="33"/>
      <c r="BR22" s="33"/>
      <c r="BS22" s="33"/>
      <c r="BT22" s="33"/>
      <c r="BU22" s="42"/>
      <c r="BV22" s="33"/>
      <c r="BW22" s="33"/>
      <c r="BX22" s="33"/>
      <c r="BY22" s="33"/>
      <c r="BZ22" s="33"/>
      <c r="CA22" s="42"/>
      <c r="CB22" s="33"/>
      <c r="CC22" s="33"/>
      <c r="CD22" s="33"/>
      <c r="CE22" s="33"/>
      <c r="CF22" s="33"/>
      <c r="CG22" s="42"/>
      <c r="CH22" s="33"/>
      <c r="CI22" s="33"/>
      <c r="CJ22" s="33"/>
      <c r="CK22" s="33"/>
      <c r="CL22" s="33"/>
      <c r="CM22" s="42"/>
      <c r="CN22" s="33"/>
      <c r="CO22" s="33"/>
      <c r="CP22" s="33"/>
      <c r="CQ22" s="33"/>
      <c r="CR22" s="33"/>
      <c r="CS22" s="42"/>
      <c r="CT22" s="33"/>
      <c r="CU22" s="33"/>
      <c r="CV22" s="33"/>
      <c r="CW22" s="33"/>
      <c r="CX22" s="33"/>
      <c r="CY22" s="42"/>
      <c r="CZ22" s="33"/>
      <c r="DA22" s="33"/>
      <c r="DB22" s="33"/>
      <c r="DC22" s="33"/>
      <c r="DD22" s="33"/>
      <c r="DE22" s="42"/>
      <c r="DF22" s="33"/>
      <c r="DG22" s="33"/>
      <c r="DH22" s="33"/>
      <c r="DI22" s="33"/>
      <c r="DJ22" s="33"/>
      <c r="DK22" s="42"/>
      <c r="DL22" s="33"/>
      <c r="DM22" s="95"/>
      <c r="DN22" s="95"/>
      <c r="DO22" s="95"/>
      <c r="DP22" s="95"/>
      <c r="DQ22" s="96"/>
      <c r="DR22" s="33"/>
      <c r="DS22" s="33"/>
      <c r="DT22" s="33"/>
      <c r="DU22" s="33"/>
      <c r="DV22" s="33"/>
      <c r="DW22" s="42"/>
      <c r="DX22" s="33"/>
      <c r="DY22" s="33"/>
      <c r="DZ22" s="33"/>
      <c r="EA22" s="33"/>
      <c r="EB22" s="33"/>
      <c r="EC22" s="42"/>
      <c r="ED22" s="33"/>
      <c r="EE22" s="33"/>
      <c r="EF22" s="33"/>
      <c r="EG22" s="33"/>
      <c r="EH22" s="33"/>
      <c r="EI22" s="42"/>
      <c r="EJ22" s="33"/>
      <c r="EK22" s="33"/>
      <c r="EL22" s="33"/>
      <c r="EM22" s="33"/>
      <c r="EN22" s="33"/>
      <c r="EO22" s="42"/>
      <c r="EP22" s="33"/>
      <c r="EQ22" s="33"/>
      <c r="ER22" s="33"/>
      <c r="ES22" s="33"/>
      <c r="ET22" s="33"/>
      <c r="EU22" s="42"/>
      <c r="EV22" s="33"/>
      <c r="EW22" s="33"/>
      <c r="EX22" s="33"/>
      <c r="EY22" s="33"/>
      <c r="EZ22" s="33"/>
      <c r="FA22" s="42"/>
      <c r="FB22" s="33"/>
      <c r="FC22" s="33"/>
      <c r="FD22" s="33"/>
      <c r="FE22" s="33"/>
      <c r="FF22" s="33"/>
      <c r="FG22" s="42"/>
      <c r="FH22" s="33"/>
      <c r="FI22" s="50"/>
      <c r="FJ22" s="50"/>
      <c r="FK22" s="50"/>
      <c r="FL22" s="50"/>
      <c r="FM22" s="42"/>
    </row>
    <row r="23" spans="1:169" ht="13.5" thickBot="1">
      <c r="A23" s="31" t="s">
        <v>4</v>
      </c>
      <c r="C23" s="49">
        <f>SUM(C8:C22)</f>
        <v>17155000</v>
      </c>
      <c r="D23" s="49">
        <f>SUM(D8:D22)</f>
        <v>1874800</v>
      </c>
      <c r="E23" s="49">
        <f>SUM(E8:E22)</f>
        <v>19029800</v>
      </c>
      <c r="F23" s="49">
        <f>SUM(F8:F22)</f>
        <v>881911</v>
      </c>
      <c r="G23" s="49">
        <f>SUM(G8:G22)</f>
        <v>52717</v>
      </c>
      <c r="I23" s="49">
        <f>SUM(I8:I22)</f>
        <v>9312178.3145</v>
      </c>
      <c r="J23" s="49">
        <f>SUM(J8:J22)</f>
        <v>1017689.99732</v>
      </c>
      <c r="K23" s="49">
        <f>SUM(K8:K22)</f>
        <v>10329868.311819999</v>
      </c>
      <c r="L23" s="49">
        <f>SUM(L8:L22)</f>
        <v>478724.13229489996</v>
      </c>
      <c r="M23" s="49">
        <f>SUM(M8:M22)</f>
        <v>28616.152970299994</v>
      </c>
      <c r="O23" s="49">
        <f>SUM(O8:O22)</f>
        <v>7842821.6855</v>
      </c>
      <c r="P23" s="49">
        <f>SUM(P8:P22)</f>
        <v>857110.0026800002</v>
      </c>
      <c r="Q23" s="49">
        <f>SUM(Q8:Q22)</f>
        <v>8699931.68818</v>
      </c>
      <c r="R23" s="49">
        <f>SUM(R8:R22)</f>
        <v>403186.8677051001</v>
      </c>
      <c r="S23" s="49">
        <f>SUM(S8:S22)</f>
        <v>24100.847029700006</v>
      </c>
      <c r="U23" s="49">
        <f>SUM(U8:U22)</f>
        <v>1401975.22</v>
      </c>
      <c r="V23" s="49">
        <f>SUM(V8:V22)</f>
        <v>153216.15519999998</v>
      </c>
      <c r="W23" s="49">
        <f>SUM(W8:W22)</f>
        <v>1555191.3752</v>
      </c>
      <c r="X23" s="49">
        <f>SUM(X8:X22)</f>
        <v>72073.29456400001</v>
      </c>
      <c r="Y23" s="49">
        <f>SUM(Y8:Y22)</f>
        <v>4308.244108000001</v>
      </c>
      <c r="AA23" s="49">
        <f>SUM(AA8:AA22)</f>
        <v>1021830.713</v>
      </c>
      <c r="AB23" s="49">
        <f>SUM(AB8:AB22)</f>
        <v>111671.71208000001</v>
      </c>
      <c r="AC23" s="49">
        <f>SUM(AC8:AC22)</f>
        <v>1133502.42508</v>
      </c>
      <c r="AD23" s="49">
        <f>SUM(AD8:AD22)</f>
        <v>52530.6759506</v>
      </c>
      <c r="AE23" s="49">
        <f>SUM(AE8:AE22)</f>
        <v>3140.0670182</v>
      </c>
      <c r="AG23" s="49">
        <f>SUM(AG8:AG22)</f>
        <v>541761.762</v>
      </c>
      <c r="AH23" s="49">
        <f>SUM(AH8:AH22)</f>
        <v>59206.93392000001</v>
      </c>
      <c r="AI23" s="49">
        <f>SUM(AI8:AI22)</f>
        <v>600968.69592</v>
      </c>
      <c r="AJ23" s="49">
        <f>SUM(AJ8:AJ22)</f>
        <v>27851.1021444</v>
      </c>
      <c r="AK23" s="49">
        <f>SUM(AK8:AK22)</f>
        <v>1664.8239468</v>
      </c>
      <c r="AM23" s="49">
        <f>SUM(AM8:AM22)</f>
        <v>394016.04000000004</v>
      </c>
      <c r="AN23" s="49">
        <f>SUM(AN8:AN22)</f>
        <v>43060.4064</v>
      </c>
      <c r="AO23" s="49">
        <f>SUM(AO8:AO22)</f>
        <v>437076.4464</v>
      </c>
      <c r="AP23" s="49">
        <f>SUM(AP8:AP22)</f>
        <v>20255.731848</v>
      </c>
      <c r="AQ23" s="49">
        <f>SUM(AQ8:AQ22)</f>
        <v>1210.804056</v>
      </c>
      <c r="AR23" s="33"/>
      <c r="AS23" s="49">
        <f>SUM(AS8:AS22)</f>
        <v>45133.0895</v>
      </c>
      <c r="AT23" s="49">
        <f>SUM(AT8:AT22)</f>
        <v>4932.411319999999</v>
      </c>
      <c r="AU23" s="49">
        <f>SUM(AU8:AU22)</f>
        <v>50065.50082</v>
      </c>
      <c r="AV23" s="49">
        <f>SUM(AV8:AV22)</f>
        <v>2320.2196499</v>
      </c>
      <c r="AW23" s="49">
        <f>SUM(AW8:AW22)</f>
        <v>138.6931553</v>
      </c>
      <c r="AX23" s="33"/>
      <c r="AY23" s="49">
        <f>SUM(AY8:AY22)</f>
        <v>714040.8495</v>
      </c>
      <c r="AZ23" s="49">
        <f>SUM(AZ8:AZ22)</f>
        <v>78034.61291999999</v>
      </c>
      <c r="BA23" s="49">
        <f>SUM(BA8:BA22)</f>
        <v>792075.4624199998</v>
      </c>
      <c r="BB23" s="49">
        <f>SUM(BB8:BB22)</f>
        <v>36707.6933619</v>
      </c>
      <c r="BC23" s="49">
        <f>SUM(BC8:BC22)</f>
        <v>2194.2344193</v>
      </c>
      <c r="BD23" s="33"/>
      <c r="BE23" s="49">
        <f>SUM(BE8:BE22)</f>
        <v>77405.07549999999</v>
      </c>
      <c r="BF23" s="49">
        <f>SUM(BF8:BF22)</f>
        <v>8459.285080000001</v>
      </c>
      <c r="BG23" s="49">
        <f>SUM(BG8:BG22)</f>
        <v>85864.36058</v>
      </c>
      <c r="BH23" s="49">
        <f>SUM(BH8:BH22)</f>
        <v>3979.2706231</v>
      </c>
      <c r="BI23" s="49">
        <f>SUM(BI8:BI22)</f>
        <v>237.86437569999995</v>
      </c>
      <c r="BJ23" s="33"/>
      <c r="BK23" s="49">
        <f>SUM(BK8:BK22)</f>
        <v>242137.67849999998</v>
      </c>
      <c r="BL23" s="49">
        <f>SUM(BL8:BL22)</f>
        <v>26462.23956</v>
      </c>
      <c r="BM23" s="49">
        <f>SUM(BM8:BM22)</f>
        <v>268599.91806</v>
      </c>
      <c r="BN23" s="49">
        <f>SUM(BN8:BN22)</f>
        <v>12447.9091917</v>
      </c>
      <c r="BO23" s="49">
        <f>SUM(BO8:BO22)</f>
        <v>744.0846399</v>
      </c>
      <c r="BP23" s="33"/>
      <c r="BQ23" s="49">
        <f>SUM(BQ8:BQ22)</f>
        <v>122793.7745</v>
      </c>
      <c r="BR23" s="49">
        <f>SUM(BR8:BR22)</f>
        <v>13419.63092</v>
      </c>
      <c r="BS23" s="49">
        <f>SUM(BS8:BS22)</f>
        <v>136213.40542000002</v>
      </c>
      <c r="BT23" s="49">
        <f>SUM(BT8:BT22)</f>
        <v>6312.6307469</v>
      </c>
      <c r="BU23" s="49">
        <f>SUM(BU8:BU22)</f>
        <v>377.34301430000005</v>
      </c>
      <c r="BV23" s="33"/>
      <c r="BW23" s="49">
        <f>SUM(BW8:BW22)</f>
        <v>23847.1655</v>
      </c>
      <c r="BX23" s="49">
        <f>SUM(BX8:BX22)</f>
        <v>2606.15948</v>
      </c>
      <c r="BY23" s="49">
        <f>SUM(BY8:BY22)</f>
        <v>26453.324980000005</v>
      </c>
      <c r="BZ23" s="49">
        <f>SUM(BZ8:BZ22)</f>
        <v>1225.9444810999998</v>
      </c>
      <c r="CA23" s="49">
        <f>SUM(CA8:CA22)</f>
        <v>73.2819017</v>
      </c>
      <c r="CB23" s="33"/>
      <c r="CC23" s="49">
        <f>SUM(CC8:CC22)</f>
        <v>94753.927</v>
      </c>
      <c r="CD23" s="49">
        <f>SUM(CD8:CD22)</f>
        <v>10355.270320000001</v>
      </c>
      <c r="CE23" s="49">
        <f>SUM(CE8:CE22)</f>
        <v>105109.19732</v>
      </c>
      <c r="CF23" s="49">
        <f>SUM(CF8:CF22)</f>
        <v>4871.147217400001</v>
      </c>
      <c r="CG23" s="49">
        <f>SUM(CG8:CG22)</f>
        <v>291.1770778</v>
      </c>
      <c r="CH23" s="33"/>
      <c r="CI23" s="49">
        <f>SUM(CI8:CI22)</f>
        <v>231100.15149999998</v>
      </c>
      <c r="CJ23" s="49">
        <f>SUM(CJ8:CJ22)</f>
        <v>25255.993239999996</v>
      </c>
      <c r="CK23" s="49">
        <f>SUM(CK8:CK22)</f>
        <v>256356.14473999996</v>
      </c>
      <c r="CL23" s="49">
        <f>SUM(CL8:CL22)</f>
        <v>11880.4876543</v>
      </c>
      <c r="CM23" s="49">
        <f>SUM(CM8:CM22)</f>
        <v>710.1665221</v>
      </c>
      <c r="CN23" s="33"/>
      <c r="CO23" s="49">
        <f>SUM(CO8:CO22)</f>
        <v>517264.42199999996</v>
      </c>
      <c r="CP23" s="49">
        <f>SUM(CP8:CP22)</f>
        <v>56529.719519999984</v>
      </c>
      <c r="CQ23" s="49">
        <f>SUM(CQ8:CQ22)</f>
        <v>573794.1415200001</v>
      </c>
      <c r="CR23" s="49">
        <f>SUM(CR8:CR22)</f>
        <v>26591.7332364</v>
      </c>
      <c r="CS23" s="49">
        <f>SUM(CS8:CS22)</f>
        <v>1589.5440708</v>
      </c>
      <c r="CT23" s="33"/>
      <c r="CU23" s="49">
        <f>SUM(CU8:CU22)</f>
        <v>78259.3945</v>
      </c>
      <c r="CV23" s="49">
        <f>SUM(CV8:CV22)</f>
        <v>8552.65012</v>
      </c>
      <c r="CW23" s="49">
        <f>SUM(CW8:CW22)</f>
        <v>86812.04462</v>
      </c>
      <c r="CX23" s="49">
        <f>SUM(CX8:CX22)</f>
        <v>4023.1897909</v>
      </c>
      <c r="CY23" s="49">
        <f>SUM(CY8:CY22)</f>
        <v>240.48968229999997</v>
      </c>
      <c r="CZ23" s="33"/>
      <c r="DA23" s="49">
        <f>SUM(DA8:DA22)</f>
        <v>224866.0245</v>
      </c>
      <c r="DB23" s="49">
        <f>SUM(DB8:DB22)</f>
        <v>24574.69092</v>
      </c>
      <c r="DC23" s="49">
        <f>SUM(DC8:DC22)</f>
        <v>249440.71541999996</v>
      </c>
      <c r="DD23" s="49">
        <f>SUM(DD8:DD22)</f>
        <v>11560.0011969</v>
      </c>
      <c r="DE23" s="49">
        <f>SUM(DE8:DE22)</f>
        <v>691.0091643000001</v>
      </c>
      <c r="DF23" s="33"/>
      <c r="DG23" s="49">
        <f>SUM(DG8:DG22)</f>
        <v>8664.9905</v>
      </c>
      <c r="DH23" s="49">
        <f>SUM(DH8:DH22)</f>
        <v>946.9614799999998</v>
      </c>
      <c r="DI23" s="49">
        <f>SUM(DI8:DI22)</f>
        <v>9611.951980000002</v>
      </c>
      <c r="DJ23" s="49">
        <f>SUM(DJ8:DJ22)</f>
        <v>445.4532461</v>
      </c>
      <c r="DK23" s="49">
        <f>SUM(DK8:DK22)</f>
        <v>26.627356699999996</v>
      </c>
      <c r="DL23" s="33"/>
      <c r="DM23" s="97">
        <f>SUM(DM8:DM22)</f>
        <v>474366.62899999996</v>
      </c>
      <c r="DN23" s="97">
        <f>SUM(DN8:DN22)</f>
        <v>51841.594639999996</v>
      </c>
      <c r="DO23" s="97">
        <f>SUM(DO8:DO22)</f>
        <v>526208.2236399999</v>
      </c>
      <c r="DP23" s="97">
        <f>SUM(DP8:DP22)</f>
        <v>24386.4265898</v>
      </c>
      <c r="DQ23" s="97">
        <f>SUM(DQ8:DQ22)</f>
        <v>1457.7199406</v>
      </c>
      <c r="DR23" s="33"/>
      <c r="DS23" s="49">
        <f>SUM(DS8:DS22)</f>
        <v>74682.577</v>
      </c>
      <c r="DT23" s="49">
        <f>SUM(DT8:DT22)</f>
        <v>8161.75432</v>
      </c>
      <c r="DU23" s="49">
        <f>SUM(DU8:DU22)</f>
        <v>82844.33132</v>
      </c>
      <c r="DV23" s="49">
        <f>SUM(DV8:DV22)</f>
        <v>3839.3113474000006</v>
      </c>
      <c r="DW23" s="49">
        <f>SUM(DW8:DW22)</f>
        <v>229.4981878</v>
      </c>
      <c r="DX23" s="33"/>
      <c r="DY23" s="49">
        <f>SUM(DY8:DY22)</f>
        <v>384321.7495</v>
      </c>
      <c r="DZ23" s="49">
        <f>SUM(DZ8:DZ22)</f>
        <v>42000.956920000004</v>
      </c>
      <c r="EA23" s="49">
        <f>SUM(EA8:EA22)</f>
        <v>426322.70642</v>
      </c>
      <c r="EB23" s="49">
        <f>SUM(EB8:EB22)</f>
        <v>19757.3639419</v>
      </c>
      <c r="EC23" s="49">
        <f>SUM(EC8:EC22)</f>
        <v>1181.0136793000001</v>
      </c>
      <c r="ED23" s="33"/>
      <c r="EE23" s="49">
        <f>SUM(EE8:EE22)</f>
        <v>109719.94900000001</v>
      </c>
      <c r="EF23" s="49">
        <f>SUM(EF8:EF22)</f>
        <v>11990.845839999998</v>
      </c>
      <c r="EG23" s="49">
        <f>SUM(EG8:EG22)</f>
        <v>121710.79483999999</v>
      </c>
      <c r="EH23" s="49">
        <f>SUM(EH8:EH22)</f>
        <v>5640.526373800001</v>
      </c>
      <c r="EI23" s="49">
        <f>SUM(EI8:EI22)</f>
        <v>337.1673886</v>
      </c>
      <c r="EJ23" s="33"/>
      <c r="EK23" s="49">
        <f>SUM(EK8:EK22)</f>
        <v>1101.351</v>
      </c>
      <c r="EL23" s="49">
        <f>SUM(EL8:EL22)</f>
        <v>120.36216000000003</v>
      </c>
      <c r="EM23" s="49">
        <f>SUM(EM8:EM22)</f>
        <v>1221.71316</v>
      </c>
      <c r="EN23" s="49">
        <f>SUM(EN8:EN22)</f>
        <v>56.6186862</v>
      </c>
      <c r="EO23" s="49">
        <f>SUM(EO8:EO22)</f>
        <v>3.3844314</v>
      </c>
      <c r="EP23" s="33"/>
      <c r="EQ23" s="49">
        <f>SUM(EQ8:EQ22)</f>
        <v>2044.8759999999997</v>
      </c>
      <c r="ER23" s="49">
        <f>SUM(ER8:ER22)</f>
        <v>223.47616000000002</v>
      </c>
      <c r="ES23" s="49">
        <f>SUM(ES8:ES22)</f>
        <v>2268.3521599999995</v>
      </c>
      <c r="ET23" s="49">
        <f>SUM(ET8:ET22)</f>
        <v>105.1237912</v>
      </c>
      <c r="EU23" s="49">
        <f>SUM(EU8:EU22)</f>
        <v>6.283866400000001</v>
      </c>
      <c r="EV23" s="33"/>
      <c r="EW23" s="49">
        <f>SUM(EW8:EW22)</f>
        <v>369649.07800000004</v>
      </c>
      <c r="EX23" s="49">
        <f>SUM(EX8:EX22)</f>
        <v>40397.44047999999</v>
      </c>
      <c r="EY23" s="49">
        <f>SUM(EY8:EY22)</f>
        <v>410046.51847999997</v>
      </c>
      <c r="EZ23" s="49">
        <f>SUM(EZ8:EZ22)</f>
        <v>19003.0654636</v>
      </c>
      <c r="FA23" s="49">
        <f>SUM(FA8:FA22)</f>
        <v>1135.9248292</v>
      </c>
      <c r="FB23" s="33"/>
      <c r="FC23" s="49">
        <f>SUM(FC8:FC22)</f>
        <v>687085.1980000001</v>
      </c>
      <c r="FD23" s="49">
        <f>SUM(FD8:FD22)</f>
        <v>75088.73968</v>
      </c>
      <c r="FE23" s="49">
        <f>SUM(FE8:FE22)</f>
        <v>762173.93768</v>
      </c>
      <c r="FF23" s="49">
        <f>SUM(FF8:FF22)</f>
        <v>35321.946607599995</v>
      </c>
      <c r="FG23" s="49">
        <f>SUM(FG8:FG22)</f>
        <v>2111.4001971999996</v>
      </c>
      <c r="FH23" s="33"/>
      <c r="FI23" s="49">
        <f>SUM(FI8:FI22)</f>
        <v>0</v>
      </c>
      <c r="FJ23" s="49">
        <f>SUM(FJ8:FJ22)</f>
        <v>0</v>
      </c>
      <c r="FK23" s="49">
        <f>SUM(FK8:IV22)</f>
        <v>0</v>
      </c>
      <c r="FL23" s="42"/>
      <c r="FM23" s="49">
        <f>SUM(FM8:FM22)</f>
        <v>0</v>
      </c>
    </row>
    <row r="24" spans="33:43" ht="13.5" thickTop="1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16:43" ht="12.75">
      <c r="P25" s="33"/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6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" sqref="I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W2" s="45"/>
      <c r="AA2" s="43" t="str">
        <f>O2</f>
        <v>Distribution of Debt Services after 2010C Bond Issue</v>
      </c>
      <c r="AE2"/>
      <c r="AF2"/>
      <c r="AG2"/>
      <c r="AI2" s="45"/>
      <c r="AJ2"/>
      <c r="AK2"/>
      <c r="AL2"/>
      <c r="AM2" s="43" t="str">
        <f>AA2</f>
        <v>Distribution of Debt Services after 2010C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2010C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2010C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2010C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2010C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2010C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2010C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2010C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179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ht="12.75">
      <c r="A8" s="19">
        <v>43009</v>
      </c>
      <c r="C8" s="36"/>
      <c r="D8" s="36">
        <v>343100</v>
      </c>
      <c r="E8" s="77">
        <f aca="true" t="shared" si="0" ref="E8:E21">C8+D8</f>
        <v>343100</v>
      </c>
      <c r="F8" s="77">
        <v>110239</v>
      </c>
      <c r="G8" s="77">
        <v>6590</v>
      </c>
      <c r="H8" s="78"/>
      <c r="I8" s="79"/>
      <c r="J8" s="79">
        <f aca="true" t="shared" si="1" ref="J8:J21">P8+V8+AB8+AH8+AN8+AT8+AZ8+BF8+BL8+BR8+BX8+CD8+CJ8+CP8+CV8+DB8+DH8+DN8+DT8+DZ8+EF8+EL8+ER8+EX8+FD8+FJ8+FP8+FV8+GB8+GH8+GN8+GT8+GZ8</f>
        <v>186243.56629</v>
      </c>
      <c r="K8" s="79">
        <f aca="true" t="shared" si="2" ref="K8:K21">I8+J8</f>
        <v>186243.56629</v>
      </c>
      <c r="L8" s="79">
        <f aca="true" t="shared" si="3" ref="L8:M21">R8+X8+AD8+AJ8+AP8+AV8+BB8+BH8+BN8+BT8+BZ8+CF8+CL8+CR8+CX8+DD8+DJ8+DP8+DV8+EB8+EH8+EN8+ET8+EZ8+FF8+FL8+FR8+FX8+GD8+GJ8+GP8+GV8+HB8</f>
        <v>59840.5843901</v>
      </c>
      <c r="M8" s="79">
        <f t="shared" si="3"/>
        <v>3577.2226809999993</v>
      </c>
      <c r="N8" s="78"/>
      <c r="O8" s="78"/>
      <c r="P8" s="78">
        <f aca="true" t="shared" si="4" ref="P8:P21">D8*6.61452/100</f>
        <v>22694.41812</v>
      </c>
      <c r="Q8" s="79">
        <f aca="true" t="shared" si="5" ref="Q8:Q20">O8+P8</f>
        <v>22694.41812</v>
      </c>
      <c r="R8" s="79">
        <f aca="true" t="shared" si="6" ref="R8:R21">P$6*$F8</f>
        <v>7291.7807028</v>
      </c>
      <c r="S8" s="77">
        <f aca="true" t="shared" si="7" ref="S8:S21">P$6*$G8</f>
        <v>435.896868</v>
      </c>
      <c r="T8" s="78"/>
      <c r="U8" s="78"/>
      <c r="V8" s="78">
        <f aca="true" t="shared" si="8" ref="V8:V21">D8*0.11296/100</f>
        <v>387.56576</v>
      </c>
      <c r="W8" s="78">
        <f aca="true" t="shared" si="9" ref="W8:W21">U8+V8</f>
        <v>387.56576</v>
      </c>
      <c r="X8" s="79">
        <f aca="true" t="shared" si="10" ref="X8:X21">V$6*$F8</f>
        <v>124.5259744</v>
      </c>
      <c r="Y8" s="77">
        <f aca="true" t="shared" si="11" ref="Y8:Y21">V$6*$G8</f>
        <v>7.444063999999999</v>
      </c>
      <c r="Z8" s="78"/>
      <c r="AA8" s="79"/>
      <c r="AB8" s="78">
        <f aca="true" t="shared" si="12" ref="AB8:AB21">D8*0.50994/100</f>
        <v>1749.60414</v>
      </c>
      <c r="AC8" s="78">
        <f aca="true" t="shared" si="13" ref="AC8:AC21">AA8+AB8</f>
        <v>1749.60414</v>
      </c>
      <c r="AD8" s="79">
        <f aca="true" t="shared" si="14" ref="AD8:AD21">AB$6*$F8</f>
        <v>562.1527566</v>
      </c>
      <c r="AE8" s="77">
        <f aca="true" t="shared" si="15" ref="AE8:AE21">AB$6*$G8</f>
        <v>33.605045999999994</v>
      </c>
      <c r="AF8" s="78"/>
      <c r="AG8" s="78"/>
      <c r="AH8" s="78">
        <f aca="true" t="shared" si="16" ref="AH8:AH21">D8*8.86797/100</f>
        <v>30426.00507</v>
      </c>
      <c r="AI8" s="78">
        <f aca="true" t="shared" si="17" ref="AI8:AI21">AG8+AH8</f>
        <v>30426.00507</v>
      </c>
      <c r="AJ8" s="79">
        <f aca="true" t="shared" si="18" ref="AJ8:AJ21">AH$6*$F8</f>
        <v>9775.9614483</v>
      </c>
      <c r="AK8" s="77">
        <f aca="true" t="shared" si="19" ref="AK8:AK21">AH$6*$G8</f>
        <v>584.399223</v>
      </c>
      <c r="AL8" s="78"/>
      <c r="AM8" s="78"/>
      <c r="AN8" s="78">
        <f aca="true" t="shared" si="20" ref="AN8:AN21">D8*0.10742/100</f>
        <v>368.55802000000006</v>
      </c>
      <c r="AO8" s="78">
        <f aca="true" t="shared" si="21" ref="AO8:AO21">AM8+AN8</f>
        <v>368.55802000000006</v>
      </c>
      <c r="AP8" s="79">
        <f aca="true" t="shared" si="22" ref="AP8:AP21">AN$6*$F8</f>
        <v>118.4187338</v>
      </c>
      <c r="AQ8" s="77">
        <f aca="true" t="shared" si="23" ref="AQ8:AQ21">AN$6*$G8</f>
        <v>7.078978</v>
      </c>
      <c r="AR8" s="78"/>
      <c r="AS8" s="78"/>
      <c r="AT8" s="78">
        <f aca="true" t="shared" si="24" ref="AT8:AT21">D8*0.09059/100</f>
        <v>310.81429</v>
      </c>
      <c r="AU8" s="78">
        <f aca="true" t="shared" si="25" ref="AU8:AU21">AS8+AT8</f>
        <v>310.81429</v>
      </c>
      <c r="AV8" s="79">
        <f aca="true" t="shared" si="26" ref="AV8:AV21">AT$6*$F8</f>
        <v>99.8655101</v>
      </c>
      <c r="AW8" s="77">
        <f aca="true" t="shared" si="27" ref="AW8:AW21">AT$6*$G8</f>
        <v>5.969881</v>
      </c>
      <c r="AX8" s="78"/>
      <c r="AY8" s="78"/>
      <c r="AZ8" s="78">
        <f aca="true" t="shared" si="28" ref="AZ8:AZ21">D8*3.71668/100</f>
        <v>12751.92908</v>
      </c>
      <c r="BA8" s="78">
        <f aca="true" t="shared" si="29" ref="BA8:BA21">AY8+AZ8</f>
        <v>12751.92908</v>
      </c>
      <c r="BB8" s="79">
        <f aca="true" t="shared" si="30" ref="BB8:BB21">AZ$6*$F8</f>
        <v>4097.2308652</v>
      </c>
      <c r="BC8" s="77">
        <f aca="true" t="shared" si="31" ref="BC8:BC21">AZ$6*$G8</f>
        <v>244.929212</v>
      </c>
      <c r="BD8" s="78"/>
      <c r="BE8" s="78"/>
      <c r="BF8" s="78">
        <f aca="true" t="shared" si="32" ref="BF8:BF21">D8*7.62623/100</f>
        <v>26165.595129999998</v>
      </c>
      <c r="BG8" s="78">
        <f aca="true" t="shared" si="33" ref="BG8:BG21">BE8+BF8</f>
        <v>26165.595129999998</v>
      </c>
      <c r="BH8" s="79">
        <f aca="true" t="shared" si="34" ref="BH8:BH21">BF$6*$F8</f>
        <v>8407.0796897</v>
      </c>
      <c r="BI8" s="77">
        <f aca="true" t="shared" si="35" ref="BI8:BI21">BF$6*$G8</f>
        <v>502.56855700000006</v>
      </c>
      <c r="BJ8" s="78"/>
      <c r="BK8" s="78"/>
      <c r="BL8" s="78">
        <f aca="true" t="shared" si="36" ref="BL8:BL21">D8*0.08804/100</f>
        <v>302.06523999999996</v>
      </c>
      <c r="BM8" s="78">
        <f aca="true" t="shared" si="37" ref="BM8:BM21">BK8+BL8</f>
        <v>302.06523999999996</v>
      </c>
      <c r="BN8" s="79">
        <f aca="true" t="shared" si="38" ref="BN8:BN21">BL$6*$F8</f>
        <v>97.0544156</v>
      </c>
      <c r="BO8" s="77">
        <f aca="true" t="shared" si="39" ref="BO8:BO21">BL$6*$G8</f>
        <v>5.801836000000001</v>
      </c>
      <c r="BP8" s="78"/>
      <c r="BQ8" s="78"/>
      <c r="BR8" s="78">
        <f aca="true" t="shared" si="40" ref="BR8:BR21">D8*0.05914/100</f>
        <v>202.90934000000001</v>
      </c>
      <c r="BS8" s="78">
        <f aca="true" t="shared" si="41" ref="BS8:BS21">BQ8+BR8</f>
        <v>202.90934000000001</v>
      </c>
      <c r="BT8" s="79">
        <f aca="true" t="shared" si="42" ref="BT8:BT21">BR$6*$F8</f>
        <v>65.1953446</v>
      </c>
      <c r="BU8" s="77">
        <f aca="true" t="shared" si="43" ref="BU8:BU21">BR$6*$G8</f>
        <v>3.8973259999999996</v>
      </c>
      <c r="BV8" s="78"/>
      <c r="BW8" s="78"/>
      <c r="BX8" s="78">
        <f aca="true" t="shared" si="44" ref="BX8:BX21">D8*-0.00881/100</f>
        <v>-30.227110000000003</v>
      </c>
      <c r="BY8" s="78">
        <f aca="true" t="shared" si="45" ref="BY8:BY21">BW8+BX8</f>
        <v>-30.227110000000003</v>
      </c>
      <c r="BZ8" s="79">
        <f aca="true" t="shared" si="46" ref="BZ8:BZ21">BX$6*$F8</f>
        <v>-9.7120559</v>
      </c>
      <c r="CA8" s="77">
        <f aca="true" t="shared" si="47" ref="CA8:CA21">BX$6*$G8</f>
        <v>-0.580579</v>
      </c>
      <c r="CB8" s="78"/>
      <c r="CC8" s="78"/>
      <c r="CD8" s="78">
        <f aca="true" t="shared" si="48" ref="CD8:CD21">D8*-0.00574/100</f>
        <v>-19.69394</v>
      </c>
      <c r="CE8" s="78">
        <f aca="true" t="shared" si="49" ref="CE8:CE21">CC8+CD8</f>
        <v>-19.69394</v>
      </c>
      <c r="CF8" s="79">
        <f aca="true" t="shared" si="50" ref="CF8:CF21">CD$6*$F8</f>
        <v>-6.3277186</v>
      </c>
      <c r="CG8" s="77">
        <f aca="true" t="shared" si="51" ref="CG8:CG21">CD$6*$G8</f>
        <v>-0.378266</v>
      </c>
      <c r="CH8" s="78"/>
      <c r="CI8" s="78"/>
      <c r="CJ8" s="78">
        <f aca="true" t="shared" si="52" ref="CJ8:CJ21">D8*0.21346/100</f>
        <v>732.38126</v>
      </c>
      <c r="CK8" s="78">
        <f aca="true" t="shared" si="53" ref="CK8:CK21">CI8+CJ8</f>
        <v>732.38126</v>
      </c>
      <c r="CL8" s="79">
        <f aca="true" t="shared" si="54" ref="CL8:CL21">CJ$6*$F8</f>
        <v>235.3161694</v>
      </c>
      <c r="CM8" s="77">
        <f aca="true" t="shared" si="55" ref="CM8:CM21">CJ$6*$G8</f>
        <v>14.067014</v>
      </c>
      <c r="CN8" s="78"/>
      <c r="CO8" s="78"/>
      <c r="CP8" s="78">
        <f aca="true" t="shared" si="56" ref="CP8:CP21">D8*1.3127/100</f>
        <v>4503.8737</v>
      </c>
      <c r="CQ8" s="78">
        <f aca="true" t="shared" si="57" ref="CQ8:CQ21">CO8+CP8</f>
        <v>4503.8737</v>
      </c>
      <c r="CR8" s="79">
        <f aca="true" t="shared" si="58" ref="CR8:CR21">CP$6*$F8</f>
        <v>1447.1073529999999</v>
      </c>
      <c r="CS8" s="77">
        <f aca="true" t="shared" si="59" ref="CS8:CS21">CP$6*$G8</f>
        <v>86.50693</v>
      </c>
      <c r="CT8" s="78"/>
      <c r="CU8" s="78"/>
      <c r="CV8" s="78">
        <f aca="true" t="shared" si="60" ref="CV8:CV21">D8*8.81851/100</f>
        <v>30256.30781</v>
      </c>
      <c r="CW8" s="78">
        <f aca="true" t="shared" si="61" ref="CW8:CW21">CU8+CV8</f>
        <v>30256.30781</v>
      </c>
      <c r="CX8" s="79">
        <f aca="true" t="shared" si="62" ref="CX8:CX21">CV$6*$F8</f>
        <v>9721.4372389</v>
      </c>
      <c r="CY8" s="77">
        <f aca="true" t="shared" si="63" ref="CY8:CY21">CV$6*$G8</f>
        <v>581.139809</v>
      </c>
      <c r="CZ8" s="78"/>
      <c r="DA8" s="78"/>
      <c r="DB8" s="78">
        <f aca="true" t="shared" si="64" ref="DB8:DB21">D8*1.27232/100</f>
        <v>4365.32992</v>
      </c>
      <c r="DC8" s="78">
        <f aca="true" t="shared" si="65" ref="DC8:DC21">DA8+DB8</f>
        <v>4365.32992</v>
      </c>
      <c r="DD8" s="79">
        <f aca="true" t="shared" si="66" ref="DD8:DD21">DB$6*$F8</f>
        <v>1402.5928448</v>
      </c>
      <c r="DE8" s="77">
        <f aca="true" t="shared" si="67" ref="DE8:DE21">DB$6*$G8</f>
        <v>83.845888</v>
      </c>
      <c r="DF8" s="78"/>
      <c r="DG8" s="78"/>
      <c r="DH8" s="78">
        <f aca="true" t="shared" si="68" ref="DH8:DH21">D8*2.59972/100</f>
        <v>8919.63932</v>
      </c>
      <c r="DI8" s="78">
        <f aca="true" t="shared" si="69" ref="DI8:DI21">DG8+DH8</f>
        <v>8919.63932</v>
      </c>
      <c r="DJ8" s="79">
        <f aca="true" t="shared" si="70" ref="DJ8:DJ21">DH$6*$F8</f>
        <v>2865.9053308000002</v>
      </c>
      <c r="DK8" s="77">
        <f aca="true" t="shared" si="71" ref="DK8:DK21">DH$6*$G8</f>
        <v>171.321548</v>
      </c>
      <c r="DL8" s="78"/>
      <c r="DM8" s="78"/>
      <c r="DN8" s="78">
        <f aca="true" t="shared" si="72" ref="DN8:DN21">D8*0.42162/100</f>
        <v>1446.5782199999999</v>
      </c>
      <c r="DO8" s="78">
        <f aca="true" t="shared" si="73" ref="DO8:DO21">DM8+DN8</f>
        <v>1446.5782199999999</v>
      </c>
      <c r="DP8" s="79">
        <f aca="true" t="shared" si="74" ref="DP8:DP21">DN$6*$F8</f>
        <v>464.78967179999995</v>
      </c>
      <c r="DQ8" s="77">
        <f aca="true" t="shared" si="75" ref="DQ8:DQ21">DN$6*$G8</f>
        <v>27.784758</v>
      </c>
      <c r="DR8" s="78"/>
      <c r="DS8" s="78"/>
      <c r="DT8" s="78">
        <f aca="true" t="shared" si="76" ref="DT8:DT21">D8*2.16282/100</f>
        <v>7420.6354200000005</v>
      </c>
      <c r="DU8" s="78">
        <f aca="true" t="shared" si="77" ref="DU8:DU21">DS8+DT8</f>
        <v>7420.6354200000005</v>
      </c>
      <c r="DV8" s="79">
        <f aca="true" t="shared" si="78" ref="DV8:DV21">DT$6*$F8</f>
        <v>2384.2711398</v>
      </c>
      <c r="DW8" s="77">
        <f aca="true" t="shared" si="79" ref="DW8:DW21">DT$6*$G8</f>
        <v>142.529838</v>
      </c>
      <c r="DX8" s="78"/>
      <c r="DY8" s="78"/>
      <c r="DZ8" s="78">
        <f aca="true" t="shared" si="80" ref="DZ8:DZ21">D8*0.01933/100</f>
        <v>66.32123</v>
      </c>
      <c r="EA8" s="78">
        <f aca="true" t="shared" si="81" ref="EA8:EA21">DY8+DZ8</f>
        <v>66.32123</v>
      </c>
      <c r="EB8" s="79">
        <f aca="true" t="shared" si="82" ref="EB8:EB21">DZ$6*$F8</f>
        <v>21.3091987</v>
      </c>
      <c r="EC8" s="77">
        <f aca="true" t="shared" si="83" ref="EC8:EC21">DZ$6*$G8</f>
        <v>1.273847</v>
      </c>
      <c r="ED8" s="78"/>
      <c r="EE8" s="78"/>
      <c r="EF8" s="78">
        <f aca="true" t="shared" si="84" ref="EF8:EF21">D8*0.02544/100</f>
        <v>87.28464</v>
      </c>
      <c r="EG8" s="78">
        <f aca="true" t="shared" si="85" ref="EG8:EG21">EE8+EF8</f>
        <v>87.28464</v>
      </c>
      <c r="EH8" s="79">
        <f aca="true" t="shared" si="86" ref="EH8:EH21">EF$6*$F8</f>
        <v>28.0448016</v>
      </c>
      <c r="EI8" s="77">
        <f aca="true" t="shared" si="87" ref="EI8:EI21">EF$6*$G8</f>
        <v>1.676496</v>
      </c>
      <c r="EJ8" s="78"/>
      <c r="EK8" s="78"/>
      <c r="EL8" s="78">
        <f aca="true" t="shared" si="88" ref="EL8:EL21">D8*1.28187/100</f>
        <v>4398.09597</v>
      </c>
      <c r="EM8" s="78">
        <f aca="true" t="shared" si="89" ref="EM8:EM21">EK8+EL8</f>
        <v>4398.09597</v>
      </c>
      <c r="EN8" s="79">
        <f aca="true" t="shared" si="90" ref="EN8:EN21">EL$6*$F8</f>
        <v>1413.1206693000001</v>
      </c>
      <c r="EO8" s="77">
        <f aca="true" t="shared" si="91" ref="EO8:EO21">EL$6*$G8</f>
        <v>84.475233</v>
      </c>
      <c r="EP8" s="78"/>
      <c r="EQ8" s="78"/>
      <c r="ER8" s="78">
        <f aca="true" t="shared" si="92" ref="ER8:ER21">D8*0.0244/100</f>
        <v>83.71640000000001</v>
      </c>
      <c r="ES8" s="78">
        <f aca="true" t="shared" si="93" ref="ES8:ES21">EQ8+ER8</f>
        <v>83.71640000000001</v>
      </c>
      <c r="ET8" s="79">
        <f aca="true" t="shared" si="94" ref="ET8:ET21">ER$6*$F8</f>
        <v>26.898315999999998</v>
      </c>
      <c r="EU8" s="77">
        <f aca="true" t="shared" si="95" ref="EU8:EU21">ER$6*$G8</f>
        <v>1.60796</v>
      </c>
      <c r="EV8" s="78"/>
      <c r="EW8" s="78"/>
      <c r="EX8" s="78">
        <f aca="true" t="shared" si="96" ref="EX8:EX21">D8*0.36459/100</f>
        <v>1250.90829</v>
      </c>
      <c r="EY8" s="78">
        <f aca="true" t="shared" si="97" ref="EY8:EY21">EW8+EX8</f>
        <v>1250.90829</v>
      </c>
      <c r="EZ8" s="79">
        <f aca="true" t="shared" si="98" ref="EZ8:EZ21">EX$6*$F8</f>
        <v>401.9203701</v>
      </c>
      <c r="FA8" s="77">
        <f aca="true" t="shared" si="99" ref="FA8:FA21">EX$6*$G8</f>
        <v>24.026481</v>
      </c>
      <c r="FB8" s="78"/>
      <c r="FC8" s="78"/>
      <c r="FD8" s="78">
        <f aca="true" t="shared" si="100" ref="FD8:FD21">D8*0.25327/100</f>
        <v>868.96937</v>
      </c>
      <c r="FE8" s="78">
        <f aca="true" t="shared" si="101" ref="FE8:FE21">FC8+FD8</f>
        <v>868.96937</v>
      </c>
      <c r="FF8" s="79">
        <f aca="true" t="shared" si="102" ref="FF8:FF21">FD$6*$F8</f>
        <v>279.2023153</v>
      </c>
      <c r="FG8" s="77">
        <f aca="true" t="shared" si="103" ref="FG8:FG21">FD$6*$G8</f>
        <v>16.690493</v>
      </c>
      <c r="FH8" s="78"/>
      <c r="FI8" s="78"/>
      <c r="FJ8" s="78">
        <f aca="true" t="shared" si="104" ref="FJ8:FJ21">D8*0.09887/100</f>
        <v>339.22297</v>
      </c>
      <c r="FK8" s="78">
        <f aca="true" t="shared" si="105" ref="FK8:FK21">FI8+FJ8</f>
        <v>339.22297</v>
      </c>
      <c r="FL8" s="79">
        <f aca="true" t="shared" si="106" ref="FL8:FL21">FJ$6*$F8</f>
        <v>108.99329929999999</v>
      </c>
      <c r="FM8" s="77">
        <f aca="true" t="shared" si="107" ref="FM8:FM21">FJ$6*$G8</f>
        <v>6.515533</v>
      </c>
      <c r="FN8" s="78"/>
      <c r="FO8" s="78"/>
      <c r="FP8" s="78">
        <f aca="true" t="shared" si="108" ref="FP8:FP21">D8*1.11111/100</f>
        <v>3812.21841</v>
      </c>
      <c r="FQ8" s="78">
        <f aca="true" t="shared" si="109" ref="FQ8:FQ21">FO8+FP8</f>
        <v>3812.21841</v>
      </c>
      <c r="FR8" s="79">
        <f aca="true" t="shared" si="110" ref="FR8:FR21">FP$6*$F8</f>
        <v>1224.8765529</v>
      </c>
      <c r="FS8" s="77">
        <f aca="true" t="shared" si="111" ref="FS8:FS21">FP$6*$G8</f>
        <v>73.222149</v>
      </c>
      <c r="FT8" s="78"/>
      <c r="FU8" s="78"/>
      <c r="FV8" s="78">
        <f aca="true" t="shared" si="112" ref="FV8:FV21">D8*2.50422/100</f>
        <v>8591.97882</v>
      </c>
      <c r="FW8" s="78">
        <f aca="true" t="shared" si="113" ref="FW8:FW21">FU8+FV8</f>
        <v>8591.97882</v>
      </c>
      <c r="FX8" s="79">
        <f aca="true" t="shared" si="114" ref="FX8:FX21">FV$6*$F8</f>
        <v>2760.6270858000003</v>
      </c>
      <c r="FY8" s="77">
        <f aca="true" t="shared" si="115" ref="FY8:FY21">FV$6*$G8</f>
        <v>165.028098</v>
      </c>
      <c r="FZ8" s="78"/>
      <c r="GA8" s="78"/>
      <c r="GB8" s="78">
        <f aca="true" t="shared" si="116" ref="GB8:GB21">D8*0.31957/100</f>
        <v>1096.44467</v>
      </c>
      <c r="GC8" s="78">
        <f aca="true" t="shared" si="117" ref="GC8:GC21">GA8+GB8</f>
        <v>1096.44467</v>
      </c>
      <c r="GD8" s="79">
        <f aca="true" t="shared" si="118" ref="GD8:GD21">GB$6*$F8</f>
        <v>352.2907723</v>
      </c>
      <c r="GE8" s="77">
        <f aca="true" t="shared" si="119" ref="GE8:GE21">GB$6*$G8</f>
        <v>21.059663</v>
      </c>
      <c r="GF8" s="78"/>
      <c r="GG8" s="78"/>
      <c r="GH8" s="78">
        <f aca="true" t="shared" si="120" ref="GH8:GH21">D8*0.50748/100</f>
        <v>1741.16388</v>
      </c>
      <c r="GI8" s="78">
        <f aca="true" t="shared" si="121" ref="GI8:GI21">GG8+GH8</f>
        <v>1741.16388</v>
      </c>
      <c r="GJ8" s="79">
        <f aca="true" t="shared" si="122" ref="GJ8:GJ21">GH$6*$F8</f>
        <v>559.4408772</v>
      </c>
      <c r="GK8" s="77">
        <f aca="true" t="shared" si="123" ref="GK8:GK21">GH$6*$G8</f>
        <v>33.442932</v>
      </c>
      <c r="GL8" s="78"/>
      <c r="GM8" s="78"/>
      <c r="GN8" s="78">
        <f aca="true" t="shared" si="124" ref="GN8:GN21">D8*2.35189/100</f>
        <v>8069.33459</v>
      </c>
      <c r="GO8" s="78">
        <f aca="true" t="shared" si="125" ref="GO8:GO21">GM8+GN8</f>
        <v>8069.33459</v>
      </c>
      <c r="GP8" s="79">
        <f aca="true" t="shared" si="126" ref="GP8:GP21">GN$6*$F8</f>
        <v>2592.7000171</v>
      </c>
      <c r="GQ8" s="77">
        <f aca="true" t="shared" si="127" ref="GQ8:GQ21">GN$6*$G8</f>
        <v>154.989551</v>
      </c>
      <c r="GR8" s="78"/>
      <c r="GS8" s="78"/>
      <c r="GT8" s="78">
        <f aca="true" t="shared" si="128" ref="GT8:GT21">D8*0.12482/100</f>
        <v>428.25741999999997</v>
      </c>
      <c r="GU8" s="78">
        <f aca="true" t="shared" si="129" ref="GU8:GU21">GS8+GT8</f>
        <v>428.25741999999997</v>
      </c>
      <c r="GV8" s="79">
        <f aca="true" t="shared" si="130" ref="GV8:GV21">GT$6*$F8</f>
        <v>137.60031980000002</v>
      </c>
      <c r="GW8" s="77">
        <f aca="true" t="shared" si="131" ref="GW8:GW21">GT$6*$G8</f>
        <v>8.225638</v>
      </c>
      <c r="GX8" s="78"/>
      <c r="GY8" s="78"/>
      <c r="GZ8" s="78">
        <f aca="true" t="shared" si="132" ref="GZ8:GZ21">D8*0.71564/100</f>
        <v>2455.3608400000003</v>
      </c>
      <c r="HA8" s="78">
        <f aca="true" t="shared" si="133" ref="HA8:HA21">GY8+GZ8</f>
        <v>2455.3608400000003</v>
      </c>
      <c r="HB8" s="79">
        <f aca="true" t="shared" si="134" ref="HB8:HB21">GZ$6*$F8</f>
        <v>788.9143796000001</v>
      </c>
      <c r="HC8" s="77">
        <f aca="true" t="shared" si="135" ref="HC8:HC21">GZ$6*$G8</f>
        <v>47.160676</v>
      </c>
      <c r="HD8" s="78"/>
      <c r="HE8" s="78"/>
      <c r="HF8" s="78"/>
      <c r="HG8" s="78"/>
      <c r="HH8" s="78"/>
      <c r="HI8" s="78"/>
    </row>
    <row r="9" spans="1:217" s="52" customFormat="1" ht="12.75">
      <c r="A9" s="51">
        <v>43191</v>
      </c>
      <c r="C9" s="42">
        <v>5315000</v>
      </c>
      <c r="D9" s="42">
        <v>343100</v>
      </c>
      <c r="E9" s="77">
        <f t="shared" si="0"/>
        <v>5658100</v>
      </c>
      <c r="F9" s="77">
        <v>110239</v>
      </c>
      <c r="G9" s="77">
        <v>6590</v>
      </c>
      <c r="H9" s="79"/>
      <c r="I9" s="79">
        <f>O9+U9+AA9+AG9+AM9+AS9+AY9+BE9+BK9+BQ9+BW9+CC9+CI9+CO9+CU9+DA9+DG9+DM9+DS9+DY9+EE9+EK9+EQ9+EW9+FC9+FI9+FO9+FU9+GA9+GG9+GM9+GS9+GY9</f>
        <v>2885119.6584999994</v>
      </c>
      <c r="J9" s="79">
        <f t="shared" si="1"/>
        <v>186243.56629</v>
      </c>
      <c r="K9" s="79">
        <f t="shared" si="2"/>
        <v>3071363.2247899994</v>
      </c>
      <c r="L9" s="79">
        <f t="shared" si="3"/>
        <v>59840.5843901</v>
      </c>
      <c r="M9" s="79">
        <f t="shared" si="3"/>
        <v>3577.2226809999993</v>
      </c>
      <c r="N9" s="79"/>
      <c r="O9" s="78">
        <f aca="true" t="shared" si="136" ref="O9:O21">C9*6.61452/100</f>
        <v>351561.73799999995</v>
      </c>
      <c r="P9" s="78">
        <f t="shared" si="4"/>
        <v>22694.41812</v>
      </c>
      <c r="Q9" s="79">
        <f t="shared" si="5"/>
        <v>374256.15611999994</v>
      </c>
      <c r="R9" s="79">
        <f t="shared" si="6"/>
        <v>7291.7807028</v>
      </c>
      <c r="S9" s="77">
        <f t="shared" si="7"/>
        <v>435.896868</v>
      </c>
      <c r="T9" s="79"/>
      <c r="U9" s="78">
        <f aca="true" t="shared" si="137" ref="U9:U21">C9*0.11296/100</f>
        <v>6003.8240000000005</v>
      </c>
      <c r="V9" s="78">
        <f t="shared" si="8"/>
        <v>387.56576</v>
      </c>
      <c r="W9" s="78">
        <f t="shared" si="9"/>
        <v>6391.389760000001</v>
      </c>
      <c r="X9" s="79">
        <f t="shared" si="10"/>
        <v>124.5259744</v>
      </c>
      <c r="Y9" s="77">
        <f t="shared" si="11"/>
        <v>7.444063999999999</v>
      </c>
      <c r="Z9" s="79"/>
      <c r="AA9" s="79">
        <f aca="true" t="shared" si="138" ref="AA9:AA21">C9*0.50994/100</f>
        <v>27103.310999999998</v>
      </c>
      <c r="AB9" s="78">
        <f t="shared" si="12"/>
        <v>1749.60414</v>
      </c>
      <c r="AC9" s="78">
        <f t="shared" si="13"/>
        <v>28852.915139999997</v>
      </c>
      <c r="AD9" s="79">
        <f t="shared" si="14"/>
        <v>562.1527566</v>
      </c>
      <c r="AE9" s="77">
        <f t="shared" si="15"/>
        <v>33.605045999999994</v>
      </c>
      <c r="AF9" s="79"/>
      <c r="AG9" s="78">
        <f aca="true" t="shared" si="139" ref="AG9:AG21">C9*8.86797/100</f>
        <v>471332.60549999995</v>
      </c>
      <c r="AH9" s="78">
        <f t="shared" si="16"/>
        <v>30426.00507</v>
      </c>
      <c r="AI9" s="78">
        <f t="shared" si="17"/>
        <v>501758.61056999996</v>
      </c>
      <c r="AJ9" s="79">
        <f t="shared" si="18"/>
        <v>9775.9614483</v>
      </c>
      <c r="AK9" s="77">
        <f t="shared" si="19"/>
        <v>584.399223</v>
      </c>
      <c r="AL9" s="79"/>
      <c r="AM9" s="78">
        <f aca="true" t="shared" si="140" ref="AM9:AM21">C9*0.10742/100</f>
        <v>5709.3730000000005</v>
      </c>
      <c r="AN9" s="78">
        <f t="shared" si="20"/>
        <v>368.55802000000006</v>
      </c>
      <c r="AO9" s="78">
        <f t="shared" si="21"/>
        <v>6077.931020000001</v>
      </c>
      <c r="AP9" s="79">
        <f t="shared" si="22"/>
        <v>118.4187338</v>
      </c>
      <c r="AQ9" s="77">
        <f t="shared" si="23"/>
        <v>7.078978</v>
      </c>
      <c r="AR9" s="78"/>
      <c r="AS9" s="78">
        <f aca="true" t="shared" si="141" ref="AS9:AS21">C9*0.09059/100</f>
        <v>4814.8585</v>
      </c>
      <c r="AT9" s="78">
        <f t="shared" si="24"/>
        <v>310.81429</v>
      </c>
      <c r="AU9" s="78">
        <f t="shared" si="25"/>
        <v>5125.6727900000005</v>
      </c>
      <c r="AV9" s="79">
        <f t="shared" si="26"/>
        <v>99.8655101</v>
      </c>
      <c r="AW9" s="77">
        <f t="shared" si="27"/>
        <v>5.969881</v>
      </c>
      <c r="AX9" s="79"/>
      <c r="AY9" s="78">
        <f aca="true" t="shared" si="142" ref="AY9:AY21">C9*3.71668/100</f>
        <v>197541.542</v>
      </c>
      <c r="AZ9" s="78">
        <f t="shared" si="28"/>
        <v>12751.92908</v>
      </c>
      <c r="BA9" s="78">
        <f t="shared" si="29"/>
        <v>210293.47108</v>
      </c>
      <c r="BB9" s="79">
        <f t="shared" si="30"/>
        <v>4097.2308652</v>
      </c>
      <c r="BC9" s="77">
        <f t="shared" si="31"/>
        <v>244.929212</v>
      </c>
      <c r="BD9" s="79"/>
      <c r="BE9" s="78">
        <f aca="true" t="shared" si="143" ref="BE9:BE21">C9*7.62623/100</f>
        <v>405334.1245</v>
      </c>
      <c r="BF9" s="78">
        <f t="shared" si="32"/>
        <v>26165.595129999998</v>
      </c>
      <c r="BG9" s="78">
        <f t="shared" si="33"/>
        <v>431499.71962999995</v>
      </c>
      <c r="BH9" s="79">
        <f t="shared" si="34"/>
        <v>8407.0796897</v>
      </c>
      <c r="BI9" s="77">
        <f t="shared" si="35"/>
        <v>502.56855700000006</v>
      </c>
      <c r="BJ9" s="79"/>
      <c r="BK9" s="78">
        <f aca="true" t="shared" si="144" ref="BK9:BK21">C9*0.08804/100</f>
        <v>4679.326</v>
      </c>
      <c r="BL9" s="78">
        <f t="shared" si="36"/>
        <v>302.06523999999996</v>
      </c>
      <c r="BM9" s="78">
        <f t="shared" si="37"/>
        <v>4981.39124</v>
      </c>
      <c r="BN9" s="79">
        <f t="shared" si="38"/>
        <v>97.0544156</v>
      </c>
      <c r="BO9" s="77">
        <f t="shared" si="39"/>
        <v>5.801836000000001</v>
      </c>
      <c r="BP9" s="79"/>
      <c r="BQ9" s="78">
        <f aca="true" t="shared" si="145" ref="BQ9:BQ21">C9*0.05914/100</f>
        <v>3143.2909999999997</v>
      </c>
      <c r="BR9" s="78">
        <f t="shared" si="40"/>
        <v>202.90934000000001</v>
      </c>
      <c r="BS9" s="78">
        <f t="shared" si="41"/>
        <v>3346.20034</v>
      </c>
      <c r="BT9" s="79">
        <f t="shared" si="42"/>
        <v>65.1953446</v>
      </c>
      <c r="BU9" s="77">
        <f t="shared" si="43"/>
        <v>3.8973259999999996</v>
      </c>
      <c r="BV9" s="79"/>
      <c r="BW9" s="78">
        <f aca="true" t="shared" si="146" ref="BW9:BW21">C9*-0.00881/100</f>
        <v>-468.2515</v>
      </c>
      <c r="BX9" s="78">
        <f t="shared" si="44"/>
        <v>-30.227110000000003</v>
      </c>
      <c r="BY9" s="78">
        <f t="shared" si="45"/>
        <v>-498.47861</v>
      </c>
      <c r="BZ9" s="79">
        <f t="shared" si="46"/>
        <v>-9.7120559</v>
      </c>
      <c r="CA9" s="77">
        <f t="shared" si="47"/>
        <v>-0.580579</v>
      </c>
      <c r="CB9" s="78"/>
      <c r="CC9" s="78">
        <f aca="true" t="shared" si="147" ref="CC9:CC21">C9*-0.00574/100</f>
        <v>-305.081</v>
      </c>
      <c r="CD9" s="78">
        <f t="shared" si="48"/>
        <v>-19.69394</v>
      </c>
      <c r="CE9" s="78">
        <f t="shared" si="49"/>
        <v>-324.77494</v>
      </c>
      <c r="CF9" s="79">
        <f t="shared" si="50"/>
        <v>-6.3277186</v>
      </c>
      <c r="CG9" s="77">
        <f t="shared" si="51"/>
        <v>-0.378266</v>
      </c>
      <c r="CH9" s="79"/>
      <c r="CI9" s="78">
        <f aca="true" t="shared" si="148" ref="CI9:CI21">C9*0.21346/100</f>
        <v>11345.399000000001</v>
      </c>
      <c r="CJ9" s="78">
        <f t="shared" si="52"/>
        <v>732.38126</v>
      </c>
      <c r="CK9" s="78">
        <f t="shared" si="53"/>
        <v>12077.780260000001</v>
      </c>
      <c r="CL9" s="79">
        <f t="shared" si="54"/>
        <v>235.3161694</v>
      </c>
      <c r="CM9" s="77">
        <f t="shared" si="55"/>
        <v>14.067014</v>
      </c>
      <c r="CN9" s="79"/>
      <c r="CO9" s="78">
        <f aca="true" t="shared" si="149" ref="CO9:CO21">C9*1.3127/100</f>
        <v>69770.005</v>
      </c>
      <c r="CP9" s="78">
        <f t="shared" si="56"/>
        <v>4503.8737</v>
      </c>
      <c r="CQ9" s="78">
        <f t="shared" si="57"/>
        <v>74273.8787</v>
      </c>
      <c r="CR9" s="79">
        <f t="shared" si="58"/>
        <v>1447.1073529999999</v>
      </c>
      <c r="CS9" s="77">
        <f t="shared" si="59"/>
        <v>86.50693</v>
      </c>
      <c r="CT9" s="79"/>
      <c r="CU9" s="78">
        <f aca="true" t="shared" si="150" ref="CU9:CU21">C9*8.81851/100</f>
        <v>468703.8065</v>
      </c>
      <c r="CV9" s="78">
        <f t="shared" si="60"/>
        <v>30256.30781</v>
      </c>
      <c r="CW9" s="78">
        <f t="shared" si="61"/>
        <v>498960.11431</v>
      </c>
      <c r="CX9" s="79">
        <f t="shared" si="62"/>
        <v>9721.4372389</v>
      </c>
      <c r="CY9" s="77">
        <f t="shared" si="63"/>
        <v>581.139809</v>
      </c>
      <c r="CZ9" s="79"/>
      <c r="DA9" s="78">
        <f aca="true" t="shared" si="151" ref="DA9:DA21">C9*1.27232/100</f>
        <v>67623.808</v>
      </c>
      <c r="DB9" s="78">
        <f t="shared" si="64"/>
        <v>4365.32992</v>
      </c>
      <c r="DC9" s="78">
        <f t="shared" si="65"/>
        <v>71989.13792000001</v>
      </c>
      <c r="DD9" s="79">
        <f t="shared" si="66"/>
        <v>1402.5928448</v>
      </c>
      <c r="DE9" s="77">
        <f t="shared" si="67"/>
        <v>83.845888</v>
      </c>
      <c r="DF9" s="79"/>
      <c r="DG9" s="78">
        <f aca="true" t="shared" si="152" ref="DG9:DG21">C9*2.59972/100</f>
        <v>138175.11800000002</v>
      </c>
      <c r="DH9" s="78">
        <f t="shared" si="68"/>
        <v>8919.63932</v>
      </c>
      <c r="DI9" s="78">
        <f t="shared" si="69"/>
        <v>147094.75732</v>
      </c>
      <c r="DJ9" s="79">
        <f t="shared" si="70"/>
        <v>2865.9053308000002</v>
      </c>
      <c r="DK9" s="77">
        <f t="shared" si="71"/>
        <v>171.321548</v>
      </c>
      <c r="DL9" s="79"/>
      <c r="DM9" s="78">
        <f aca="true" t="shared" si="153" ref="DM9:DM21">C9*0.42162/100</f>
        <v>22409.103</v>
      </c>
      <c r="DN9" s="78">
        <f t="shared" si="72"/>
        <v>1446.5782199999999</v>
      </c>
      <c r="DO9" s="78">
        <f t="shared" si="73"/>
        <v>23855.68122</v>
      </c>
      <c r="DP9" s="79">
        <f t="shared" si="74"/>
        <v>464.78967179999995</v>
      </c>
      <c r="DQ9" s="77">
        <f t="shared" si="75"/>
        <v>27.784758</v>
      </c>
      <c r="DR9" s="79"/>
      <c r="DS9" s="78">
        <f aca="true" t="shared" si="154" ref="DS9:DS21">C9*2.16282/100</f>
        <v>114953.88299999999</v>
      </c>
      <c r="DT9" s="78">
        <f t="shared" si="76"/>
        <v>7420.6354200000005</v>
      </c>
      <c r="DU9" s="78">
        <f t="shared" si="77"/>
        <v>122374.51842</v>
      </c>
      <c r="DV9" s="79">
        <f t="shared" si="78"/>
        <v>2384.2711398</v>
      </c>
      <c r="DW9" s="77">
        <f t="shared" si="79"/>
        <v>142.529838</v>
      </c>
      <c r="DX9" s="79"/>
      <c r="DY9" s="78">
        <f aca="true" t="shared" si="155" ref="DY9:DY21">C9*0.01933/100</f>
        <v>1027.3895</v>
      </c>
      <c r="DZ9" s="78">
        <f t="shared" si="80"/>
        <v>66.32123</v>
      </c>
      <c r="EA9" s="78">
        <f t="shared" si="81"/>
        <v>1093.71073</v>
      </c>
      <c r="EB9" s="79">
        <f t="shared" si="82"/>
        <v>21.3091987</v>
      </c>
      <c r="EC9" s="77">
        <f t="shared" si="83"/>
        <v>1.273847</v>
      </c>
      <c r="ED9" s="79"/>
      <c r="EE9" s="78">
        <f aca="true" t="shared" si="156" ref="EE9:EE21">C9*0.02544/100</f>
        <v>1352.136</v>
      </c>
      <c r="EF9" s="78">
        <f t="shared" si="84"/>
        <v>87.28464</v>
      </c>
      <c r="EG9" s="78">
        <f t="shared" si="85"/>
        <v>1439.42064</v>
      </c>
      <c r="EH9" s="79">
        <f t="shared" si="86"/>
        <v>28.0448016</v>
      </c>
      <c r="EI9" s="77">
        <f t="shared" si="87"/>
        <v>1.676496</v>
      </c>
      <c r="EJ9" s="79"/>
      <c r="EK9" s="78">
        <f aca="true" t="shared" si="157" ref="EK9:EK21">C9*1.28187/100</f>
        <v>68131.39050000001</v>
      </c>
      <c r="EL9" s="78">
        <f t="shared" si="88"/>
        <v>4398.09597</v>
      </c>
      <c r="EM9" s="78">
        <f t="shared" si="89"/>
        <v>72529.48647</v>
      </c>
      <c r="EN9" s="79">
        <f t="shared" si="90"/>
        <v>1413.1206693000001</v>
      </c>
      <c r="EO9" s="77">
        <f t="shared" si="91"/>
        <v>84.475233</v>
      </c>
      <c r="EP9" s="79"/>
      <c r="EQ9" s="78">
        <f aca="true" t="shared" si="158" ref="EQ9:EQ21">C9*0.0244/100</f>
        <v>1296.8600000000001</v>
      </c>
      <c r="ER9" s="78">
        <f t="shared" si="92"/>
        <v>83.71640000000001</v>
      </c>
      <c r="ES9" s="78">
        <f t="shared" si="93"/>
        <v>1380.5764000000001</v>
      </c>
      <c r="ET9" s="79">
        <f t="shared" si="94"/>
        <v>26.898315999999998</v>
      </c>
      <c r="EU9" s="77">
        <f t="shared" si="95"/>
        <v>1.60796</v>
      </c>
      <c r="EV9" s="79"/>
      <c r="EW9" s="78">
        <f aca="true" t="shared" si="159" ref="EW9:EW21">C9*0.36459/100</f>
        <v>19377.9585</v>
      </c>
      <c r="EX9" s="78">
        <f t="shared" si="96"/>
        <v>1250.90829</v>
      </c>
      <c r="EY9" s="78">
        <f t="shared" si="97"/>
        <v>20628.86679</v>
      </c>
      <c r="EZ9" s="79">
        <f t="shared" si="98"/>
        <v>401.9203701</v>
      </c>
      <c r="FA9" s="77">
        <f t="shared" si="99"/>
        <v>24.026481</v>
      </c>
      <c r="FB9" s="79"/>
      <c r="FC9" s="78">
        <f aca="true" t="shared" si="160" ref="FC9:FC21">C9*0.25327/100</f>
        <v>13461.300500000001</v>
      </c>
      <c r="FD9" s="78">
        <f t="shared" si="100"/>
        <v>868.96937</v>
      </c>
      <c r="FE9" s="78">
        <f t="shared" si="101"/>
        <v>14330.269870000002</v>
      </c>
      <c r="FF9" s="79">
        <f t="shared" si="102"/>
        <v>279.2023153</v>
      </c>
      <c r="FG9" s="77">
        <f t="shared" si="103"/>
        <v>16.690493</v>
      </c>
      <c r="FH9" s="79"/>
      <c r="FI9" s="78">
        <f aca="true" t="shared" si="161" ref="FI9:FI21">C9*0.09887/100</f>
        <v>5254.940500000001</v>
      </c>
      <c r="FJ9" s="78">
        <f t="shared" si="104"/>
        <v>339.22297</v>
      </c>
      <c r="FK9" s="78">
        <f t="shared" si="105"/>
        <v>5594.16347</v>
      </c>
      <c r="FL9" s="79">
        <f t="shared" si="106"/>
        <v>108.99329929999999</v>
      </c>
      <c r="FM9" s="77">
        <f t="shared" si="107"/>
        <v>6.515533</v>
      </c>
      <c r="FN9" s="79"/>
      <c r="FO9" s="78">
        <f aca="true" t="shared" si="162" ref="FO9:FO21">C9*1.11111/100</f>
        <v>59055.4965</v>
      </c>
      <c r="FP9" s="78">
        <f t="shared" si="108"/>
        <v>3812.21841</v>
      </c>
      <c r="FQ9" s="78">
        <f t="shared" si="109"/>
        <v>62867.71491</v>
      </c>
      <c r="FR9" s="79">
        <f t="shared" si="110"/>
        <v>1224.8765529</v>
      </c>
      <c r="FS9" s="77">
        <f t="shared" si="111"/>
        <v>73.222149</v>
      </c>
      <c r="FT9" s="79"/>
      <c r="FU9" s="78">
        <f aca="true" t="shared" si="163" ref="FU9:FU21">C9*2.50422/100</f>
        <v>133099.293</v>
      </c>
      <c r="FV9" s="78">
        <f t="shared" si="112"/>
        <v>8591.97882</v>
      </c>
      <c r="FW9" s="78">
        <f t="shared" si="113"/>
        <v>141691.27182</v>
      </c>
      <c r="FX9" s="79">
        <f t="shared" si="114"/>
        <v>2760.6270858000003</v>
      </c>
      <c r="FY9" s="77">
        <f t="shared" si="115"/>
        <v>165.028098</v>
      </c>
      <c r="FZ9" s="79"/>
      <c r="GA9" s="78">
        <f aca="true" t="shared" si="164" ref="GA9:GA21">C9*0.31957/100</f>
        <v>16985.1455</v>
      </c>
      <c r="GB9" s="78">
        <f t="shared" si="116"/>
        <v>1096.44467</v>
      </c>
      <c r="GC9" s="78">
        <f t="shared" si="117"/>
        <v>18081.59017</v>
      </c>
      <c r="GD9" s="79">
        <f t="shared" si="118"/>
        <v>352.2907723</v>
      </c>
      <c r="GE9" s="77">
        <f t="shared" si="119"/>
        <v>21.059663</v>
      </c>
      <c r="GF9" s="79"/>
      <c r="GG9" s="78">
        <f aca="true" t="shared" si="165" ref="GG9:GG21">C9*0.50748/100</f>
        <v>26972.562</v>
      </c>
      <c r="GH9" s="78">
        <f t="shared" si="120"/>
        <v>1741.16388</v>
      </c>
      <c r="GI9" s="78">
        <f t="shared" si="121"/>
        <v>28713.72588</v>
      </c>
      <c r="GJ9" s="79">
        <f t="shared" si="122"/>
        <v>559.4408772</v>
      </c>
      <c r="GK9" s="77">
        <f t="shared" si="123"/>
        <v>33.442932</v>
      </c>
      <c r="GL9" s="79"/>
      <c r="GM9" s="78">
        <f aca="true" t="shared" si="166" ref="GM9:GM21">C9*2.35189/100</f>
        <v>125002.9535</v>
      </c>
      <c r="GN9" s="78">
        <f t="shared" si="124"/>
        <v>8069.33459</v>
      </c>
      <c r="GO9" s="78">
        <f t="shared" si="125"/>
        <v>133072.28809000002</v>
      </c>
      <c r="GP9" s="79">
        <f t="shared" si="126"/>
        <v>2592.7000171</v>
      </c>
      <c r="GQ9" s="77">
        <f t="shared" si="127"/>
        <v>154.989551</v>
      </c>
      <c r="GR9" s="79"/>
      <c r="GS9" s="78">
        <f aca="true" t="shared" si="167" ref="GS9:GS21">C9*0.12482/100</f>
        <v>6634.183000000001</v>
      </c>
      <c r="GT9" s="78">
        <f t="shared" si="128"/>
        <v>428.25741999999997</v>
      </c>
      <c r="GU9" s="78">
        <f t="shared" si="129"/>
        <v>7062.440420000001</v>
      </c>
      <c r="GV9" s="79">
        <f t="shared" si="130"/>
        <v>137.60031980000002</v>
      </c>
      <c r="GW9" s="77">
        <f t="shared" si="131"/>
        <v>8.225638</v>
      </c>
      <c r="GX9" s="79"/>
      <c r="GY9" s="78">
        <f aca="true" t="shared" si="168" ref="GY9:GY21">C9*0.71564/100</f>
        <v>38036.266</v>
      </c>
      <c r="GZ9" s="78">
        <f t="shared" si="132"/>
        <v>2455.3608400000003</v>
      </c>
      <c r="HA9" s="78">
        <f t="shared" si="133"/>
        <v>40491.626840000004</v>
      </c>
      <c r="HB9" s="79">
        <f t="shared" si="134"/>
        <v>788.9143796000001</v>
      </c>
      <c r="HC9" s="77">
        <f t="shared" si="135"/>
        <v>47.160676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43374</v>
      </c>
      <c r="C10" s="42"/>
      <c r="D10" s="42">
        <v>236800</v>
      </c>
      <c r="E10" s="77">
        <f t="shared" si="0"/>
        <v>236800</v>
      </c>
      <c r="F10" s="77">
        <v>110239</v>
      </c>
      <c r="G10" s="77">
        <v>6590</v>
      </c>
      <c r="H10" s="79"/>
      <c r="I10" s="79"/>
      <c r="J10" s="79">
        <f t="shared" si="1"/>
        <v>128541.17312</v>
      </c>
      <c r="K10" s="79">
        <f t="shared" si="2"/>
        <v>128541.17312</v>
      </c>
      <c r="L10" s="79">
        <f t="shared" si="3"/>
        <v>59840.5843901</v>
      </c>
      <c r="M10" s="79">
        <f t="shared" si="3"/>
        <v>3577.2226809999993</v>
      </c>
      <c r="N10" s="79"/>
      <c r="O10" s="78"/>
      <c r="P10" s="78">
        <f t="shared" si="4"/>
        <v>15663.183359999999</v>
      </c>
      <c r="Q10" s="79">
        <f t="shared" si="5"/>
        <v>15663.183359999999</v>
      </c>
      <c r="R10" s="79">
        <f t="shared" si="6"/>
        <v>7291.7807028</v>
      </c>
      <c r="S10" s="77">
        <f t="shared" si="7"/>
        <v>435.896868</v>
      </c>
      <c r="T10" s="79"/>
      <c r="U10" s="78"/>
      <c r="V10" s="78">
        <f t="shared" si="8"/>
        <v>267.48928</v>
      </c>
      <c r="W10" s="78">
        <f t="shared" si="9"/>
        <v>267.48928</v>
      </c>
      <c r="X10" s="79">
        <f t="shared" si="10"/>
        <v>124.5259744</v>
      </c>
      <c r="Y10" s="77">
        <f t="shared" si="11"/>
        <v>7.444063999999999</v>
      </c>
      <c r="Z10" s="79"/>
      <c r="AA10" s="79"/>
      <c r="AB10" s="78">
        <f t="shared" si="12"/>
        <v>1207.5379199999998</v>
      </c>
      <c r="AC10" s="78">
        <f t="shared" si="13"/>
        <v>1207.5379199999998</v>
      </c>
      <c r="AD10" s="79">
        <f t="shared" si="14"/>
        <v>562.1527566</v>
      </c>
      <c r="AE10" s="77">
        <f t="shared" si="15"/>
        <v>33.605045999999994</v>
      </c>
      <c r="AF10" s="79"/>
      <c r="AG10" s="78"/>
      <c r="AH10" s="78">
        <f t="shared" si="16"/>
        <v>20999.35296</v>
      </c>
      <c r="AI10" s="78">
        <f t="shared" si="17"/>
        <v>20999.35296</v>
      </c>
      <c r="AJ10" s="79">
        <f t="shared" si="18"/>
        <v>9775.9614483</v>
      </c>
      <c r="AK10" s="77">
        <f t="shared" si="19"/>
        <v>584.399223</v>
      </c>
      <c r="AL10" s="79"/>
      <c r="AM10" s="78"/>
      <c r="AN10" s="78">
        <f t="shared" si="20"/>
        <v>254.37056</v>
      </c>
      <c r="AO10" s="78">
        <f t="shared" si="21"/>
        <v>254.37056</v>
      </c>
      <c r="AP10" s="79">
        <f t="shared" si="22"/>
        <v>118.4187338</v>
      </c>
      <c r="AQ10" s="77">
        <f t="shared" si="23"/>
        <v>7.078978</v>
      </c>
      <c r="AR10" s="78"/>
      <c r="AS10" s="78"/>
      <c r="AT10" s="78">
        <f t="shared" si="24"/>
        <v>214.51712</v>
      </c>
      <c r="AU10" s="78">
        <f t="shared" si="25"/>
        <v>214.51712</v>
      </c>
      <c r="AV10" s="79">
        <f t="shared" si="26"/>
        <v>99.8655101</v>
      </c>
      <c r="AW10" s="77">
        <f t="shared" si="27"/>
        <v>5.969881</v>
      </c>
      <c r="AX10" s="79"/>
      <c r="AY10" s="78"/>
      <c r="AZ10" s="78">
        <f t="shared" si="28"/>
        <v>8801.09824</v>
      </c>
      <c r="BA10" s="78">
        <f t="shared" si="29"/>
        <v>8801.09824</v>
      </c>
      <c r="BB10" s="79">
        <f t="shared" si="30"/>
        <v>4097.2308652</v>
      </c>
      <c r="BC10" s="77">
        <f t="shared" si="31"/>
        <v>244.929212</v>
      </c>
      <c r="BD10" s="79"/>
      <c r="BE10" s="78"/>
      <c r="BF10" s="78">
        <f t="shared" si="32"/>
        <v>18058.91264</v>
      </c>
      <c r="BG10" s="78">
        <f t="shared" si="33"/>
        <v>18058.91264</v>
      </c>
      <c r="BH10" s="79">
        <f t="shared" si="34"/>
        <v>8407.0796897</v>
      </c>
      <c r="BI10" s="77">
        <f t="shared" si="35"/>
        <v>502.56855700000006</v>
      </c>
      <c r="BJ10" s="79"/>
      <c r="BK10" s="78"/>
      <c r="BL10" s="78">
        <f t="shared" si="36"/>
        <v>208.47871999999998</v>
      </c>
      <c r="BM10" s="78">
        <f t="shared" si="37"/>
        <v>208.47871999999998</v>
      </c>
      <c r="BN10" s="79">
        <f t="shared" si="38"/>
        <v>97.0544156</v>
      </c>
      <c r="BO10" s="77">
        <f t="shared" si="39"/>
        <v>5.801836000000001</v>
      </c>
      <c r="BP10" s="79"/>
      <c r="BQ10" s="78"/>
      <c r="BR10" s="78">
        <f t="shared" si="40"/>
        <v>140.04352</v>
      </c>
      <c r="BS10" s="78">
        <f t="shared" si="41"/>
        <v>140.04352</v>
      </c>
      <c r="BT10" s="79">
        <f t="shared" si="42"/>
        <v>65.1953446</v>
      </c>
      <c r="BU10" s="77">
        <f t="shared" si="43"/>
        <v>3.8973259999999996</v>
      </c>
      <c r="BV10" s="79"/>
      <c r="BW10" s="78"/>
      <c r="BX10" s="78">
        <f t="shared" si="44"/>
        <v>-20.862080000000002</v>
      </c>
      <c r="BY10" s="78">
        <f t="shared" si="45"/>
        <v>-20.862080000000002</v>
      </c>
      <c r="BZ10" s="79">
        <f t="shared" si="46"/>
        <v>-9.7120559</v>
      </c>
      <c r="CA10" s="77">
        <f t="shared" si="47"/>
        <v>-0.580579</v>
      </c>
      <c r="CB10" s="78"/>
      <c r="CC10" s="78"/>
      <c r="CD10" s="78">
        <f t="shared" si="48"/>
        <v>-13.592319999999999</v>
      </c>
      <c r="CE10" s="78">
        <f t="shared" si="49"/>
        <v>-13.592319999999999</v>
      </c>
      <c r="CF10" s="79">
        <f t="shared" si="50"/>
        <v>-6.3277186</v>
      </c>
      <c r="CG10" s="77">
        <f t="shared" si="51"/>
        <v>-0.378266</v>
      </c>
      <c r="CH10" s="79"/>
      <c r="CI10" s="78"/>
      <c r="CJ10" s="78">
        <f t="shared" si="52"/>
        <v>505.47328</v>
      </c>
      <c r="CK10" s="78">
        <f t="shared" si="53"/>
        <v>505.47328</v>
      </c>
      <c r="CL10" s="79">
        <f t="shared" si="54"/>
        <v>235.3161694</v>
      </c>
      <c r="CM10" s="77">
        <f t="shared" si="55"/>
        <v>14.067014</v>
      </c>
      <c r="CN10" s="79"/>
      <c r="CO10" s="78"/>
      <c r="CP10" s="78">
        <f t="shared" si="56"/>
        <v>3108.4736</v>
      </c>
      <c r="CQ10" s="78">
        <f t="shared" si="57"/>
        <v>3108.4736</v>
      </c>
      <c r="CR10" s="79">
        <f t="shared" si="58"/>
        <v>1447.1073529999999</v>
      </c>
      <c r="CS10" s="77">
        <f t="shared" si="59"/>
        <v>86.50693</v>
      </c>
      <c r="CT10" s="79"/>
      <c r="CU10" s="78"/>
      <c r="CV10" s="78">
        <f t="shared" si="60"/>
        <v>20882.23168</v>
      </c>
      <c r="CW10" s="78">
        <f t="shared" si="61"/>
        <v>20882.23168</v>
      </c>
      <c r="CX10" s="79">
        <f t="shared" si="62"/>
        <v>9721.4372389</v>
      </c>
      <c r="CY10" s="77">
        <f t="shared" si="63"/>
        <v>581.139809</v>
      </c>
      <c r="CZ10" s="79"/>
      <c r="DA10" s="78"/>
      <c r="DB10" s="78">
        <f t="shared" si="64"/>
        <v>3012.85376</v>
      </c>
      <c r="DC10" s="78">
        <f t="shared" si="65"/>
        <v>3012.85376</v>
      </c>
      <c r="DD10" s="79">
        <f t="shared" si="66"/>
        <v>1402.5928448</v>
      </c>
      <c r="DE10" s="77">
        <f t="shared" si="67"/>
        <v>83.845888</v>
      </c>
      <c r="DF10" s="79"/>
      <c r="DG10" s="78"/>
      <c r="DH10" s="78">
        <f t="shared" si="68"/>
        <v>6156.13696</v>
      </c>
      <c r="DI10" s="78">
        <f t="shared" si="69"/>
        <v>6156.13696</v>
      </c>
      <c r="DJ10" s="79">
        <f t="shared" si="70"/>
        <v>2865.9053308000002</v>
      </c>
      <c r="DK10" s="77">
        <f t="shared" si="71"/>
        <v>171.321548</v>
      </c>
      <c r="DL10" s="79"/>
      <c r="DM10" s="78"/>
      <c r="DN10" s="78">
        <f t="shared" si="72"/>
        <v>998.3961599999999</v>
      </c>
      <c r="DO10" s="78">
        <f t="shared" si="73"/>
        <v>998.3961599999999</v>
      </c>
      <c r="DP10" s="79">
        <f t="shared" si="74"/>
        <v>464.78967179999995</v>
      </c>
      <c r="DQ10" s="77">
        <f t="shared" si="75"/>
        <v>27.784758</v>
      </c>
      <c r="DR10" s="79"/>
      <c r="DS10" s="78"/>
      <c r="DT10" s="78">
        <f t="shared" si="76"/>
        <v>5121.55776</v>
      </c>
      <c r="DU10" s="78">
        <f t="shared" si="77"/>
        <v>5121.55776</v>
      </c>
      <c r="DV10" s="79">
        <f t="shared" si="78"/>
        <v>2384.2711398</v>
      </c>
      <c r="DW10" s="77">
        <f t="shared" si="79"/>
        <v>142.529838</v>
      </c>
      <c r="DX10" s="79"/>
      <c r="DY10" s="78"/>
      <c r="DZ10" s="78">
        <f t="shared" si="80"/>
        <v>45.77344</v>
      </c>
      <c r="EA10" s="78">
        <f t="shared" si="81"/>
        <v>45.77344</v>
      </c>
      <c r="EB10" s="79">
        <f t="shared" si="82"/>
        <v>21.3091987</v>
      </c>
      <c r="EC10" s="77">
        <f t="shared" si="83"/>
        <v>1.273847</v>
      </c>
      <c r="ED10" s="79"/>
      <c r="EE10" s="78"/>
      <c r="EF10" s="78">
        <f t="shared" si="84"/>
        <v>60.24192</v>
      </c>
      <c r="EG10" s="78">
        <f t="shared" si="85"/>
        <v>60.24192</v>
      </c>
      <c r="EH10" s="79">
        <f t="shared" si="86"/>
        <v>28.0448016</v>
      </c>
      <c r="EI10" s="77">
        <f t="shared" si="87"/>
        <v>1.676496</v>
      </c>
      <c r="EJ10" s="79"/>
      <c r="EK10" s="78"/>
      <c r="EL10" s="78">
        <f t="shared" si="88"/>
        <v>3035.46816</v>
      </c>
      <c r="EM10" s="78">
        <f t="shared" si="89"/>
        <v>3035.46816</v>
      </c>
      <c r="EN10" s="79">
        <f t="shared" si="90"/>
        <v>1413.1206693000001</v>
      </c>
      <c r="EO10" s="77">
        <f t="shared" si="91"/>
        <v>84.475233</v>
      </c>
      <c r="EP10" s="79"/>
      <c r="EQ10" s="78"/>
      <c r="ER10" s="78">
        <f t="shared" si="92"/>
        <v>57.7792</v>
      </c>
      <c r="ES10" s="78">
        <f t="shared" si="93"/>
        <v>57.7792</v>
      </c>
      <c r="ET10" s="79">
        <f t="shared" si="94"/>
        <v>26.898315999999998</v>
      </c>
      <c r="EU10" s="77">
        <f t="shared" si="95"/>
        <v>1.60796</v>
      </c>
      <c r="EV10" s="79"/>
      <c r="EW10" s="78"/>
      <c r="EX10" s="78">
        <f t="shared" si="96"/>
        <v>863.3491200000001</v>
      </c>
      <c r="EY10" s="78">
        <f t="shared" si="97"/>
        <v>863.3491200000001</v>
      </c>
      <c r="EZ10" s="79">
        <f t="shared" si="98"/>
        <v>401.9203701</v>
      </c>
      <c r="FA10" s="77">
        <f t="shared" si="99"/>
        <v>24.026481</v>
      </c>
      <c r="FB10" s="79"/>
      <c r="FC10" s="78"/>
      <c r="FD10" s="78">
        <f t="shared" si="100"/>
        <v>599.7433599999999</v>
      </c>
      <c r="FE10" s="78">
        <f t="shared" si="101"/>
        <v>599.7433599999999</v>
      </c>
      <c r="FF10" s="79">
        <f t="shared" si="102"/>
        <v>279.2023153</v>
      </c>
      <c r="FG10" s="77">
        <f t="shared" si="103"/>
        <v>16.690493</v>
      </c>
      <c r="FH10" s="79"/>
      <c r="FI10" s="78"/>
      <c r="FJ10" s="78">
        <f t="shared" si="104"/>
        <v>234.12416000000002</v>
      </c>
      <c r="FK10" s="78">
        <f t="shared" si="105"/>
        <v>234.12416000000002</v>
      </c>
      <c r="FL10" s="79">
        <f t="shared" si="106"/>
        <v>108.99329929999999</v>
      </c>
      <c r="FM10" s="77">
        <f t="shared" si="107"/>
        <v>6.515533</v>
      </c>
      <c r="FN10" s="79"/>
      <c r="FO10" s="78"/>
      <c r="FP10" s="78">
        <f t="shared" si="108"/>
        <v>2631.10848</v>
      </c>
      <c r="FQ10" s="78">
        <f t="shared" si="109"/>
        <v>2631.10848</v>
      </c>
      <c r="FR10" s="79">
        <f t="shared" si="110"/>
        <v>1224.8765529</v>
      </c>
      <c r="FS10" s="77">
        <f t="shared" si="111"/>
        <v>73.222149</v>
      </c>
      <c r="FT10" s="79"/>
      <c r="FU10" s="78"/>
      <c r="FV10" s="78">
        <f t="shared" si="112"/>
        <v>5929.99296</v>
      </c>
      <c r="FW10" s="78">
        <f t="shared" si="113"/>
        <v>5929.99296</v>
      </c>
      <c r="FX10" s="79">
        <f t="shared" si="114"/>
        <v>2760.6270858000003</v>
      </c>
      <c r="FY10" s="77">
        <f t="shared" si="115"/>
        <v>165.028098</v>
      </c>
      <c r="FZ10" s="79"/>
      <c r="GA10" s="78"/>
      <c r="GB10" s="78">
        <f t="shared" si="116"/>
        <v>756.7417600000001</v>
      </c>
      <c r="GC10" s="78">
        <f t="shared" si="117"/>
        <v>756.7417600000001</v>
      </c>
      <c r="GD10" s="79">
        <f t="shared" si="118"/>
        <v>352.2907723</v>
      </c>
      <c r="GE10" s="77">
        <f t="shared" si="119"/>
        <v>21.059663</v>
      </c>
      <c r="GF10" s="79"/>
      <c r="GG10" s="78"/>
      <c r="GH10" s="78">
        <f t="shared" si="120"/>
        <v>1201.7126400000002</v>
      </c>
      <c r="GI10" s="78">
        <f t="shared" si="121"/>
        <v>1201.7126400000002</v>
      </c>
      <c r="GJ10" s="79">
        <f t="shared" si="122"/>
        <v>559.4408772</v>
      </c>
      <c r="GK10" s="77">
        <f t="shared" si="123"/>
        <v>33.442932</v>
      </c>
      <c r="GL10" s="79"/>
      <c r="GM10" s="78"/>
      <c r="GN10" s="78">
        <f t="shared" si="124"/>
        <v>5569.27552</v>
      </c>
      <c r="GO10" s="78">
        <f t="shared" si="125"/>
        <v>5569.27552</v>
      </c>
      <c r="GP10" s="79">
        <f t="shared" si="126"/>
        <v>2592.7000171</v>
      </c>
      <c r="GQ10" s="77">
        <f t="shared" si="127"/>
        <v>154.989551</v>
      </c>
      <c r="GR10" s="79"/>
      <c r="GS10" s="78"/>
      <c r="GT10" s="78">
        <f t="shared" si="128"/>
        <v>295.57376</v>
      </c>
      <c r="GU10" s="78">
        <f t="shared" si="129"/>
        <v>295.57376</v>
      </c>
      <c r="GV10" s="79">
        <f t="shared" si="130"/>
        <v>137.60031980000002</v>
      </c>
      <c r="GW10" s="77">
        <f t="shared" si="131"/>
        <v>8.225638</v>
      </c>
      <c r="GX10" s="79"/>
      <c r="GY10" s="78"/>
      <c r="GZ10" s="78">
        <f t="shared" si="132"/>
        <v>1694.6355200000003</v>
      </c>
      <c r="HA10" s="78">
        <f t="shared" si="133"/>
        <v>1694.6355200000003</v>
      </c>
      <c r="HB10" s="79">
        <f t="shared" si="134"/>
        <v>788.9143796000001</v>
      </c>
      <c r="HC10" s="77">
        <f t="shared" si="135"/>
        <v>47.160676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43556</v>
      </c>
      <c r="C11" s="42"/>
      <c r="D11" s="42">
        <v>236800</v>
      </c>
      <c r="E11" s="77">
        <f t="shared" si="0"/>
        <v>236800</v>
      </c>
      <c r="F11" s="77">
        <v>110239</v>
      </c>
      <c r="G11" s="77">
        <v>6590</v>
      </c>
      <c r="H11" s="79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128541.17312</v>
      </c>
      <c r="K11" s="79">
        <f t="shared" si="2"/>
        <v>128541.17312</v>
      </c>
      <c r="L11" s="79">
        <f t="shared" si="3"/>
        <v>59840.5843901</v>
      </c>
      <c r="M11" s="79">
        <f t="shared" si="3"/>
        <v>3577.2226809999993</v>
      </c>
      <c r="N11" s="79"/>
      <c r="O11" s="78">
        <f t="shared" si="136"/>
        <v>0</v>
      </c>
      <c r="P11" s="78">
        <f t="shared" si="4"/>
        <v>15663.183359999999</v>
      </c>
      <c r="Q11" s="79">
        <f t="shared" si="5"/>
        <v>15663.183359999999</v>
      </c>
      <c r="R11" s="79">
        <f t="shared" si="6"/>
        <v>7291.7807028</v>
      </c>
      <c r="S11" s="77">
        <f t="shared" si="7"/>
        <v>435.896868</v>
      </c>
      <c r="T11" s="79"/>
      <c r="U11" s="78">
        <f t="shared" si="137"/>
        <v>0</v>
      </c>
      <c r="V11" s="78">
        <f t="shared" si="8"/>
        <v>267.48928</v>
      </c>
      <c r="W11" s="78">
        <f t="shared" si="9"/>
        <v>267.48928</v>
      </c>
      <c r="X11" s="79">
        <f t="shared" si="10"/>
        <v>124.5259744</v>
      </c>
      <c r="Y11" s="77">
        <f t="shared" si="11"/>
        <v>7.444063999999999</v>
      </c>
      <c r="Z11" s="79"/>
      <c r="AA11" s="79">
        <f t="shared" si="138"/>
        <v>0</v>
      </c>
      <c r="AB11" s="78">
        <f t="shared" si="12"/>
        <v>1207.5379199999998</v>
      </c>
      <c r="AC11" s="78">
        <f t="shared" si="13"/>
        <v>1207.5379199999998</v>
      </c>
      <c r="AD11" s="79">
        <f t="shared" si="14"/>
        <v>562.1527566</v>
      </c>
      <c r="AE11" s="77">
        <f t="shared" si="15"/>
        <v>33.605045999999994</v>
      </c>
      <c r="AF11" s="79"/>
      <c r="AG11" s="78">
        <f t="shared" si="139"/>
        <v>0</v>
      </c>
      <c r="AH11" s="78">
        <f t="shared" si="16"/>
        <v>20999.35296</v>
      </c>
      <c r="AI11" s="78">
        <f t="shared" si="17"/>
        <v>20999.35296</v>
      </c>
      <c r="AJ11" s="79">
        <f t="shared" si="18"/>
        <v>9775.9614483</v>
      </c>
      <c r="AK11" s="77">
        <f t="shared" si="19"/>
        <v>584.399223</v>
      </c>
      <c r="AL11" s="79"/>
      <c r="AM11" s="78">
        <f t="shared" si="140"/>
        <v>0</v>
      </c>
      <c r="AN11" s="78">
        <f t="shared" si="20"/>
        <v>254.37056</v>
      </c>
      <c r="AO11" s="78">
        <f t="shared" si="21"/>
        <v>254.37056</v>
      </c>
      <c r="AP11" s="79">
        <f t="shared" si="22"/>
        <v>118.4187338</v>
      </c>
      <c r="AQ11" s="77">
        <f t="shared" si="23"/>
        <v>7.078978</v>
      </c>
      <c r="AR11" s="78"/>
      <c r="AS11" s="78">
        <f t="shared" si="141"/>
        <v>0</v>
      </c>
      <c r="AT11" s="78">
        <f t="shared" si="24"/>
        <v>214.51712</v>
      </c>
      <c r="AU11" s="78">
        <f t="shared" si="25"/>
        <v>214.51712</v>
      </c>
      <c r="AV11" s="79">
        <f t="shared" si="26"/>
        <v>99.8655101</v>
      </c>
      <c r="AW11" s="77">
        <f t="shared" si="27"/>
        <v>5.969881</v>
      </c>
      <c r="AX11" s="79"/>
      <c r="AY11" s="78">
        <f t="shared" si="142"/>
        <v>0</v>
      </c>
      <c r="AZ11" s="78">
        <f t="shared" si="28"/>
        <v>8801.09824</v>
      </c>
      <c r="BA11" s="78">
        <f t="shared" si="29"/>
        <v>8801.09824</v>
      </c>
      <c r="BB11" s="79">
        <f t="shared" si="30"/>
        <v>4097.2308652</v>
      </c>
      <c r="BC11" s="77">
        <f t="shared" si="31"/>
        <v>244.929212</v>
      </c>
      <c r="BD11" s="79"/>
      <c r="BE11" s="78">
        <f t="shared" si="143"/>
        <v>0</v>
      </c>
      <c r="BF11" s="78">
        <f t="shared" si="32"/>
        <v>18058.91264</v>
      </c>
      <c r="BG11" s="78">
        <f t="shared" si="33"/>
        <v>18058.91264</v>
      </c>
      <c r="BH11" s="79">
        <f t="shared" si="34"/>
        <v>8407.0796897</v>
      </c>
      <c r="BI11" s="77">
        <f t="shared" si="35"/>
        <v>502.56855700000006</v>
      </c>
      <c r="BJ11" s="79"/>
      <c r="BK11" s="78">
        <f t="shared" si="144"/>
        <v>0</v>
      </c>
      <c r="BL11" s="78">
        <f t="shared" si="36"/>
        <v>208.47871999999998</v>
      </c>
      <c r="BM11" s="78">
        <f t="shared" si="37"/>
        <v>208.47871999999998</v>
      </c>
      <c r="BN11" s="79">
        <f t="shared" si="38"/>
        <v>97.0544156</v>
      </c>
      <c r="BO11" s="77">
        <f t="shared" si="39"/>
        <v>5.801836000000001</v>
      </c>
      <c r="BP11" s="79"/>
      <c r="BQ11" s="78">
        <f t="shared" si="145"/>
        <v>0</v>
      </c>
      <c r="BR11" s="78">
        <f t="shared" si="40"/>
        <v>140.04352</v>
      </c>
      <c r="BS11" s="78">
        <f t="shared" si="41"/>
        <v>140.04352</v>
      </c>
      <c r="BT11" s="79">
        <f t="shared" si="42"/>
        <v>65.1953446</v>
      </c>
      <c r="BU11" s="77">
        <f t="shared" si="43"/>
        <v>3.8973259999999996</v>
      </c>
      <c r="BV11" s="79"/>
      <c r="BW11" s="78">
        <f t="shared" si="146"/>
        <v>0</v>
      </c>
      <c r="BX11" s="78">
        <f t="shared" si="44"/>
        <v>-20.862080000000002</v>
      </c>
      <c r="BY11" s="78">
        <f t="shared" si="45"/>
        <v>-20.862080000000002</v>
      </c>
      <c r="BZ11" s="79">
        <f t="shared" si="46"/>
        <v>-9.7120559</v>
      </c>
      <c r="CA11" s="77">
        <f t="shared" si="47"/>
        <v>-0.580579</v>
      </c>
      <c r="CB11" s="78"/>
      <c r="CC11" s="78">
        <f t="shared" si="147"/>
        <v>0</v>
      </c>
      <c r="CD11" s="78">
        <f t="shared" si="48"/>
        <v>-13.592319999999999</v>
      </c>
      <c r="CE11" s="78">
        <f t="shared" si="49"/>
        <v>-13.592319999999999</v>
      </c>
      <c r="CF11" s="79">
        <f t="shared" si="50"/>
        <v>-6.3277186</v>
      </c>
      <c r="CG11" s="77">
        <f t="shared" si="51"/>
        <v>-0.378266</v>
      </c>
      <c r="CH11" s="79"/>
      <c r="CI11" s="78">
        <f t="shared" si="148"/>
        <v>0</v>
      </c>
      <c r="CJ11" s="78">
        <f t="shared" si="52"/>
        <v>505.47328</v>
      </c>
      <c r="CK11" s="78">
        <f t="shared" si="53"/>
        <v>505.47328</v>
      </c>
      <c r="CL11" s="79">
        <f t="shared" si="54"/>
        <v>235.3161694</v>
      </c>
      <c r="CM11" s="77">
        <f t="shared" si="55"/>
        <v>14.067014</v>
      </c>
      <c r="CN11" s="79"/>
      <c r="CO11" s="78">
        <f t="shared" si="149"/>
        <v>0</v>
      </c>
      <c r="CP11" s="78">
        <f t="shared" si="56"/>
        <v>3108.4736</v>
      </c>
      <c r="CQ11" s="78">
        <f t="shared" si="57"/>
        <v>3108.4736</v>
      </c>
      <c r="CR11" s="79">
        <f t="shared" si="58"/>
        <v>1447.1073529999999</v>
      </c>
      <c r="CS11" s="77">
        <f t="shared" si="59"/>
        <v>86.50693</v>
      </c>
      <c r="CT11" s="79"/>
      <c r="CU11" s="78">
        <f t="shared" si="150"/>
        <v>0</v>
      </c>
      <c r="CV11" s="78">
        <f t="shared" si="60"/>
        <v>20882.23168</v>
      </c>
      <c r="CW11" s="78">
        <f t="shared" si="61"/>
        <v>20882.23168</v>
      </c>
      <c r="CX11" s="79">
        <f t="shared" si="62"/>
        <v>9721.4372389</v>
      </c>
      <c r="CY11" s="77">
        <f t="shared" si="63"/>
        <v>581.139809</v>
      </c>
      <c r="CZ11" s="79"/>
      <c r="DA11" s="78">
        <f t="shared" si="151"/>
        <v>0</v>
      </c>
      <c r="DB11" s="78">
        <f t="shared" si="64"/>
        <v>3012.85376</v>
      </c>
      <c r="DC11" s="78">
        <f t="shared" si="65"/>
        <v>3012.85376</v>
      </c>
      <c r="DD11" s="79">
        <f t="shared" si="66"/>
        <v>1402.5928448</v>
      </c>
      <c r="DE11" s="77">
        <f t="shared" si="67"/>
        <v>83.845888</v>
      </c>
      <c r="DF11" s="79"/>
      <c r="DG11" s="78">
        <f t="shared" si="152"/>
        <v>0</v>
      </c>
      <c r="DH11" s="78">
        <f t="shared" si="68"/>
        <v>6156.13696</v>
      </c>
      <c r="DI11" s="78">
        <f t="shared" si="69"/>
        <v>6156.13696</v>
      </c>
      <c r="DJ11" s="79">
        <f t="shared" si="70"/>
        <v>2865.9053308000002</v>
      </c>
      <c r="DK11" s="77">
        <f t="shared" si="71"/>
        <v>171.321548</v>
      </c>
      <c r="DL11" s="79"/>
      <c r="DM11" s="78">
        <f t="shared" si="153"/>
        <v>0</v>
      </c>
      <c r="DN11" s="78">
        <f t="shared" si="72"/>
        <v>998.3961599999999</v>
      </c>
      <c r="DO11" s="78">
        <f t="shared" si="73"/>
        <v>998.3961599999999</v>
      </c>
      <c r="DP11" s="79">
        <f t="shared" si="74"/>
        <v>464.78967179999995</v>
      </c>
      <c r="DQ11" s="77">
        <f t="shared" si="75"/>
        <v>27.784758</v>
      </c>
      <c r="DR11" s="79"/>
      <c r="DS11" s="78">
        <f t="shared" si="154"/>
        <v>0</v>
      </c>
      <c r="DT11" s="78">
        <f t="shared" si="76"/>
        <v>5121.55776</v>
      </c>
      <c r="DU11" s="78">
        <f t="shared" si="77"/>
        <v>5121.55776</v>
      </c>
      <c r="DV11" s="79">
        <f t="shared" si="78"/>
        <v>2384.2711398</v>
      </c>
      <c r="DW11" s="77">
        <f t="shared" si="79"/>
        <v>142.529838</v>
      </c>
      <c r="DX11" s="79"/>
      <c r="DY11" s="78">
        <f t="shared" si="155"/>
        <v>0</v>
      </c>
      <c r="DZ11" s="78">
        <f t="shared" si="80"/>
        <v>45.77344</v>
      </c>
      <c r="EA11" s="78">
        <f t="shared" si="81"/>
        <v>45.77344</v>
      </c>
      <c r="EB11" s="79">
        <f t="shared" si="82"/>
        <v>21.3091987</v>
      </c>
      <c r="EC11" s="77">
        <f t="shared" si="83"/>
        <v>1.273847</v>
      </c>
      <c r="ED11" s="79"/>
      <c r="EE11" s="78">
        <f t="shared" si="156"/>
        <v>0</v>
      </c>
      <c r="EF11" s="78">
        <f t="shared" si="84"/>
        <v>60.24192</v>
      </c>
      <c r="EG11" s="78">
        <f t="shared" si="85"/>
        <v>60.24192</v>
      </c>
      <c r="EH11" s="79">
        <f t="shared" si="86"/>
        <v>28.0448016</v>
      </c>
      <c r="EI11" s="77">
        <f t="shared" si="87"/>
        <v>1.676496</v>
      </c>
      <c r="EJ11" s="79"/>
      <c r="EK11" s="78">
        <f t="shared" si="157"/>
        <v>0</v>
      </c>
      <c r="EL11" s="78">
        <f t="shared" si="88"/>
        <v>3035.46816</v>
      </c>
      <c r="EM11" s="78">
        <f t="shared" si="89"/>
        <v>3035.46816</v>
      </c>
      <c r="EN11" s="79">
        <f t="shared" si="90"/>
        <v>1413.1206693000001</v>
      </c>
      <c r="EO11" s="77">
        <f t="shared" si="91"/>
        <v>84.475233</v>
      </c>
      <c r="EP11" s="79"/>
      <c r="EQ11" s="78">
        <f t="shared" si="158"/>
        <v>0</v>
      </c>
      <c r="ER11" s="78">
        <f t="shared" si="92"/>
        <v>57.7792</v>
      </c>
      <c r="ES11" s="78">
        <f t="shared" si="93"/>
        <v>57.7792</v>
      </c>
      <c r="ET11" s="79">
        <f t="shared" si="94"/>
        <v>26.898315999999998</v>
      </c>
      <c r="EU11" s="77">
        <f t="shared" si="95"/>
        <v>1.60796</v>
      </c>
      <c r="EV11" s="79"/>
      <c r="EW11" s="78">
        <f t="shared" si="159"/>
        <v>0</v>
      </c>
      <c r="EX11" s="78">
        <f t="shared" si="96"/>
        <v>863.3491200000001</v>
      </c>
      <c r="EY11" s="78">
        <f t="shared" si="97"/>
        <v>863.3491200000001</v>
      </c>
      <c r="EZ11" s="79">
        <f t="shared" si="98"/>
        <v>401.9203701</v>
      </c>
      <c r="FA11" s="77">
        <f t="shared" si="99"/>
        <v>24.026481</v>
      </c>
      <c r="FB11" s="79"/>
      <c r="FC11" s="78">
        <f t="shared" si="160"/>
        <v>0</v>
      </c>
      <c r="FD11" s="78">
        <f t="shared" si="100"/>
        <v>599.7433599999999</v>
      </c>
      <c r="FE11" s="78">
        <f t="shared" si="101"/>
        <v>599.7433599999999</v>
      </c>
      <c r="FF11" s="79">
        <f t="shared" si="102"/>
        <v>279.2023153</v>
      </c>
      <c r="FG11" s="77">
        <f t="shared" si="103"/>
        <v>16.690493</v>
      </c>
      <c r="FH11" s="79"/>
      <c r="FI11" s="78">
        <f t="shared" si="161"/>
        <v>0</v>
      </c>
      <c r="FJ11" s="78">
        <f t="shared" si="104"/>
        <v>234.12416000000002</v>
      </c>
      <c r="FK11" s="78">
        <f t="shared" si="105"/>
        <v>234.12416000000002</v>
      </c>
      <c r="FL11" s="79">
        <f t="shared" si="106"/>
        <v>108.99329929999999</v>
      </c>
      <c r="FM11" s="77">
        <f t="shared" si="107"/>
        <v>6.515533</v>
      </c>
      <c r="FN11" s="79"/>
      <c r="FO11" s="78">
        <f t="shared" si="162"/>
        <v>0</v>
      </c>
      <c r="FP11" s="78">
        <f t="shared" si="108"/>
        <v>2631.10848</v>
      </c>
      <c r="FQ11" s="78">
        <f t="shared" si="109"/>
        <v>2631.10848</v>
      </c>
      <c r="FR11" s="79">
        <f t="shared" si="110"/>
        <v>1224.8765529</v>
      </c>
      <c r="FS11" s="77">
        <f t="shared" si="111"/>
        <v>73.222149</v>
      </c>
      <c r="FT11" s="79"/>
      <c r="FU11" s="78">
        <f t="shared" si="163"/>
        <v>0</v>
      </c>
      <c r="FV11" s="78">
        <f t="shared" si="112"/>
        <v>5929.99296</v>
      </c>
      <c r="FW11" s="78">
        <f t="shared" si="113"/>
        <v>5929.99296</v>
      </c>
      <c r="FX11" s="79">
        <f t="shared" si="114"/>
        <v>2760.6270858000003</v>
      </c>
      <c r="FY11" s="77">
        <f t="shared" si="115"/>
        <v>165.028098</v>
      </c>
      <c r="FZ11" s="79"/>
      <c r="GA11" s="78">
        <f t="shared" si="164"/>
        <v>0</v>
      </c>
      <c r="GB11" s="78">
        <f t="shared" si="116"/>
        <v>756.7417600000001</v>
      </c>
      <c r="GC11" s="78">
        <f t="shared" si="117"/>
        <v>756.7417600000001</v>
      </c>
      <c r="GD11" s="79">
        <f t="shared" si="118"/>
        <v>352.2907723</v>
      </c>
      <c r="GE11" s="77">
        <f t="shared" si="119"/>
        <v>21.059663</v>
      </c>
      <c r="GF11" s="79"/>
      <c r="GG11" s="78">
        <f t="shared" si="165"/>
        <v>0</v>
      </c>
      <c r="GH11" s="78">
        <f t="shared" si="120"/>
        <v>1201.7126400000002</v>
      </c>
      <c r="GI11" s="78">
        <f t="shared" si="121"/>
        <v>1201.7126400000002</v>
      </c>
      <c r="GJ11" s="79">
        <f t="shared" si="122"/>
        <v>559.4408772</v>
      </c>
      <c r="GK11" s="77">
        <f t="shared" si="123"/>
        <v>33.442932</v>
      </c>
      <c r="GL11" s="79"/>
      <c r="GM11" s="78">
        <f t="shared" si="166"/>
        <v>0</v>
      </c>
      <c r="GN11" s="78">
        <f t="shared" si="124"/>
        <v>5569.27552</v>
      </c>
      <c r="GO11" s="78">
        <f t="shared" si="125"/>
        <v>5569.27552</v>
      </c>
      <c r="GP11" s="79">
        <f t="shared" si="126"/>
        <v>2592.7000171</v>
      </c>
      <c r="GQ11" s="77">
        <f t="shared" si="127"/>
        <v>154.989551</v>
      </c>
      <c r="GR11" s="79"/>
      <c r="GS11" s="78">
        <f t="shared" si="167"/>
        <v>0</v>
      </c>
      <c r="GT11" s="78">
        <f t="shared" si="128"/>
        <v>295.57376</v>
      </c>
      <c r="GU11" s="78">
        <f t="shared" si="129"/>
        <v>295.57376</v>
      </c>
      <c r="GV11" s="79">
        <f t="shared" si="130"/>
        <v>137.60031980000002</v>
      </c>
      <c r="GW11" s="77">
        <f t="shared" si="131"/>
        <v>8.225638</v>
      </c>
      <c r="GX11" s="79"/>
      <c r="GY11" s="78">
        <f t="shared" si="168"/>
        <v>0</v>
      </c>
      <c r="GZ11" s="78">
        <f t="shared" si="132"/>
        <v>1694.6355200000003</v>
      </c>
      <c r="HA11" s="78">
        <f t="shared" si="133"/>
        <v>1694.6355200000003</v>
      </c>
      <c r="HB11" s="79">
        <f t="shared" si="134"/>
        <v>788.9143796000001</v>
      </c>
      <c r="HC11" s="77">
        <f t="shared" si="135"/>
        <v>47.160676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43739</v>
      </c>
      <c r="C12" s="42"/>
      <c r="D12" s="42">
        <v>236800</v>
      </c>
      <c r="E12" s="77">
        <f t="shared" si="0"/>
        <v>236800</v>
      </c>
      <c r="F12" s="77">
        <v>110239</v>
      </c>
      <c r="G12" s="77">
        <v>6590</v>
      </c>
      <c r="H12" s="79"/>
      <c r="I12" s="79"/>
      <c r="J12" s="79">
        <f t="shared" si="1"/>
        <v>128541.17312</v>
      </c>
      <c r="K12" s="79">
        <f t="shared" si="2"/>
        <v>128541.17312</v>
      </c>
      <c r="L12" s="79">
        <f t="shared" si="3"/>
        <v>59840.5843901</v>
      </c>
      <c r="M12" s="79">
        <f t="shared" si="3"/>
        <v>3577.2226809999993</v>
      </c>
      <c r="N12" s="79"/>
      <c r="O12" s="78"/>
      <c r="P12" s="78">
        <f t="shared" si="4"/>
        <v>15663.183359999999</v>
      </c>
      <c r="Q12" s="79">
        <f t="shared" si="5"/>
        <v>15663.183359999999</v>
      </c>
      <c r="R12" s="79">
        <f t="shared" si="6"/>
        <v>7291.7807028</v>
      </c>
      <c r="S12" s="77">
        <f t="shared" si="7"/>
        <v>435.896868</v>
      </c>
      <c r="T12" s="79"/>
      <c r="U12" s="78"/>
      <c r="V12" s="78">
        <f t="shared" si="8"/>
        <v>267.48928</v>
      </c>
      <c r="W12" s="78">
        <f t="shared" si="9"/>
        <v>267.48928</v>
      </c>
      <c r="X12" s="79">
        <f t="shared" si="10"/>
        <v>124.5259744</v>
      </c>
      <c r="Y12" s="77">
        <f t="shared" si="11"/>
        <v>7.444063999999999</v>
      </c>
      <c r="Z12" s="79"/>
      <c r="AA12" s="79"/>
      <c r="AB12" s="78">
        <f t="shared" si="12"/>
        <v>1207.5379199999998</v>
      </c>
      <c r="AC12" s="78">
        <f t="shared" si="13"/>
        <v>1207.5379199999998</v>
      </c>
      <c r="AD12" s="79">
        <f t="shared" si="14"/>
        <v>562.1527566</v>
      </c>
      <c r="AE12" s="77">
        <f t="shared" si="15"/>
        <v>33.605045999999994</v>
      </c>
      <c r="AF12" s="79"/>
      <c r="AG12" s="78"/>
      <c r="AH12" s="78">
        <f t="shared" si="16"/>
        <v>20999.35296</v>
      </c>
      <c r="AI12" s="78">
        <f t="shared" si="17"/>
        <v>20999.35296</v>
      </c>
      <c r="AJ12" s="79">
        <f t="shared" si="18"/>
        <v>9775.9614483</v>
      </c>
      <c r="AK12" s="77">
        <f t="shared" si="19"/>
        <v>584.399223</v>
      </c>
      <c r="AL12" s="79"/>
      <c r="AM12" s="78"/>
      <c r="AN12" s="78">
        <f t="shared" si="20"/>
        <v>254.37056</v>
      </c>
      <c r="AO12" s="78">
        <f t="shared" si="21"/>
        <v>254.37056</v>
      </c>
      <c r="AP12" s="79">
        <f t="shared" si="22"/>
        <v>118.4187338</v>
      </c>
      <c r="AQ12" s="77">
        <f t="shared" si="23"/>
        <v>7.078978</v>
      </c>
      <c r="AR12" s="78"/>
      <c r="AS12" s="78"/>
      <c r="AT12" s="78">
        <f t="shared" si="24"/>
        <v>214.51712</v>
      </c>
      <c r="AU12" s="78">
        <f t="shared" si="25"/>
        <v>214.51712</v>
      </c>
      <c r="AV12" s="79">
        <f t="shared" si="26"/>
        <v>99.8655101</v>
      </c>
      <c r="AW12" s="77">
        <f t="shared" si="27"/>
        <v>5.969881</v>
      </c>
      <c r="AX12" s="79"/>
      <c r="AY12" s="78"/>
      <c r="AZ12" s="78">
        <f t="shared" si="28"/>
        <v>8801.09824</v>
      </c>
      <c r="BA12" s="78">
        <f t="shared" si="29"/>
        <v>8801.09824</v>
      </c>
      <c r="BB12" s="79">
        <f t="shared" si="30"/>
        <v>4097.2308652</v>
      </c>
      <c r="BC12" s="77">
        <f t="shared" si="31"/>
        <v>244.929212</v>
      </c>
      <c r="BD12" s="79"/>
      <c r="BE12" s="78"/>
      <c r="BF12" s="78">
        <f t="shared" si="32"/>
        <v>18058.91264</v>
      </c>
      <c r="BG12" s="78">
        <f t="shared" si="33"/>
        <v>18058.91264</v>
      </c>
      <c r="BH12" s="79">
        <f t="shared" si="34"/>
        <v>8407.0796897</v>
      </c>
      <c r="BI12" s="77">
        <f t="shared" si="35"/>
        <v>502.56855700000006</v>
      </c>
      <c r="BJ12" s="79"/>
      <c r="BK12" s="78"/>
      <c r="BL12" s="78">
        <f t="shared" si="36"/>
        <v>208.47871999999998</v>
      </c>
      <c r="BM12" s="78">
        <f t="shared" si="37"/>
        <v>208.47871999999998</v>
      </c>
      <c r="BN12" s="79">
        <f t="shared" si="38"/>
        <v>97.0544156</v>
      </c>
      <c r="BO12" s="77">
        <f t="shared" si="39"/>
        <v>5.801836000000001</v>
      </c>
      <c r="BP12" s="79"/>
      <c r="BQ12" s="78"/>
      <c r="BR12" s="78">
        <f t="shared" si="40"/>
        <v>140.04352</v>
      </c>
      <c r="BS12" s="78">
        <f t="shared" si="41"/>
        <v>140.04352</v>
      </c>
      <c r="BT12" s="79">
        <f t="shared" si="42"/>
        <v>65.1953446</v>
      </c>
      <c r="BU12" s="77">
        <f t="shared" si="43"/>
        <v>3.8973259999999996</v>
      </c>
      <c r="BV12" s="79"/>
      <c r="BW12" s="78"/>
      <c r="BX12" s="78">
        <f t="shared" si="44"/>
        <v>-20.862080000000002</v>
      </c>
      <c r="BY12" s="78">
        <f t="shared" si="45"/>
        <v>-20.862080000000002</v>
      </c>
      <c r="BZ12" s="79">
        <f t="shared" si="46"/>
        <v>-9.7120559</v>
      </c>
      <c r="CA12" s="77">
        <f t="shared" si="47"/>
        <v>-0.580579</v>
      </c>
      <c r="CB12" s="78"/>
      <c r="CC12" s="78"/>
      <c r="CD12" s="78">
        <f t="shared" si="48"/>
        <v>-13.592319999999999</v>
      </c>
      <c r="CE12" s="78">
        <f t="shared" si="49"/>
        <v>-13.592319999999999</v>
      </c>
      <c r="CF12" s="79">
        <f t="shared" si="50"/>
        <v>-6.3277186</v>
      </c>
      <c r="CG12" s="77">
        <f t="shared" si="51"/>
        <v>-0.378266</v>
      </c>
      <c r="CH12" s="79"/>
      <c r="CI12" s="78"/>
      <c r="CJ12" s="78">
        <f t="shared" si="52"/>
        <v>505.47328</v>
      </c>
      <c r="CK12" s="78">
        <f t="shared" si="53"/>
        <v>505.47328</v>
      </c>
      <c r="CL12" s="79">
        <f t="shared" si="54"/>
        <v>235.3161694</v>
      </c>
      <c r="CM12" s="77">
        <f t="shared" si="55"/>
        <v>14.067014</v>
      </c>
      <c r="CN12" s="79"/>
      <c r="CO12" s="78"/>
      <c r="CP12" s="78">
        <f t="shared" si="56"/>
        <v>3108.4736</v>
      </c>
      <c r="CQ12" s="78">
        <f t="shared" si="57"/>
        <v>3108.4736</v>
      </c>
      <c r="CR12" s="79">
        <f t="shared" si="58"/>
        <v>1447.1073529999999</v>
      </c>
      <c r="CS12" s="77">
        <f t="shared" si="59"/>
        <v>86.50693</v>
      </c>
      <c r="CT12" s="79"/>
      <c r="CU12" s="78"/>
      <c r="CV12" s="78">
        <f t="shared" si="60"/>
        <v>20882.23168</v>
      </c>
      <c r="CW12" s="78">
        <f t="shared" si="61"/>
        <v>20882.23168</v>
      </c>
      <c r="CX12" s="79">
        <f t="shared" si="62"/>
        <v>9721.4372389</v>
      </c>
      <c r="CY12" s="77">
        <f t="shared" si="63"/>
        <v>581.139809</v>
      </c>
      <c r="CZ12" s="79"/>
      <c r="DA12" s="78"/>
      <c r="DB12" s="78">
        <f t="shared" si="64"/>
        <v>3012.85376</v>
      </c>
      <c r="DC12" s="78">
        <f t="shared" si="65"/>
        <v>3012.85376</v>
      </c>
      <c r="DD12" s="79">
        <f t="shared" si="66"/>
        <v>1402.5928448</v>
      </c>
      <c r="DE12" s="77">
        <f t="shared" si="67"/>
        <v>83.845888</v>
      </c>
      <c r="DF12" s="79"/>
      <c r="DG12" s="78"/>
      <c r="DH12" s="78">
        <f t="shared" si="68"/>
        <v>6156.13696</v>
      </c>
      <c r="DI12" s="78">
        <f t="shared" si="69"/>
        <v>6156.13696</v>
      </c>
      <c r="DJ12" s="79">
        <f t="shared" si="70"/>
        <v>2865.9053308000002</v>
      </c>
      <c r="DK12" s="77">
        <f t="shared" si="71"/>
        <v>171.321548</v>
      </c>
      <c r="DL12" s="79"/>
      <c r="DM12" s="78"/>
      <c r="DN12" s="78">
        <f t="shared" si="72"/>
        <v>998.3961599999999</v>
      </c>
      <c r="DO12" s="78">
        <f t="shared" si="73"/>
        <v>998.3961599999999</v>
      </c>
      <c r="DP12" s="79">
        <f t="shared" si="74"/>
        <v>464.78967179999995</v>
      </c>
      <c r="DQ12" s="77">
        <f t="shared" si="75"/>
        <v>27.784758</v>
      </c>
      <c r="DR12" s="79"/>
      <c r="DS12" s="78"/>
      <c r="DT12" s="78">
        <f t="shared" si="76"/>
        <v>5121.55776</v>
      </c>
      <c r="DU12" s="78">
        <f t="shared" si="77"/>
        <v>5121.55776</v>
      </c>
      <c r="DV12" s="79">
        <f t="shared" si="78"/>
        <v>2384.2711398</v>
      </c>
      <c r="DW12" s="77">
        <f t="shared" si="79"/>
        <v>142.529838</v>
      </c>
      <c r="DX12" s="79"/>
      <c r="DY12" s="78"/>
      <c r="DZ12" s="78">
        <f t="shared" si="80"/>
        <v>45.77344</v>
      </c>
      <c r="EA12" s="78">
        <f t="shared" si="81"/>
        <v>45.77344</v>
      </c>
      <c r="EB12" s="79">
        <f t="shared" si="82"/>
        <v>21.3091987</v>
      </c>
      <c r="EC12" s="77">
        <f t="shared" si="83"/>
        <v>1.273847</v>
      </c>
      <c r="ED12" s="79"/>
      <c r="EE12" s="78"/>
      <c r="EF12" s="78">
        <f t="shared" si="84"/>
        <v>60.24192</v>
      </c>
      <c r="EG12" s="78">
        <f t="shared" si="85"/>
        <v>60.24192</v>
      </c>
      <c r="EH12" s="79">
        <f t="shared" si="86"/>
        <v>28.0448016</v>
      </c>
      <c r="EI12" s="77">
        <f t="shared" si="87"/>
        <v>1.676496</v>
      </c>
      <c r="EJ12" s="79"/>
      <c r="EK12" s="78"/>
      <c r="EL12" s="78">
        <f t="shared" si="88"/>
        <v>3035.46816</v>
      </c>
      <c r="EM12" s="78">
        <f t="shared" si="89"/>
        <v>3035.46816</v>
      </c>
      <c r="EN12" s="79">
        <f t="shared" si="90"/>
        <v>1413.1206693000001</v>
      </c>
      <c r="EO12" s="77">
        <f t="shared" si="91"/>
        <v>84.475233</v>
      </c>
      <c r="EP12" s="79"/>
      <c r="EQ12" s="78"/>
      <c r="ER12" s="78">
        <f t="shared" si="92"/>
        <v>57.7792</v>
      </c>
      <c r="ES12" s="78">
        <f t="shared" si="93"/>
        <v>57.7792</v>
      </c>
      <c r="ET12" s="79">
        <f t="shared" si="94"/>
        <v>26.898315999999998</v>
      </c>
      <c r="EU12" s="77">
        <f t="shared" si="95"/>
        <v>1.60796</v>
      </c>
      <c r="EV12" s="79"/>
      <c r="EW12" s="78"/>
      <c r="EX12" s="78">
        <f t="shared" si="96"/>
        <v>863.3491200000001</v>
      </c>
      <c r="EY12" s="78">
        <f t="shared" si="97"/>
        <v>863.3491200000001</v>
      </c>
      <c r="EZ12" s="79">
        <f t="shared" si="98"/>
        <v>401.9203701</v>
      </c>
      <c r="FA12" s="77">
        <f t="shared" si="99"/>
        <v>24.026481</v>
      </c>
      <c r="FB12" s="79"/>
      <c r="FC12" s="78"/>
      <c r="FD12" s="78">
        <f t="shared" si="100"/>
        <v>599.7433599999999</v>
      </c>
      <c r="FE12" s="78">
        <f t="shared" si="101"/>
        <v>599.7433599999999</v>
      </c>
      <c r="FF12" s="79">
        <f t="shared" si="102"/>
        <v>279.2023153</v>
      </c>
      <c r="FG12" s="77">
        <f t="shared" si="103"/>
        <v>16.690493</v>
      </c>
      <c r="FH12" s="79"/>
      <c r="FI12" s="78"/>
      <c r="FJ12" s="78">
        <f t="shared" si="104"/>
        <v>234.12416000000002</v>
      </c>
      <c r="FK12" s="78">
        <f t="shared" si="105"/>
        <v>234.12416000000002</v>
      </c>
      <c r="FL12" s="79">
        <f t="shared" si="106"/>
        <v>108.99329929999999</v>
      </c>
      <c r="FM12" s="77">
        <f t="shared" si="107"/>
        <v>6.515533</v>
      </c>
      <c r="FN12" s="79"/>
      <c r="FO12" s="78"/>
      <c r="FP12" s="78">
        <f t="shared" si="108"/>
        <v>2631.10848</v>
      </c>
      <c r="FQ12" s="78">
        <f t="shared" si="109"/>
        <v>2631.10848</v>
      </c>
      <c r="FR12" s="79">
        <f t="shared" si="110"/>
        <v>1224.8765529</v>
      </c>
      <c r="FS12" s="77">
        <f t="shared" si="111"/>
        <v>73.222149</v>
      </c>
      <c r="FT12" s="79"/>
      <c r="FU12" s="78"/>
      <c r="FV12" s="78">
        <f t="shared" si="112"/>
        <v>5929.99296</v>
      </c>
      <c r="FW12" s="78">
        <f t="shared" si="113"/>
        <v>5929.99296</v>
      </c>
      <c r="FX12" s="79">
        <f t="shared" si="114"/>
        <v>2760.6270858000003</v>
      </c>
      <c r="FY12" s="77">
        <f t="shared" si="115"/>
        <v>165.028098</v>
      </c>
      <c r="FZ12" s="79"/>
      <c r="GA12" s="78"/>
      <c r="GB12" s="78">
        <f t="shared" si="116"/>
        <v>756.7417600000001</v>
      </c>
      <c r="GC12" s="78">
        <f t="shared" si="117"/>
        <v>756.7417600000001</v>
      </c>
      <c r="GD12" s="79">
        <f t="shared" si="118"/>
        <v>352.2907723</v>
      </c>
      <c r="GE12" s="77">
        <f t="shared" si="119"/>
        <v>21.059663</v>
      </c>
      <c r="GF12" s="79"/>
      <c r="GG12" s="78"/>
      <c r="GH12" s="78">
        <f t="shared" si="120"/>
        <v>1201.7126400000002</v>
      </c>
      <c r="GI12" s="78">
        <f t="shared" si="121"/>
        <v>1201.7126400000002</v>
      </c>
      <c r="GJ12" s="79">
        <f t="shared" si="122"/>
        <v>559.4408772</v>
      </c>
      <c r="GK12" s="77">
        <f t="shared" si="123"/>
        <v>33.442932</v>
      </c>
      <c r="GL12" s="79"/>
      <c r="GM12" s="78"/>
      <c r="GN12" s="78">
        <f t="shared" si="124"/>
        <v>5569.27552</v>
      </c>
      <c r="GO12" s="78">
        <f t="shared" si="125"/>
        <v>5569.27552</v>
      </c>
      <c r="GP12" s="79">
        <f t="shared" si="126"/>
        <v>2592.7000171</v>
      </c>
      <c r="GQ12" s="77">
        <f t="shared" si="127"/>
        <v>154.989551</v>
      </c>
      <c r="GR12" s="79"/>
      <c r="GS12" s="78"/>
      <c r="GT12" s="78">
        <f t="shared" si="128"/>
        <v>295.57376</v>
      </c>
      <c r="GU12" s="78">
        <f t="shared" si="129"/>
        <v>295.57376</v>
      </c>
      <c r="GV12" s="79">
        <f t="shared" si="130"/>
        <v>137.60031980000002</v>
      </c>
      <c r="GW12" s="77">
        <f t="shared" si="131"/>
        <v>8.225638</v>
      </c>
      <c r="GX12" s="79"/>
      <c r="GY12" s="78"/>
      <c r="GZ12" s="78">
        <f t="shared" si="132"/>
        <v>1694.6355200000003</v>
      </c>
      <c r="HA12" s="78">
        <f t="shared" si="133"/>
        <v>1694.6355200000003</v>
      </c>
      <c r="HB12" s="79">
        <f t="shared" si="134"/>
        <v>788.9143796000001</v>
      </c>
      <c r="HC12" s="77">
        <f t="shared" si="135"/>
        <v>47.160676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43922</v>
      </c>
      <c r="C13" s="42">
        <v>5805000</v>
      </c>
      <c r="D13" s="42">
        <v>236800</v>
      </c>
      <c r="E13" s="77">
        <f t="shared" si="0"/>
        <v>6041800</v>
      </c>
      <c r="F13" s="77">
        <v>110239</v>
      </c>
      <c r="G13" s="77">
        <v>6590</v>
      </c>
      <c r="H13" s="79"/>
      <c r="I13" s="79">
        <f>O13+U13+AA13+AG13+AM13+AS13+AY13+BE13+BK13+BQ13+BW13+CC13+CI13+CO13+CU13+DA13+DG13+DM13+DS13+DY13+EE13+EK13+EQ13+EW13+FC13+FI13+FO13+FU13+GA13+GG13+GM13+GS13+GY13</f>
        <v>3151104.3494999995</v>
      </c>
      <c r="J13" s="79">
        <f t="shared" si="1"/>
        <v>128541.17312</v>
      </c>
      <c r="K13" s="79">
        <f t="shared" si="2"/>
        <v>3279645.5226199995</v>
      </c>
      <c r="L13" s="79">
        <f t="shared" si="3"/>
        <v>59840.5843901</v>
      </c>
      <c r="M13" s="79">
        <f t="shared" si="3"/>
        <v>3577.2226809999993</v>
      </c>
      <c r="N13" s="79"/>
      <c r="O13" s="78">
        <f t="shared" si="136"/>
        <v>383972.886</v>
      </c>
      <c r="P13" s="78">
        <f t="shared" si="4"/>
        <v>15663.183359999999</v>
      </c>
      <c r="Q13" s="79">
        <f t="shared" si="5"/>
        <v>399636.06936</v>
      </c>
      <c r="R13" s="79">
        <f t="shared" si="6"/>
        <v>7291.7807028</v>
      </c>
      <c r="S13" s="77">
        <f t="shared" si="7"/>
        <v>435.896868</v>
      </c>
      <c r="T13" s="79"/>
      <c r="U13" s="78">
        <f t="shared" si="137"/>
        <v>6557.328</v>
      </c>
      <c r="V13" s="78">
        <f t="shared" si="8"/>
        <v>267.48928</v>
      </c>
      <c r="W13" s="78">
        <f t="shared" si="9"/>
        <v>6824.81728</v>
      </c>
      <c r="X13" s="79">
        <f t="shared" si="10"/>
        <v>124.5259744</v>
      </c>
      <c r="Y13" s="77">
        <f t="shared" si="11"/>
        <v>7.444063999999999</v>
      </c>
      <c r="Z13" s="79"/>
      <c r="AA13" s="79">
        <f t="shared" si="138"/>
        <v>29602.016999999996</v>
      </c>
      <c r="AB13" s="78">
        <f t="shared" si="12"/>
        <v>1207.5379199999998</v>
      </c>
      <c r="AC13" s="78">
        <f t="shared" si="13"/>
        <v>30809.554919999995</v>
      </c>
      <c r="AD13" s="79">
        <f t="shared" si="14"/>
        <v>562.1527566</v>
      </c>
      <c r="AE13" s="77">
        <f t="shared" si="15"/>
        <v>33.605045999999994</v>
      </c>
      <c r="AF13" s="79"/>
      <c r="AG13" s="78">
        <f t="shared" si="139"/>
        <v>514785.6585</v>
      </c>
      <c r="AH13" s="78">
        <f t="shared" si="16"/>
        <v>20999.35296</v>
      </c>
      <c r="AI13" s="78">
        <f t="shared" si="17"/>
        <v>535785.0114600001</v>
      </c>
      <c r="AJ13" s="79">
        <f t="shared" si="18"/>
        <v>9775.9614483</v>
      </c>
      <c r="AK13" s="77">
        <f t="shared" si="19"/>
        <v>584.399223</v>
      </c>
      <c r="AL13" s="79"/>
      <c r="AM13" s="78">
        <f t="shared" si="140"/>
        <v>6235.731</v>
      </c>
      <c r="AN13" s="78">
        <f t="shared" si="20"/>
        <v>254.37056</v>
      </c>
      <c r="AO13" s="78">
        <f t="shared" si="21"/>
        <v>6490.10156</v>
      </c>
      <c r="AP13" s="79">
        <f t="shared" si="22"/>
        <v>118.4187338</v>
      </c>
      <c r="AQ13" s="77">
        <f t="shared" si="23"/>
        <v>7.078978</v>
      </c>
      <c r="AR13" s="78"/>
      <c r="AS13" s="78">
        <f t="shared" si="141"/>
        <v>5258.749500000001</v>
      </c>
      <c r="AT13" s="78">
        <f t="shared" si="24"/>
        <v>214.51712</v>
      </c>
      <c r="AU13" s="78">
        <f t="shared" si="25"/>
        <v>5473.266620000001</v>
      </c>
      <c r="AV13" s="79">
        <f t="shared" si="26"/>
        <v>99.8655101</v>
      </c>
      <c r="AW13" s="77">
        <f t="shared" si="27"/>
        <v>5.969881</v>
      </c>
      <c r="AX13" s="79"/>
      <c r="AY13" s="78">
        <f t="shared" si="142"/>
        <v>215753.27400000003</v>
      </c>
      <c r="AZ13" s="78">
        <f t="shared" si="28"/>
        <v>8801.09824</v>
      </c>
      <c r="BA13" s="78">
        <f t="shared" si="29"/>
        <v>224554.37224000003</v>
      </c>
      <c r="BB13" s="79">
        <f t="shared" si="30"/>
        <v>4097.2308652</v>
      </c>
      <c r="BC13" s="77">
        <f t="shared" si="31"/>
        <v>244.929212</v>
      </c>
      <c r="BD13" s="79"/>
      <c r="BE13" s="78">
        <f t="shared" si="143"/>
        <v>442702.6515</v>
      </c>
      <c r="BF13" s="78">
        <f t="shared" si="32"/>
        <v>18058.91264</v>
      </c>
      <c r="BG13" s="78">
        <f t="shared" si="33"/>
        <v>460761.56414</v>
      </c>
      <c r="BH13" s="79">
        <f t="shared" si="34"/>
        <v>8407.0796897</v>
      </c>
      <c r="BI13" s="77">
        <f t="shared" si="35"/>
        <v>502.56855700000006</v>
      </c>
      <c r="BJ13" s="79"/>
      <c r="BK13" s="78">
        <f t="shared" si="144"/>
        <v>5110.722</v>
      </c>
      <c r="BL13" s="78">
        <f t="shared" si="36"/>
        <v>208.47871999999998</v>
      </c>
      <c r="BM13" s="78">
        <f t="shared" si="37"/>
        <v>5319.20072</v>
      </c>
      <c r="BN13" s="79">
        <f t="shared" si="38"/>
        <v>97.0544156</v>
      </c>
      <c r="BO13" s="77">
        <f t="shared" si="39"/>
        <v>5.801836000000001</v>
      </c>
      <c r="BP13" s="79"/>
      <c r="BQ13" s="78">
        <f t="shared" si="145"/>
        <v>3433.077</v>
      </c>
      <c r="BR13" s="78">
        <f t="shared" si="40"/>
        <v>140.04352</v>
      </c>
      <c r="BS13" s="78">
        <f t="shared" si="41"/>
        <v>3573.1205200000004</v>
      </c>
      <c r="BT13" s="79">
        <f t="shared" si="42"/>
        <v>65.1953446</v>
      </c>
      <c r="BU13" s="77">
        <f t="shared" si="43"/>
        <v>3.8973259999999996</v>
      </c>
      <c r="BV13" s="79"/>
      <c r="BW13" s="78">
        <f t="shared" si="146"/>
        <v>-511.4205</v>
      </c>
      <c r="BX13" s="78">
        <f t="shared" si="44"/>
        <v>-20.862080000000002</v>
      </c>
      <c r="BY13" s="78">
        <f t="shared" si="45"/>
        <v>-532.28258</v>
      </c>
      <c r="BZ13" s="79">
        <f t="shared" si="46"/>
        <v>-9.7120559</v>
      </c>
      <c r="CA13" s="77">
        <f t="shared" si="47"/>
        <v>-0.580579</v>
      </c>
      <c r="CB13" s="78"/>
      <c r="CC13" s="78">
        <f t="shared" si="147"/>
        <v>-333.20700000000005</v>
      </c>
      <c r="CD13" s="78">
        <f t="shared" si="48"/>
        <v>-13.592319999999999</v>
      </c>
      <c r="CE13" s="78">
        <f t="shared" si="49"/>
        <v>-346.79932</v>
      </c>
      <c r="CF13" s="79">
        <f t="shared" si="50"/>
        <v>-6.3277186</v>
      </c>
      <c r="CG13" s="77">
        <f t="shared" si="51"/>
        <v>-0.378266</v>
      </c>
      <c r="CH13" s="79"/>
      <c r="CI13" s="78">
        <f t="shared" si="148"/>
        <v>12391.353000000001</v>
      </c>
      <c r="CJ13" s="78">
        <f t="shared" si="52"/>
        <v>505.47328</v>
      </c>
      <c r="CK13" s="78">
        <f t="shared" si="53"/>
        <v>12896.826280000001</v>
      </c>
      <c r="CL13" s="79">
        <f t="shared" si="54"/>
        <v>235.3161694</v>
      </c>
      <c r="CM13" s="77">
        <f t="shared" si="55"/>
        <v>14.067014</v>
      </c>
      <c r="CN13" s="79"/>
      <c r="CO13" s="78">
        <f t="shared" si="149"/>
        <v>76202.235</v>
      </c>
      <c r="CP13" s="78">
        <f t="shared" si="56"/>
        <v>3108.4736</v>
      </c>
      <c r="CQ13" s="78">
        <f t="shared" si="57"/>
        <v>79310.7086</v>
      </c>
      <c r="CR13" s="79">
        <f t="shared" si="58"/>
        <v>1447.1073529999999</v>
      </c>
      <c r="CS13" s="77">
        <f t="shared" si="59"/>
        <v>86.50693</v>
      </c>
      <c r="CT13" s="79"/>
      <c r="CU13" s="78">
        <f t="shared" si="150"/>
        <v>511914.50549999997</v>
      </c>
      <c r="CV13" s="78">
        <f t="shared" si="60"/>
        <v>20882.23168</v>
      </c>
      <c r="CW13" s="78">
        <f t="shared" si="61"/>
        <v>532796.7371799999</v>
      </c>
      <c r="CX13" s="79">
        <f t="shared" si="62"/>
        <v>9721.4372389</v>
      </c>
      <c r="CY13" s="77">
        <f t="shared" si="63"/>
        <v>581.139809</v>
      </c>
      <c r="CZ13" s="79"/>
      <c r="DA13" s="78">
        <f t="shared" si="151"/>
        <v>73858.17599999999</v>
      </c>
      <c r="DB13" s="78">
        <f t="shared" si="64"/>
        <v>3012.85376</v>
      </c>
      <c r="DC13" s="78">
        <f t="shared" si="65"/>
        <v>76871.02975999999</v>
      </c>
      <c r="DD13" s="79">
        <f t="shared" si="66"/>
        <v>1402.5928448</v>
      </c>
      <c r="DE13" s="77">
        <f t="shared" si="67"/>
        <v>83.845888</v>
      </c>
      <c r="DF13" s="79"/>
      <c r="DG13" s="78">
        <f t="shared" si="152"/>
        <v>150913.74599999998</v>
      </c>
      <c r="DH13" s="78">
        <f t="shared" si="68"/>
        <v>6156.13696</v>
      </c>
      <c r="DI13" s="78">
        <f t="shared" si="69"/>
        <v>157069.88296</v>
      </c>
      <c r="DJ13" s="79">
        <f t="shared" si="70"/>
        <v>2865.9053308000002</v>
      </c>
      <c r="DK13" s="77">
        <f t="shared" si="71"/>
        <v>171.321548</v>
      </c>
      <c r="DL13" s="79"/>
      <c r="DM13" s="78">
        <f t="shared" si="153"/>
        <v>24475.041</v>
      </c>
      <c r="DN13" s="78">
        <f t="shared" si="72"/>
        <v>998.3961599999999</v>
      </c>
      <c r="DO13" s="78">
        <f t="shared" si="73"/>
        <v>25473.43716</v>
      </c>
      <c r="DP13" s="79">
        <f t="shared" si="74"/>
        <v>464.78967179999995</v>
      </c>
      <c r="DQ13" s="77">
        <f t="shared" si="75"/>
        <v>27.784758</v>
      </c>
      <c r="DR13" s="79"/>
      <c r="DS13" s="78">
        <f t="shared" si="154"/>
        <v>125551.701</v>
      </c>
      <c r="DT13" s="78">
        <f t="shared" si="76"/>
        <v>5121.55776</v>
      </c>
      <c r="DU13" s="78">
        <f t="shared" si="77"/>
        <v>130673.25876</v>
      </c>
      <c r="DV13" s="79">
        <f t="shared" si="78"/>
        <v>2384.2711398</v>
      </c>
      <c r="DW13" s="77">
        <f t="shared" si="79"/>
        <v>142.529838</v>
      </c>
      <c r="DX13" s="79"/>
      <c r="DY13" s="78">
        <f t="shared" si="155"/>
        <v>1122.1064999999999</v>
      </c>
      <c r="DZ13" s="78">
        <f t="shared" si="80"/>
        <v>45.77344</v>
      </c>
      <c r="EA13" s="78">
        <f t="shared" si="81"/>
        <v>1167.8799399999998</v>
      </c>
      <c r="EB13" s="79">
        <f t="shared" si="82"/>
        <v>21.3091987</v>
      </c>
      <c r="EC13" s="77">
        <f t="shared" si="83"/>
        <v>1.273847</v>
      </c>
      <c r="ED13" s="79"/>
      <c r="EE13" s="78">
        <f t="shared" si="156"/>
        <v>1476.7920000000001</v>
      </c>
      <c r="EF13" s="78">
        <f t="shared" si="84"/>
        <v>60.24192</v>
      </c>
      <c r="EG13" s="78">
        <f t="shared" si="85"/>
        <v>1537.03392</v>
      </c>
      <c r="EH13" s="79">
        <f t="shared" si="86"/>
        <v>28.0448016</v>
      </c>
      <c r="EI13" s="77">
        <f t="shared" si="87"/>
        <v>1.676496</v>
      </c>
      <c r="EJ13" s="79"/>
      <c r="EK13" s="78">
        <f t="shared" si="157"/>
        <v>74412.55350000001</v>
      </c>
      <c r="EL13" s="78">
        <f t="shared" si="88"/>
        <v>3035.46816</v>
      </c>
      <c r="EM13" s="78">
        <f t="shared" si="89"/>
        <v>77448.02166000001</v>
      </c>
      <c r="EN13" s="79">
        <f t="shared" si="90"/>
        <v>1413.1206693000001</v>
      </c>
      <c r="EO13" s="77">
        <f t="shared" si="91"/>
        <v>84.475233</v>
      </c>
      <c r="EP13" s="79"/>
      <c r="EQ13" s="78">
        <f t="shared" si="158"/>
        <v>1416.42</v>
      </c>
      <c r="ER13" s="78">
        <f t="shared" si="92"/>
        <v>57.7792</v>
      </c>
      <c r="ES13" s="78">
        <f t="shared" si="93"/>
        <v>1474.1992</v>
      </c>
      <c r="ET13" s="79">
        <f t="shared" si="94"/>
        <v>26.898315999999998</v>
      </c>
      <c r="EU13" s="77">
        <f t="shared" si="95"/>
        <v>1.60796</v>
      </c>
      <c r="EV13" s="79"/>
      <c r="EW13" s="78">
        <f t="shared" si="159"/>
        <v>21164.449500000002</v>
      </c>
      <c r="EX13" s="78">
        <f t="shared" si="96"/>
        <v>863.3491200000001</v>
      </c>
      <c r="EY13" s="78">
        <f t="shared" si="97"/>
        <v>22027.79862</v>
      </c>
      <c r="EZ13" s="79">
        <f t="shared" si="98"/>
        <v>401.9203701</v>
      </c>
      <c r="FA13" s="77">
        <f t="shared" si="99"/>
        <v>24.026481</v>
      </c>
      <c r="FB13" s="79"/>
      <c r="FC13" s="78">
        <f t="shared" si="160"/>
        <v>14702.323499999999</v>
      </c>
      <c r="FD13" s="78">
        <f t="shared" si="100"/>
        <v>599.7433599999999</v>
      </c>
      <c r="FE13" s="78">
        <f t="shared" si="101"/>
        <v>15302.066859999999</v>
      </c>
      <c r="FF13" s="79">
        <f t="shared" si="102"/>
        <v>279.2023153</v>
      </c>
      <c r="FG13" s="77">
        <f t="shared" si="103"/>
        <v>16.690493</v>
      </c>
      <c r="FH13" s="79"/>
      <c r="FI13" s="78">
        <f t="shared" si="161"/>
        <v>5739.403499999999</v>
      </c>
      <c r="FJ13" s="78">
        <f t="shared" si="104"/>
        <v>234.12416000000002</v>
      </c>
      <c r="FK13" s="78">
        <f t="shared" si="105"/>
        <v>5973.52766</v>
      </c>
      <c r="FL13" s="79">
        <f t="shared" si="106"/>
        <v>108.99329929999999</v>
      </c>
      <c r="FM13" s="77">
        <f t="shared" si="107"/>
        <v>6.515533</v>
      </c>
      <c r="FN13" s="79"/>
      <c r="FO13" s="78">
        <f t="shared" si="162"/>
        <v>64499.9355</v>
      </c>
      <c r="FP13" s="78">
        <f t="shared" si="108"/>
        <v>2631.10848</v>
      </c>
      <c r="FQ13" s="78">
        <f t="shared" si="109"/>
        <v>67131.04398</v>
      </c>
      <c r="FR13" s="79">
        <f t="shared" si="110"/>
        <v>1224.8765529</v>
      </c>
      <c r="FS13" s="77">
        <f t="shared" si="111"/>
        <v>73.222149</v>
      </c>
      <c r="FT13" s="79"/>
      <c r="FU13" s="78">
        <f t="shared" si="163"/>
        <v>145369.97100000002</v>
      </c>
      <c r="FV13" s="78">
        <f t="shared" si="112"/>
        <v>5929.99296</v>
      </c>
      <c r="FW13" s="78">
        <f t="shared" si="113"/>
        <v>151299.96396000002</v>
      </c>
      <c r="FX13" s="79">
        <f t="shared" si="114"/>
        <v>2760.6270858000003</v>
      </c>
      <c r="FY13" s="77">
        <f t="shared" si="115"/>
        <v>165.028098</v>
      </c>
      <c r="FZ13" s="79"/>
      <c r="GA13" s="78">
        <f t="shared" si="164"/>
        <v>18551.038500000002</v>
      </c>
      <c r="GB13" s="78">
        <f t="shared" si="116"/>
        <v>756.7417600000001</v>
      </c>
      <c r="GC13" s="78">
        <f t="shared" si="117"/>
        <v>19307.780260000003</v>
      </c>
      <c r="GD13" s="79">
        <f t="shared" si="118"/>
        <v>352.2907723</v>
      </c>
      <c r="GE13" s="77">
        <f t="shared" si="119"/>
        <v>21.059663</v>
      </c>
      <c r="GF13" s="79"/>
      <c r="GG13" s="78">
        <f t="shared" si="165"/>
        <v>29459.214000000004</v>
      </c>
      <c r="GH13" s="78">
        <f t="shared" si="120"/>
        <v>1201.7126400000002</v>
      </c>
      <c r="GI13" s="78">
        <f t="shared" si="121"/>
        <v>30660.926640000005</v>
      </c>
      <c r="GJ13" s="79">
        <f t="shared" si="122"/>
        <v>559.4408772</v>
      </c>
      <c r="GK13" s="77">
        <f t="shared" si="123"/>
        <v>33.442932</v>
      </c>
      <c r="GL13" s="79"/>
      <c r="GM13" s="78">
        <f t="shared" si="166"/>
        <v>136527.2145</v>
      </c>
      <c r="GN13" s="78">
        <f t="shared" si="124"/>
        <v>5569.27552</v>
      </c>
      <c r="GO13" s="78">
        <f t="shared" si="125"/>
        <v>142096.49002</v>
      </c>
      <c r="GP13" s="79">
        <f t="shared" si="126"/>
        <v>2592.7000171</v>
      </c>
      <c r="GQ13" s="77">
        <f t="shared" si="127"/>
        <v>154.989551</v>
      </c>
      <c r="GR13" s="79"/>
      <c r="GS13" s="78">
        <f t="shared" si="167"/>
        <v>7245.8009999999995</v>
      </c>
      <c r="GT13" s="78">
        <f t="shared" si="128"/>
        <v>295.57376</v>
      </c>
      <c r="GU13" s="78">
        <f t="shared" si="129"/>
        <v>7541.37476</v>
      </c>
      <c r="GV13" s="79">
        <f t="shared" si="130"/>
        <v>137.60031980000002</v>
      </c>
      <c r="GW13" s="77">
        <f t="shared" si="131"/>
        <v>8.225638</v>
      </c>
      <c r="GX13" s="79"/>
      <c r="GY13" s="78">
        <f t="shared" si="168"/>
        <v>41542.902</v>
      </c>
      <c r="GZ13" s="78">
        <f t="shared" si="132"/>
        <v>1694.6355200000003</v>
      </c>
      <c r="HA13" s="78">
        <f t="shared" si="133"/>
        <v>43237.537520000005</v>
      </c>
      <c r="HB13" s="79">
        <f t="shared" si="134"/>
        <v>788.9143796000001</v>
      </c>
      <c r="HC13" s="77">
        <f t="shared" si="135"/>
        <v>47.160676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44105</v>
      </c>
      <c r="C14" s="42"/>
      <c r="D14" s="42">
        <v>120700</v>
      </c>
      <c r="E14" s="77">
        <f t="shared" si="0"/>
        <v>120700</v>
      </c>
      <c r="F14" s="77">
        <v>110239</v>
      </c>
      <c r="G14" s="77">
        <v>6590</v>
      </c>
      <c r="H14" s="79"/>
      <c r="I14" s="79"/>
      <c r="J14" s="79">
        <f t="shared" si="1"/>
        <v>65519.086129999996</v>
      </c>
      <c r="K14" s="79">
        <f t="shared" si="2"/>
        <v>65519.086129999996</v>
      </c>
      <c r="L14" s="79">
        <f t="shared" si="3"/>
        <v>59840.5843901</v>
      </c>
      <c r="M14" s="79">
        <f t="shared" si="3"/>
        <v>3577.2226809999993</v>
      </c>
      <c r="N14" s="79"/>
      <c r="O14" s="78"/>
      <c r="P14" s="78">
        <f t="shared" si="4"/>
        <v>7983.725640000001</v>
      </c>
      <c r="Q14" s="79">
        <f t="shared" si="5"/>
        <v>7983.725640000001</v>
      </c>
      <c r="R14" s="79">
        <f t="shared" si="6"/>
        <v>7291.7807028</v>
      </c>
      <c r="S14" s="77">
        <f t="shared" si="7"/>
        <v>435.896868</v>
      </c>
      <c r="T14" s="79"/>
      <c r="U14" s="78"/>
      <c r="V14" s="78">
        <f t="shared" si="8"/>
        <v>136.34272</v>
      </c>
      <c r="W14" s="78">
        <f t="shared" si="9"/>
        <v>136.34272</v>
      </c>
      <c r="X14" s="79">
        <f t="shared" si="10"/>
        <v>124.5259744</v>
      </c>
      <c r="Y14" s="77">
        <f t="shared" si="11"/>
        <v>7.444063999999999</v>
      </c>
      <c r="Z14" s="79"/>
      <c r="AA14" s="79"/>
      <c r="AB14" s="78">
        <f t="shared" si="12"/>
        <v>615.49758</v>
      </c>
      <c r="AC14" s="78">
        <f t="shared" si="13"/>
        <v>615.49758</v>
      </c>
      <c r="AD14" s="79">
        <f t="shared" si="14"/>
        <v>562.1527566</v>
      </c>
      <c r="AE14" s="77">
        <f t="shared" si="15"/>
        <v>33.605045999999994</v>
      </c>
      <c r="AF14" s="79"/>
      <c r="AG14" s="78"/>
      <c r="AH14" s="78">
        <f t="shared" si="16"/>
        <v>10703.639790000001</v>
      </c>
      <c r="AI14" s="78">
        <f t="shared" si="17"/>
        <v>10703.639790000001</v>
      </c>
      <c r="AJ14" s="79">
        <f t="shared" si="18"/>
        <v>9775.9614483</v>
      </c>
      <c r="AK14" s="77">
        <f t="shared" si="19"/>
        <v>584.399223</v>
      </c>
      <c r="AL14" s="79"/>
      <c r="AM14" s="78"/>
      <c r="AN14" s="78">
        <f t="shared" si="20"/>
        <v>129.65594000000002</v>
      </c>
      <c r="AO14" s="78">
        <f t="shared" si="21"/>
        <v>129.65594000000002</v>
      </c>
      <c r="AP14" s="79">
        <f t="shared" si="22"/>
        <v>118.4187338</v>
      </c>
      <c r="AQ14" s="77">
        <f t="shared" si="23"/>
        <v>7.078978</v>
      </c>
      <c r="AR14" s="78"/>
      <c r="AS14" s="78"/>
      <c r="AT14" s="78">
        <f t="shared" si="24"/>
        <v>109.34213</v>
      </c>
      <c r="AU14" s="78">
        <f t="shared" si="25"/>
        <v>109.34213</v>
      </c>
      <c r="AV14" s="79">
        <f t="shared" si="26"/>
        <v>99.8655101</v>
      </c>
      <c r="AW14" s="77">
        <f t="shared" si="27"/>
        <v>5.969881</v>
      </c>
      <c r="AX14" s="79"/>
      <c r="AY14" s="78"/>
      <c r="AZ14" s="78">
        <f t="shared" si="28"/>
        <v>4486.03276</v>
      </c>
      <c r="BA14" s="78">
        <f t="shared" si="29"/>
        <v>4486.03276</v>
      </c>
      <c r="BB14" s="79">
        <f t="shared" si="30"/>
        <v>4097.2308652</v>
      </c>
      <c r="BC14" s="77">
        <f t="shared" si="31"/>
        <v>244.929212</v>
      </c>
      <c r="BD14" s="79"/>
      <c r="BE14" s="78"/>
      <c r="BF14" s="78">
        <f t="shared" si="32"/>
        <v>9204.85961</v>
      </c>
      <c r="BG14" s="78">
        <f t="shared" si="33"/>
        <v>9204.85961</v>
      </c>
      <c r="BH14" s="79">
        <f t="shared" si="34"/>
        <v>8407.0796897</v>
      </c>
      <c r="BI14" s="77">
        <f t="shared" si="35"/>
        <v>502.56855700000006</v>
      </c>
      <c r="BJ14" s="79"/>
      <c r="BK14" s="78"/>
      <c r="BL14" s="78">
        <f t="shared" si="36"/>
        <v>106.26428</v>
      </c>
      <c r="BM14" s="78">
        <f t="shared" si="37"/>
        <v>106.26428</v>
      </c>
      <c r="BN14" s="79">
        <f t="shared" si="38"/>
        <v>97.0544156</v>
      </c>
      <c r="BO14" s="77">
        <f t="shared" si="39"/>
        <v>5.801836000000001</v>
      </c>
      <c r="BP14" s="79"/>
      <c r="BQ14" s="78"/>
      <c r="BR14" s="78">
        <f t="shared" si="40"/>
        <v>71.38198</v>
      </c>
      <c r="BS14" s="78">
        <f t="shared" si="41"/>
        <v>71.38198</v>
      </c>
      <c r="BT14" s="79">
        <f t="shared" si="42"/>
        <v>65.1953446</v>
      </c>
      <c r="BU14" s="77">
        <f t="shared" si="43"/>
        <v>3.8973259999999996</v>
      </c>
      <c r="BV14" s="79"/>
      <c r="BW14" s="78"/>
      <c r="BX14" s="78">
        <f t="shared" si="44"/>
        <v>-10.63367</v>
      </c>
      <c r="BY14" s="78">
        <f t="shared" si="45"/>
        <v>-10.63367</v>
      </c>
      <c r="BZ14" s="79">
        <f t="shared" si="46"/>
        <v>-9.7120559</v>
      </c>
      <c r="CA14" s="77">
        <f t="shared" si="47"/>
        <v>-0.580579</v>
      </c>
      <c r="CB14" s="78"/>
      <c r="CC14" s="78"/>
      <c r="CD14" s="78">
        <f t="shared" si="48"/>
        <v>-6.92818</v>
      </c>
      <c r="CE14" s="78">
        <f t="shared" si="49"/>
        <v>-6.92818</v>
      </c>
      <c r="CF14" s="79">
        <f t="shared" si="50"/>
        <v>-6.3277186</v>
      </c>
      <c r="CG14" s="77">
        <f t="shared" si="51"/>
        <v>-0.378266</v>
      </c>
      <c r="CH14" s="79"/>
      <c r="CI14" s="78"/>
      <c r="CJ14" s="78">
        <f t="shared" si="52"/>
        <v>257.64622</v>
      </c>
      <c r="CK14" s="78">
        <f t="shared" si="53"/>
        <v>257.64622</v>
      </c>
      <c r="CL14" s="79">
        <f t="shared" si="54"/>
        <v>235.3161694</v>
      </c>
      <c r="CM14" s="77">
        <f t="shared" si="55"/>
        <v>14.067014</v>
      </c>
      <c r="CN14" s="79"/>
      <c r="CO14" s="78"/>
      <c r="CP14" s="78">
        <f t="shared" si="56"/>
        <v>1584.4288999999999</v>
      </c>
      <c r="CQ14" s="78">
        <f t="shared" si="57"/>
        <v>1584.4288999999999</v>
      </c>
      <c r="CR14" s="79">
        <f t="shared" si="58"/>
        <v>1447.1073529999999</v>
      </c>
      <c r="CS14" s="77">
        <f t="shared" si="59"/>
        <v>86.50693</v>
      </c>
      <c r="CT14" s="79"/>
      <c r="CU14" s="78"/>
      <c r="CV14" s="78">
        <f t="shared" si="60"/>
        <v>10643.941569999999</v>
      </c>
      <c r="CW14" s="78">
        <f t="shared" si="61"/>
        <v>10643.941569999999</v>
      </c>
      <c r="CX14" s="79">
        <f t="shared" si="62"/>
        <v>9721.4372389</v>
      </c>
      <c r="CY14" s="77">
        <f t="shared" si="63"/>
        <v>581.139809</v>
      </c>
      <c r="CZ14" s="79"/>
      <c r="DA14" s="78"/>
      <c r="DB14" s="78">
        <f t="shared" si="64"/>
        <v>1535.6902399999997</v>
      </c>
      <c r="DC14" s="78">
        <f t="shared" si="65"/>
        <v>1535.6902399999997</v>
      </c>
      <c r="DD14" s="79">
        <f t="shared" si="66"/>
        <v>1402.5928448</v>
      </c>
      <c r="DE14" s="77">
        <f t="shared" si="67"/>
        <v>83.845888</v>
      </c>
      <c r="DF14" s="79"/>
      <c r="DG14" s="78"/>
      <c r="DH14" s="78">
        <f t="shared" si="68"/>
        <v>3137.8620400000004</v>
      </c>
      <c r="DI14" s="78">
        <f t="shared" si="69"/>
        <v>3137.8620400000004</v>
      </c>
      <c r="DJ14" s="79">
        <f t="shared" si="70"/>
        <v>2865.9053308000002</v>
      </c>
      <c r="DK14" s="77">
        <f t="shared" si="71"/>
        <v>171.321548</v>
      </c>
      <c r="DL14" s="79"/>
      <c r="DM14" s="78"/>
      <c r="DN14" s="78">
        <f t="shared" si="72"/>
        <v>508.89534</v>
      </c>
      <c r="DO14" s="78">
        <f t="shared" si="73"/>
        <v>508.89534</v>
      </c>
      <c r="DP14" s="79">
        <f t="shared" si="74"/>
        <v>464.78967179999995</v>
      </c>
      <c r="DQ14" s="77">
        <f t="shared" si="75"/>
        <v>27.784758</v>
      </c>
      <c r="DR14" s="79"/>
      <c r="DS14" s="78"/>
      <c r="DT14" s="78">
        <f t="shared" si="76"/>
        <v>2610.5237399999996</v>
      </c>
      <c r="DU14" s="78">
        <f t="shared" si="77"/>
        <v>2610.5237399999996</v>
      </c>
      <c r="DV14" s="79">
        <f t="shared" si="78"/>
        <v>2384.2711398</v>
      </c>
      <c r="DW14" s="77">
        <f t="shared" si="79"/>
        <v>142.529838</v>
      </c>
      <c r="DX14" s="79"/>
      <c r="DY14" s="78"/>
      <c r="DZ14" s="78">
        <f t="shared" si="80"/>
        <v>23.33131</v>
      </c>
      <c r="EA14" s="78">
        <f t="shared" si="81"/>
        <v>23.33131</v>
      </c>
      <c r="EB14" s="79">
        <f t="shared" si="82"/>
        <v>21.3091987</v>
      </c>
      <c r="EC14" s="77">
        <f t="shared" si="83"/>
        <v>1.273847</v>
      </c>
      <c r="ED14" s="79"/>
      <c r="EE14" s="78"/>
      <c r="EF14" s="78">
        <f t="shared" si="84"/>
        <v>30.70608</v>
      </c>
      <c r="EG14" s="78">
        <f t="shared" si="85"/>
        <v>30.70608</v>
      </c>
      <c r="EH14" s="79">
        <f t="shared" si="86"/>
        <v>28.0448016</v>
      </c>
      <c r="EI14" s="77">
        <f t="shared" si="87"/>
        <v>1.676496</v>
      </c>
      <c r="EJ14" s="79"/>
      <c r="EK14" s="78"/>
      <c r="EL14" s="78">
        <f t="shared" si="88"/>
        <v>1547.21709</v>
      </c>
      <c r="EM14" s="78">
        <f t="shared" si="89"/>
        <v>1547.21709</v>
      </c>
      <c r="EN14" s="79">
        <f t="shared" si="90"/>
        <v>1413.1206693000001</v>
      </c>
      <c r="EO14" s="77">
        <f t="shared" si="91"/>
        <v>84.475233</v>
      </c>
      <c r="EP14" s="79"/>
      <c r="EQ14" s="78"/>
      <c r="ER14" s="78">
        <f t="shared" si="92"/>
        <v>29.450800000000005</v>
      </c>
      <c r="ES14" s="78">
        <f t="shared" si="93"/>
        <v>29.450800000000005</v>
      </c>
      <c r="ET14" s="79">
        <f t="shared" si="94"/>
        <v>26.898315999999998</v>
      </c>
      <c r="EU14" s="77">
        <f t="shared" si="95"/>
        <v>1.60796</v>
      </c>
      <c r="EV14" s="79"/>
      <c r="EW14" s="78"/>
      <c r="EX14" s="78">
        <f t="shared" si="96"/>
        <v>440.0601300000001</v>
      </c>
      <c r="EY14" s="78">
        <f t="shared" si="97"/>
        <v>440.0601300000001</v>
      </c>
      <c r="EZ14" s="79">
        <f t="shared" si="98"/>
        <v>401.9203701</v>
      </c>
      <c r="FA14" s="77">
        <f t="shared" si="99"/>
        <v>24.026481</v>
      </c>
      <c r="FB14" s="79"/>
      <c r="FC14" s="78"/>
      <c r="FD14" s="78">
        <f t="shared" si="100"/>
        <v>305.69689</v>
      </c>
      <c r="FE14" s="78">
        <f t="shared" si="101"/>
        <v>305.69689</v>
      </c>
      <c r="FF14" s="79">
        <f t="shared" si="102"/>
        <v>279.2023153</v>
      </c>
      <c r="FG14" s="77">
        <f t="shared" si="103"/>
        <v>16.690493</v>
      </c>
      <c r="FH14" s="79"/>
      <c r="FI14" s="78"/>
      <c r="FJ14" s="78">
        <f t="shared" si="104"/>
        <v>119.33609</v>
      </c>
      <c r="FK14" s="78">
        <f t="shared" si="105"/>
        <v>119.33609</v>
      </c>
      <c r="FL14" s="79">
        <f t="shared" si="106"/>
        <v>108.99329929999999</v>
      </c>
      <c r="FM14" s="77">
        <f t="shared" si="107"/>
        <v>6.515533</v>
      </c>
      <c r="FN14" s="79"/>
      <c r="FO14" s="78"/>
      <c r="FP14" s="78">
        <f t="shared" si="108"/>
        <v>1341.10977</v>
      </c>
      <c r="FQ14" s="78">
        <f t="shared" si="109"/>
        <v>1341.10977</v>
      </c>
      <c r="FR14" s="79">
        <f t="shared" si="110"/>
        <v>1224.8765529</v>
      </c>
      <c r="FS14" s="77">
        <f t="shared" si="111"/>
        <v>73.222149</v>
      </c>
      <c r="FT14" s="79"/>
      <c r="FU14" s="78"/>
      <c r="FV14" s="78">
        <f t="shared" si="112"/>
        <v>3022.59354</v>
      </c>
      <c r="FW14" s="78">
        <f t="shared" si="113"/>
        <v>3022.59354</v>
      </c>
      <c r="FX14" s="79">
        <f t="shared" si="114"/>
        <v>2760.6270858000003</v>
      </c>
      <c r="FY14" s="77">
        <f t="shared" si="115"/>
        <v>165.028098</v>
      </c>
      <c r="FZ14" s="79"/>
      <c r="GA14" s="78"/>
      <c r="GB14" s="78">
        <f t="shared" si="116"/>
        <v>385.72099000000003</v>
      </c>
      <c r="GC14" s="78">
        <f t="shared" si="117"/>
        <v>385.72099000000003</v>
      </c>
      <c r="GD14" s="79">
        <f t="shared" si="118"/>
        <v>352.2907723</v>
      </c>
      <c r="GE14" s="77">
        <f t="shared" si="119"/>
        <v>21.059663</v>
      </c>
      <c r="GF14" s="79"/>
      <c r="GG14" s="78"/>
      <c r="GH14" s="78">
        <f t="shared" si="120"/>
        <v>612.52836</v>
      </c>
      <c r="GI14" s="78">
        <f t="shared" si="121"/>
        <v>612.52836</v>
      </c>
      <c r="GJ14" s="79">
        <f t="shared" si="122"/>
        <v>559.4408772</v>
      </c>
      <c r="GK14" s="77">
        <f t="shared" si="123"/>
        <v>33.442932</v>
      </c>
      <c r="GL14" s="79"/>
      <c r="GM14" s="78"/>
      <c r="GN14" s="78">
        <f t="shared" si="124"/>
        <v>2838.7312300000003</v>
      </c>
      <c r="GO14" s="78">
        <f t="shared" si="125"/>
        <v>2838.7312300000003</v>
      </c>
      <c r="GP14" s="79">
        <f t="shared" si="126"/>
        <v>2592.7000171</v>
      </c>
      <c r="GQ14" s="77">
        <f t="shared" si="127"/>
        <v>154.989551</v>
      </c>
      <c r="GR14" s="79"/>
      <c r="GS14" s="78"/>
      <c r="GT14" s="78">
        <f t="shared" si="128"/>
        <v>150.65774</v>
      </c>
      <c r="GU14" s="78">
        <f t="shared" si="129"/>
        <v>150.65774</v>
      </c>
      <c r="GV14" s="79">
        <f t="shared" si="130"/>
        <v>137.60031980000002</v>
      </c>
      <c r="GW14" s="77">
        <f t="shared" si="131"/>
        <v>8.225638</v>
      </c>
      <c r="GX14" s="79"/>
      <c r="GY14" s="78"/>
      <c r="GZ14" s="78">
        <f t="shared" si="132"/>
        <v>863.7774800000001</v>
      </c>
      <c r="HA14" s="78">
        <f t="shared" si="133"/>
        <v>863.7774800000001</v>
      </c>
      <c r="HB14" s="79">
        <f t="shared" si="134"/>
        <v>788.9143796000001</v>
      </c>
      <c r="HC14" s="77">
        <f t="shared" si="135"/>
        <v>47.160676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44287</v>
      </c>
      <c r="C15" s="42">
        <v>6035000</v>
      </c>
      <c r="D15" s="42">
        <v>120700</v>
      </c>
      <c r="E15" s="77">
        <f t="shared" si="0"/>
        <v>6155700</v>
      </c>
      <c r="F15" s="77">
        <v>110238</v>
      </c>
      <c r="G15" s="77">
        <v>6587</v>
      </c>
      <c r="H15" s="79"/>
      <c r="I15" s="79">
        <f>O15+U15+AA15+AG15+AM15+AS15+AY15+BE15+BK15+BQ15+BW15+CC15+CI15+CO15+CU15+DA15+DG15+DM15+DS15+DY15+EE15+EK15+EQ15+EW15+FC15+FI15+FO15+FU15+GA15+GG15+GM15+GS15+GY15</f>
        <v>3275954.3065000004</v>
      </c>
      <c r="J15" s="79">
        <f t="shared" si="1"/>
        <v>65519.086129999996</v>
      </c>
      <c r="K15" s="79">
        <f t="shared" si="2"/>
        <v>3341473.3926300006</v>
      </c>
      <c r="L15" s="79">
        <f t="shared" si="3"/>
        <v>59840.04156420001</v>
      </c>
      <c r="M15" s="79">
        <f t="shared" si="3"/>
        <v>3575.5942032999997</v>
      </c>
      <c r="N15" s="79"/>
      <c r="O15" s="78">
        <f t="shared" si="136"/>
        <v>399186.28199999995</v>
      </c>
      <c r="P15" s="78">
        <f t="shared" si="4"/>
        <v>7983.725640000001</v>
      </c>
      <c r="Q15" s="79">
        <f t="shared" si="5"/>
        <v>407170.00763999997</v>
      </c>
      <c r="R15" s="79">
        <f t="shared" si="6"/>
        <v>7291.7145576</v>
      </c>
      <c r="S15" s="77">
        <f t="shared" si="7"/>
        <v>435.6984324</v>
      </c>
      <c r="T15" s="79"/>
      <c r="U15" s="78">
        <f t="shared" si="137"/>
        <v>6817.1359999999995</v>
      </c>
      <c r="V15" s="78">
        <f t="shared" si="8"/>
        <v>136.34272</v>
      </c>
      <c r="W15" s="78">
        <f t="shared" si="9"/>
        <v>6953.478719999999</v>
      </c>
      <c r="X15" s="79">
        <f t="shared" si="10"/>
        <v>124.5248448</v>
      </c>
      <c r="Y15" s="77">
        <f t="shared" si="11"/>
        <v>7.440675199999999</v>
      </c>
      <c r="Z15" s="79"/>
      <c r="AA15" s="79">
        <f t="shared" si="138"/>
        <v>30774.879</v>
      </c>
      <c r="AB15" s="78">
        <f t="shared" si="12"/>
        <v>615.49758</v>
      </c>
      <c r="AC15" s="78">
        <f t="shared" si="13"/>
        <v>31390.37658</v>
      </c>
      <c r="AD15" s="79">
        <f t="shared" si="14"/>
        <v>562.1476571999999</v>
      </c>
      <c r="AE15" s="77">
        <f t="shared" si="15"/>
        <v>33.5897478</v>
      </c>
      <c r="AF15" s="79"/>
      <c r="AG15" s="78">
        <f t="shared" si="139"/>
        <v>535181.9894999999</v>
      </c>
      <c r="AH15" s="78">
        <f t="shared" si="16"/>
        <v>10703.639790000001</v>
      </c>
      <c r="AI15" s="78">
        <f t="shared" si="17"/>
        <v>545885.62929</v>
      </c>
      <c r="AJ15" s="79">
        <f t="shared" si="18"/>
        <v>9775.8727686</v>
      </c>
      <c r="AK15" s="77">
        <f t="shared" si="19"/>
        <v>584.1331839</v>
      </c>
      <c r="AL15" s="79"/>
      <c r="AM15" s="78">
        <f t="shared" si="140"/>
        <v>6482.797</v>
      </c>
      <c r="AN15" s="78">
        <f t="shared" si="20"/>
        <v>129.65594000000002</v>
      </c>
      <c r="AO15" s="78">
        <f t="shared" si="21"/>
        <v>6612.452939999999</v>
      </c>
      <c r="AP15" s="79">
        <f t="shared" si="22"/>
        <v>118.4176596</v>
      </c>
      <c r="AQ15" s="77">
        <f t="shared" si="23"/>
        <v>7.0757554</v>
      </c>
      <c r="AR15" s="78"/>
      <c r="AS15" s="78">
        <f t="shared" si="141"/>
        <v>5467.1065</v>
      </c>
      <c r="AT15" s="78">
        <f t="shared" si="24"/>
        <v>109.34213</v>
      </c>
      <c r="AU15" s="78">
        <f t="shared" si="25"/>
        <v>5576.44863</v>
      </c>
      <c r="AV15" s="79">
        <f t="shared" si="26"/>
        <v>99.8646042</v>
      </c>
      <c r="AW15" s="77">
        <f t="shared" si="27"/>
        <v>5.967163299999999</v>
      </c>
      <c r="AX15" s="79"/>
      <c r="AY15" s="78">
        <f t="shared" si="142"/>
        <v>224301.638</v>
      </c>
      <c r="AZ15" s="78">
        <f t="shared" si="28"/>
        <v>4486.03276</v>
      </c>
      <c r="BA15" s="78">
        <f t="shared" si="29"/>
        <v>228787.67076</v>
      </c>
      <c r="BB15" s="79">
        <f t="shared" si="30"/>
        <v>4097.1936984</v>
      </c>
      <c r="BC15" s="77">
        <f t="shared" si="31"/>
        <v>244.8177116</v>
      </c>
      <c r="BD15" s="79"/>
      <c r="BE15" s="78">
        <f t="shared" si="143"/>
        <v>460242.98049999995</v>
      </c>
      <c r="BF15" s="78">
        <f t="shared" si="32"/>
        <v>9204.85961</v>
      </c>
      <c r="BG15" s="78">
        <f t="shared" si="33"/>
        <v>469447.84010999993</v>
      </c>
      <c r="BH15" s="79">
        <f t="shared" si="34"/>
        <v>8407.0034274</v>
      </c>
      <c r="BI15" s="77">
        <f t="shared" si="35"/>
        <v>502.3397701</v>
      </c>
      <c r="BJ15" s="79"/>
      <c r="BK15" s="78">
        <f t="shared" si="144"/>
        <v>5313.213999999999</v>
      </c>
      <c r="BL15" s="78">
        <f t="shared" si="36"/>
        <v>106.26428</v>
      </c>
      <c r="BM15" s="78">
        <f t="shared" si="37"/>
        <v>5419.478279999999</v>
      </c>
      <c r="BN15" s="79">
        <f t="shared" si="38"/>
        <v>97.0535352</v>
      </c>
      <c r="BO15" s="77">
        <f t="shared" si="39"/>
        <v>5.7991948</v>
      </c>
      <c r="BP15" s="79"/>
      <c r="BQ15" s="78">
        <f t="shared" si="145"/>
        <v>3569.0989999999997</v>
      </c>
      <c r="BR15" s="78">
        <f t="shared" si="40"/>
        <v>71.38198</v>
      </c>
      <c r="BS15" s="78">
        <f t="shared" si="41"/>
        <v>3640.48098</v>
      </c>
      <c r="BT15" s="79">
        <f t="shared" si="42"/>
        <v>65.1947532</v>
      </c>
      <c r="BU15" s="77">
        <f t="shared" si="43"/>
        <v>3.8955518</v>
      </c>
      <c r="BV15" s="79"/>
      <c r="BW15" s="78">
        <f t="shared" si="146"/>
        <v>-531.6835</v>
      </c>
      <c r="BX15" s="78">
        <f t="shared" si="44"/>
        <v>-10.63367</v>
      </c>
      <c r="BY15" s="78">
        <f t="shared" si="45"/>
        <v>-542.31717</v>
      </c>
      <c r="BZ15" s="79">
        <f t="shared" si="46"/>
        <v>-9.7119678</v>
      </c>
      <c r="CA15" s="77">
        <f t="shared" si="47"/>
        <v>-0.5803147</v>
      </c>
      <c r="CB15" s="78"/>
      <c r="CC15" s="78">
        <f t="shared" si="147"/>
        <v>-346.409</v>
      </c>
      <c r="CD15" s="78">
        <f t="shared" si="48"/>
        <v>-6.92818</v>
      </c>
      <c r="CE15" s="78">
        <f t="shared" si="49"/>
        <v>-353.33718</v>
      </c>
      <c r="CF15" s="79">
        <f t="shared" si="50"/>
        <v>-6.3276612</v>
      </c>
      <c r="CG15" s="77">
        <f t="shared" si="51"/>
        <v>-0.3780938</v>
      </c>
      <c r="CH15" s="79"/>
      <c r="CI15" s="78">
        <f t="shared" si="148"/>
        <v>12882.311000000002</v>
      </c>
      <c r="CJ15" s="78">
        <f t="shared" si="52"/>
        <v>257.64622</v>
      </c>
      <c r="CK15" s="78">
        <f t="shared" si="53"/>
        <v>13139.957220000002</v>
      </c>
      <c r="CL15" s="79">
        <f t="shared" si="54"/>
        <v>235.3140348</v>
      </c>
      <c r="CM15" s="77">
        <f t="shared" si="55"/>
        <v>14.0606102</v>
      </c>
      <c r="CN15" s="79"/>
      <c r="CO15" s="78">
        <f t="shared" si="149"/>
        <v>79221.445</v>
      </c>
      <c r="CP15" s="78">
        <f t="shared" si="56"/>
        <v>1584.4288999999999</v>
      </c>
      <c r="CQ15" s="78">
        <f t="shared" si="57"/>
        <v>80805.8739</v>
      </c>
      <c r="CR15" s="79">
        <f t="shared" si="58"/>
        <v>1447.094226</v>
      </c>
      <c r="CS15" s="77">
        <f t="shared" si="59"/>
        <v>86.467549</v>
      </c>
      <c r="CT15" s="79"/>
      <c r="CU15" s="78">
        <f t="shared" si="150"/>
        <v>532197.0785000001</v>
      </c>
      <c r="CV15" s="78">
        <f t="shared" si="60"/>
        <v>10643.941569999999</v>
      </c>
      <c r="CW15" s="78">
        <f t="shared" si="61"/>
        <v>542841.0200700001</v>
      </c>
      <c r="CX15" s="79">
        <f t="shared" si="62"/>
        <v>9721.3490538</v>
      </c>
      <c r="CY15" s="77">
        <f t="shared" si="63"/>
        <v>580.8752537</v>
      </c>
      <c r="CZ15" s="79"/>
      <c r="DA15" s="78">
        <f t="shared" si="151"/>
        <v>76784.51199999999</v>
      </c>
      <c r="DB15" s="78">
        <f t="shared" si="64"/>
        <v>1535.6902399999997</v>
      </c>
      <c r="DC15" s="78">
        <f t="shared" si="65"/>
        <v>78320.20223999998</v>
      </c>
      <c r="DD15" s="79">
        <f t="shared" si="66"/>
        <v>1402.5801216</v>
      </c>
      <c r="DE15" s="77">
        <f t="shared" si="67"/>
        <v>83.8077184</v>
      </c>
      <c r="DF15" s="79"/>
      <c r="DG15" s="78">
        <f t="shared" si="152"/>
        <v>156893.10199999998</v>
      </c>
      <c r="DH15" s="78">
        <f t="shared" si="68"/>
        <v>3137.8620400000004</v>
      </c>
      <c r="DI15" s="78">
        <f t="shared" si="69"/>
        <v>160030.96404</v>
      </c>
      <c r="DJ15" s="79">
        <f t="shared" si="70"/>
        <v>2865.8793336000003</v>
      </c>
      <c r="DK15" s="77">
        <f t="shared" si="71"/>
        <v>171.24355640000002</v>
      </c>
      <c r="DL15" s="79"/>
      <c r="DM15" s="78">
        <f t="shared" si="153"/>
        <v>25444.767000000003</v>
      </c>
      <c r="DN15" s="78">
        <f t="shared" si="72"/>
        <v>508.89534</v>
      </c>
      <c r="DO15" s="78">
        <f t="shared" si="73"/>
        <v>25953.662340000003</v>
      </c>
      <c r="DP15" s="79">
        <f t="shared" si="74"/>
        <v>464.7854556</v>
      </c>
      <c r="DQ15" s="77">
        <f t="shared" si="75"/>
        <v>27.772109399999998</v>
      </c>
      <c r="DR15" s="79"/>
      <c r="DS15" s="78">
        <f t="shared" si="154"/>
        <v>130526.18699999999</v>
      </c>
      <c r="DT15" s="78">
        <f t="shared" si="76"/>
        <v>2610.5237399999996</v>
      </c>
      <c r="DU15" s="78">
        <f t="shared" si="77"/>
        <v>133136.71073999998</v>
      </c>
      <c r="DV15" s="79">
        <f t="shared" si="78"/>
        <v>2384.2495116</v>
      </c>
      <c r="DW15" s="77">
        <f t="shared" si="79"/>
        <v>142.4649534</v>
      </c>
      <c r="DX15" s="79"/>
      <c r="DY15" s="78">
        <f t="shared" si="155"/>
        <v>1166.5655</v>
      </c>
      <c r="DZ15" s="78">
        <f t="shared" si="80"/>
        <v>23.33131</v>
      </c>
      <c r="EA15" s="78">
        <f t="shared" si="81"/>
        <v>1189.89681</v>
      </c>
      <c r="EB15" s="79">
        <f t="shared" si="82"/>
        <v>21.3090054</v>
      </c>
      <c r="EC15" s="77">
        <f t="shared" si="83"/>
        <v>1.2732671</v>
      </c>
      <c r="ED15" s="79"/>
      <c r="EE15" s="78">
        <f t="shared" si="156"/>
        <v>1535.3039999999999</v>
      </c>
      <c r="EF15" s="78">
        <f t="shared" si="84"/>
        <v>30.70608</v>
      </c>
      <c r="EG15" s="78">
        <f t="shared" si="85"/>
        <v>1566.0100799999998</v>
      </c>
      <c r="EH15" s="79">
        <f t="shared" si="86"/>
        <v>28.0445472</v>
      </c>
      <c r="EI15" s="77">
        <f t="shared" si="87"/>
        <v>1.6757328</v>
      </c>
      <c r="EJ15" s="79"/>
      <c r="EK15" s="78">
        <f t="shared" si="157"/>
        <v>77360.8545</v>
      </c>
      <c r="EL15" s="78">
        <f t="shared" si="88"/>
        <v>1547.21709</v>
      </c>
      <c r="EM15" s="78">
        <f t="shared" si="89"/>
        <v>78908.07159</v>
      </c>
      <c r="EN15" s="79">
        <f t="shared" si="90"/>
        <v>1413.1078506000001</v>
      </c>
      <c r="EO15" s="77">
        <f t="shared" si="91"/>
        <v>84.4367769</v>
      </c>
      <c r="EP15" s="79"/>
      <c r="EQ15" s="78">
        <f t="shared" si="158"/>
        <v>1472.54</v>
      </c>
      <c r="ER15" s="78">
        <f t="shared" si="92"/>
        <v>29.450800000000005</v>
      </c>
      <c r="ES15" s="78">
        <f t="shared" si="93"/>
        <v>1501.9908</v>
      </c>
      <c r="ET15" s="79">
        <f t="shared" si="94"/>
        <v>26.898072</v>
      </c>
      <c r="EU15" s="77">
        <f t="shared" si="95"/>
        <v>1.6072279999999999</v>
      </c>
      <c r="EV15" s="79"/>
      <c r="EW15" s="78">
        <f t="shared" si="159"/>
        <v>22003.006500000003</v>
      </c>
      <c r="EX15" s="78">
        <f t="shared" si="96"/>
        <v>440.0601300000001</v>
      </c>
      <c r="EY15" s="78">
        <f t="shared" si="97"/>
        <v>22443.066630000005</v>
      </c>
      <c r="EZ15" s="79">
        <f t="shared" si="98"/>
        <v>401.91672420000003</v>
      </c>
      <c r="FA15" s="77">
        <f t="shared" si="99"/>
        <v>24.0155433</v>
      </c>
      <c r="FB15" s="79"/>
      <c r="FC15" s="78">
        <f t="shared" si="160"/>
        <v>15284.8445</v>
      </c>
      <c r="FD15" s="78">
        <f t="shared" si="100"/>
        <v>305.69689</v>
      </c>
      <c r="FE15" s="78">
        <f t="shared" si="101"/>
        <v>15590.541389999999</v>
      </c>
      <c r="FF15" s="79">
        <f t="shared" si="102"/>
        <v>279.1997826</v>
      </c>
      <c r="FG15" s="77">
        <f t="shared" si="103"/>
        <v>16.6828949</v>
      </c>
      <c r="FH15" s="79"/>
      <c r="FI15" s="78">
        <f t="shared" si="161"/>
        <v>5966.804499999999</v>
      </c>
      <c r="FJ15" s="78">
        <f t="shared" si="104"/>
        <v>119.33609</v>
      </c>
      <c r="FK15" s="78">
        <f t="shared" si="105"/>
        <v>6086.140589999999</v>
      </c>
      <c r="FL15" s="79">
        <f t="shared" si="106"/>
        <v>108.9923106</v>
      </c>
      <c r="FM15" s="77">
        <f t="shared" si="107"/>
        <v>6.5125668999999995</v>
      </c>
      <c r="FN15" s="79"/>
      <c r="FO15" s="78">
        <f t="shared" si="162"/>
        <v>67055.4885</v>
      </c>
      <c r="FP15" s="78">
        <f t="shared" si="108"/>
        <v>1341.10977</v>
      </c>
      <c r="FQ15" s="78">
        <f t="shared" si="109"/>
        <v>68396.59827</v>
      </c>
      <c r="FR15" s="79">
        <f t="shared" si="110"/>
        <v>1224.8654418</v>
      </c>
      <c r="FS15" s="77">
        <f t="shared" si="111"/>
        <v>73.1888157</v>
      </c>
      <c r="FT15" s="79"/>
      <c r="FU15" s="78">
        <f t="shared" si="163"/>
        <v>151129.67700000003</v>
      </c>
      <c r="FV15" s="78">
        <f t="shared" si="112"/>
        <v>3022.59354</v>
      </c>
      <c r="FW15" s="78">
        <f t="shared" si="113"/>
        <v>154152.27054000003</v>
      </c>
      <c r="FX15" s="79">
        <f t="shared" si="114"/>
        <v>2760.6020436</v>
      </c>
      <c r="FY15" s="77">
        <f t="shared" si="115"/>
        <v>164.9529714</v>
      </c>
      <c r="FZ15" s="79"/>
      <c r="GA15" s="78">
        <f t="shared" si="164"/>
        <v>19286.0495</v>
      </c>
      <c r="GB15" s="78">
        <f t="shared" si="116"/>
        <v>385.72099000000003</v>
      </c>
      <c r="GC15" s="78">
        <f t="shared" si="117"/>
        <v>19671.770490000003</v>
      </c>
      <c r="GD15" s="79">
        <f t="shared" si="118"/>
        <v>352.2875766</v>
      </c>
      <c r="GE15" s="77">
        <f t="shared" si="119"/>
        <v>21.0500759</v>
      </c>
      <c r="GF15" s="79"/>
      <c r="GG15" s="78">
        <f t="shared" si="165"/>
        <v>30626.418</v>
      </c>
      <c r="GH15" s="78">
        <f t="shared" si="120"/>
        <v>612.52836</v>
      </c>
      <c r="GI15" s="78">
        <f t="shared" si="121"/>
        <v>31238.94636</v>
      </c>
      <c r="GJ15" s="79">
        <f t="shared" si="122"/>
        <v>559.4358024</v>
      </c>
      <c r="GK15" s="77">
        <f t="shared" si="123"/>
        <v>33.4277076</v>
      </c>
      <c r="GL15" s="79"/>
      <c r="GM15" s="78">
        <f t="shared" si="166"/>
        <v>141936.5615</v>
      </c>
      <c r="GN15" s="78">
        <f t="shared" si="124"/>
        <v>2838.7312300000003</v>
      </c>
      <c r="GO15" s="78">
        <f t="shared" si="125"/>
        <v>144775.29273000002</v>
      </c>
      <c r="GP15" s="79">
        <f t="shared" si="126"/>
        <v>2592.6764982</v>
      </c>
      <c r="GQ15" s="77">
        <f t="shared" si="127"/>
        <v>154.91899429999998</v>
      </c>
      <c r="GR15" s="79"/>
      <c r="GS15" s="78">
        <f t="shared" si="167"/>
        <v>7532.887</v>
      </c>
      <c r="GT15" s="78">
        <f t="shared" si="128"/>
        <v>150.65774</v>
      </c>
      <c r="GU15" s="78">
        <f t="shared" si="129"/>
        <v>7683.544739999999</v>
      </c>
      <c r="GV15" s="79">
        <f t="shared" si="130"/>
        <v>137.5990716</v>
      </c>
      <c r="GW15" s="77">
        <f t="shared" si="131"/>
        <v>8.2218934</v>
      </c>
      <c r="GX15" s="79"/>
      <c r="GY15" s="78">
        <f t="shared" si="168"/>
        <v>43188.874</v>
      </c>
      <c r="GZ15" s="78">
        <f t="shared" si="132"/>
        <v>863.7774800000001</v>
      </c>
      <c r="HA15" s="78">
        <f t="shared" si="133"/>
        <v>44052.65148</v>
      </c>
      <c r="HB15" s="79">
        <f t="shared" si="134"/>
        <v>788.9072232</v>
      </c>
      <c r="HC15" s="77">
        <f t="shared" si="135"/>
        <v>47.139206800000004</v>
      </c>
      <c r="HD15" s="79"/>
      <c r="HE15" s="79"/>
      <c r="HF15" s="79"/>
      <c r="HG15" s="79"/>
      <c r="HH15" s="79"/>
      <c r="HI15" s="79"/>
    </row>
    <row r="16" spans="1:217" s="52" customFormat="1" ht="12.75" hidden="1">
      <c r="A16" s="51">
        <v>44470</v>
      </c>
      <c r="C16" s="80"/>
      <c r="D16" s="80"/>
      <c r="E16" s="77">
        <f t="shared" si="0"/>
        <v>0</v>
      </c>
      <c r="F16" s="77"/>
      <c r="G16" s="77"/>
      <c r="H16" s="79"/>
      <c r="I16" s="79"/>
      <c r="J16" s="79">
        <f t="shared" si="1"/>
        <v>0</v>
      </c>
      <c r="K16" s="79">
        <f t="shared" si="2"/>
        <v>0</v>
      </c>
      <c r="L16" s="79">
        <f t="shared" si="3"/>
        <v>0</v>
      </c>
      <c r="M16" s="79">
        <f t="shared" si="3"/>
        <v>0</v>
      </c>
      <c r="N16" s="79"/>
      <c r="O16" s="78"/>
      <c r="P16" s="78">
        <f t="shared" si="4"/>
        <v>0</v>
      </c>
      <c r="Q16" s="79">
        <f t="shared" si="5"/>
        <v>0</v>
      </c>
      <c r="R16" s="79">
        <f t="shared" si="6"/>
        <v>0</v>
      </c>
      <c r="S16" s="77">
        <f t="shared" si="7"/>
        <v>0</v>
      </c>
      <c r="T16" s="79"/>
      <c r="U16" s="78"/>
      <c r="V16" s="78">
        <f t="shared" si="8"/>
        <v>0</v>
      </c>
      <c r="W16" s="78">
        <f t="shared" si="9"/>
        <v>0</v>
      </c>
      <c r="X16" s="79">
        <f t="shared" si="10"/>
        <v>0</v>
      </c>
      <c r="Y16" s="77">
        <f t="shared" si="11"/>
        <v>0</v>
      </c>
      <c r="Z16" s="79"/>
      <c r="AA16" s="79"/>
      <c r="AB16" s="78">
        <f t="shared" si="12"/>
        <v>0</v>
      </c>
      <c r="AC16" s="78">
        <f t="shared" si="13"/>
        <v>0</v>
      </c>
      <c r="AD16" s="79">
        <f t="shared" si="14"/>
        <v>0</v>
      </c>
      <c r="AE16" s="77">
        <f t="shared" si="15"/>
        <v>0</v>
      </c>
      <c r="AF16" s="79"/>
      <c r="AG16" s="78"/>
      <c r="AH16" s="78">
        <f t="shared" si="16"/>
        <v>0</v>
      </c>
      <c r="AI16" s="78">
        <f t="shared" si="17"/>
        <v>0</v>
      </c>
      <c r="AJ16" s="79">
        <f t="shared" si="18"/>
        <v>0</v>
      </c>
      <c r="AK16" s="77">
        <f t="shared" si="19"/>
        <v>0</v>
      </c>
      <c r="AL16" s="79"/>
      <c r="AM16" s="78"/>
      <c r="AN16" s="78">
        <f t="shared" si="20"/>
        <v>0</v>
      </c>
      <c r="AO16" s="78">
        <f t="shared" si="21"/>
        <v>0</v>
      </c>
      <c r="AP16" s="79">
        <f t="shared" si="22"/>
        <v>0</v>
      </c>
      <c r="AQ16" s="77">
        <f t="shared" si="23"/>
        <v>0</v>
      </c>
      <c r="AR16" s="78"/>
      <c r="AS16" s="78"/>
      <c r="AT16" s="78">
        <f t="shared" si="24"/>
        <v>0</v>
      </c>
      <c r="AU16" s="78">
        <f t="shared" si="25"/>
        <v>0</v>
      </c>
      <c r="AV16" s="79">
        <f t="shared" si="26"/>
        <v>0</v>
      </c>
      <c r="AW16" s="77">
        <f t="shared" si="27"/>
        <v>0</v>
      </c>
      <c r="AX16" s="79"/>
      <c r="AY16" s="78"/>
      <c r="AZ16" s="78">
        <f t="shared" si="28"/>
        <v>0</v>
      </c>
      <c r="BA16" s="78">
        <f t="shared" si="29"/>
        <v>0</v>
      </c>
      <c r="BB16" s="79">
        <f t="shared" si="30"/>
        <v>0</v>
      </c>
      <c r="BC16" s="77">
        <f t="shared" si="31"/>
        <v>0</v>
      </c>
      <c r="BD16" s="79"/>
      <c r="BE16" s="78"/>
      <c r="BF16" s="78">
        <f t="shared" si="32"/>
        <v>0</v>
      </c>
      <c r="BG16" s="78">
        <f t="shared" si="33"/>
        <v>0</v>
      </c>
      <c r="BH16" s="79">
        <f t="shared" si="34"/>
        <v>0</v>
      </c>
      <c r="BI16" s="77">
        <f t="shared" si="35"/>
        <v>0</v>
      </c>
      <c r="BJ16" s="79"/>
      <c r="BK16" s="78"/>
      <c r="BL16" s="78">
        <f t="shared" si="36"/>
        <v>0</v>
      </c>
      <c r="BM16" s="78">
        <f t="shared" si="37"/>
        <v>0</v>
      </c>
      <c r="BN16" s="79">
        <f t="shared" si="38"/>
        <v>0</v>
      </c>
      <c r="BO16" s="77">
        <f t="shared" si="39"/>
        <v>0</v>
      </c>
      <c r="BP16" s="79"/>
      <c r="BQ16" s="78"/>
      <c r="BR16" s="78">
        <f t="shared" si="40"/>
        <v>0</v>
      </c>
      <c r="BS16" s="78">
        <f t="shared" si="41"/>
        <v>0</v>
      </c>
      <c r="BT16" s="79">
        <f t="shared" si="42"/>
        <v>0</v>
      </c>
      <c r="BU16" s="77">
        <f t="shared" si="43"/>
        <v>0</v>
      </c>
      <c r="BV16" s="79"/>
      <c r="BW16" s="78"/>
      <c r="BX16" s="78">
        <f t="shared" si="44"/>
        <v>0</v>
      </c>
      <c r="BY16" s="78">
        <f t="shared" si="45"/>
        <v>0</v>
      </c>
      <c r="BZ16" s="79">
        <f t="shared" si="46"/>
        <v>0</v>
      </c>
      <c r="CA16" s="77">
        <f t="shared" si="47"/>
        <v>0</v>
      </c>
      <c r="CB16" s="78"/>
      <c r="CC16" s="78"/>
      <c r="CD16" s="78">
        <f t="shared" si="48"/>
        <v>0</v>
      </c>
      <c r="CE16" s="78">
        <f t="shared" si="49"/>
        <v>0</v>
      </c>
      <c r="CF16" s="79">
        <f t="shared" si="50"/>
        <v>0</v>
      </c>
      <c r="CG16" s="77">
        <f t="shared" si="51"/>
        <v>0</v>
      </c>
      <c r="CH16" s="79"/>
      <c r="CI16" s="78"/>
      <c r="CJ16" s="78">
        <f t="shared" si="52"/>
        <v>0</v>
      </c>
      <c r="CK16" s="78">
        <f t="shared" si="53"/>
        <v>0</v>
      </c>
      <c r="CL16" s="79">
        <f t="shared" si="54"/>
        <v>0</v>
      </c>
      <c r="CM16" s="77">
        <f t="shared" si="55"/>
        <v>0</v>
      </c>
      <c r="CN16" s="79"/>
      <c r="CO16" s="78"/>
      <c r="CP16" s="78">
        <f t="shared" si="56"/>
        <v>0</v>
      </c>
      <c r="CQ16" s="78">
        <f t="shared" si="57"/>
        <v>0</v>
      </c>
      <c r="CR16" s="79">
        <f t="shared" si="58"/>
        <v>0</v>
      </c>
      <c r="CS16" s="77">
        <f t="shared" si="59"/>
        <v>0</v>
      </c>
      <c r="CT16" s="79"/>
      <c r="CU16" s="78"/>
      <c r="CV16" s="78">
        <f t="shared" si="60"/>
        <v>0</v>
      </c>
      <c r="CW16" s="78">
        <f t="shared" si="61"/>
        <v>0</v>
      </c>
      <c r="CX16" s="79">
        <f t="shared" si="62"/>
        <v>0</v>
      </c>
      <c r="CY16" s="77">
        <f t="shared" si="63"/>
        <v>0</v>
      </c>
      <c r="CZ16" s="79"/>
      <c r="DA16" s="78"/>
      <c r="DB16" s="78">
        <f t="shared" si="64"/>
        <v>0</v>
      </c>
      <c r="DC16" s="78">
        <f t="shared" si="65"/>
        <v>0</v>
      </c>
      <c r="DD16" s="79">
        <f t="shared" si="66"/>
        <v>0</v>
      </c>
      <c r="DE16" s="77">
        <f t="shared" si="67"/>
        <v>0</v>
      </c>
      <c r="DF16" s="79"/>
      <c r="DG16" s="78"/>
      <c r="DH16" s="78">
        <f t="shared" si="68"/>
        <v>0</v>
      </c>
      <c r="DI16" s="78">
        <f t="shared" si="69"/>
        <v>0</v>
      </c>
      <c r="DJ16" s="79">
        <f t="shared" si="70"/>
        <v>0</v>
      </c>
      <c r="DK16" s="77">
        <f t="shared" si="71"/>
        <v>0</v>
      </c>
      <c r="DL16" s="79"/>
      <c r="DM16" s="78"/>
      <c r="DN16" s="78">
        <f t="shared" si="72"/>
        <v>0</v>
      </c>
      <c r="DO16" s="78">
        <f t="shared" si="73"/>
        <v>0</v>
      </c>
      <c r="DP16" s="79">
        <f t="shared" si="74"/>
        <v>0</v>
      </c>
      <c r="DQ16" s="77">
        <f t="shared" si="75"/>
        <v>0</v>
      </c>
      <c r="DR16" s="79"/>
      <c r="DS16" s="78"/>
      <c r="DT16" s="78">
        <f t="shared" si="76"/>
        <v>0</v>
      </c>
      <c r="DU16" s="78">
        <f t="shared" si="77"/>
        <v>0</v>
      </c>
      <c r="DV16" s="79">
        <f t="shared" si="78"/>
        <v>0</v>
      </c>
      <c r="DW16" s="77">
        <f t="shared" si="79"/>
        <v>0</v>
      </c>
      <c r="DX16" s="79"/>
      <c r="DY16" s="78"/>
      <c r="DZ16" s="78">
        <f t="shared" si="80"/>
        <v>0</v>
      </c>
      <c r="EA16" s="78">
        <f t="shared" si="81"/>
        <v>0</v>
      </c>
      <c r="EB16" s="79">
        <f t="shared" si="82"/>
        <v>0</v>
      </c>
      <c r="EC16" s="77">
        <f t="shared" si="83"/>
        <v>0</v>
      </c>
      <c r="ED16" s="79"/>
      <c r="EE16" s="78"/>
      <c r="EF16" s="78">
        <f t="shared" si="84"/>
        <v>0</v>
      </c>
      <c r="EG16" s="78">
        <f t="shared" si="85"/>
        <v>0</v>
      </c>
      <c r="EH16" s="79">
        <f t="shared" si="86"/>
        <v>0</v>
      </c>
      <c r="EI16" s="77">
        <f t="shared" si="87"/>
        <v>0</v>
      </c>
      <c r="EJ16" s="79"/>
      <c r="EK16" s="78"/>
      <c r="EL16" s="78">
        <f t="shared" si="88"/>
        <v>0</v>
      </c>
      <c r="EM16" s="78">
        <f t="shared" si="89"/>
        <v>0</v>
      </c>
      <c r="EN16" s="79">
        <f t="shared" si="90"/>
        <v>0</v>
      </c>
      <c r="EO16" s="77">
        <f t="shared" si="91"/>
        <v>0</v>
      </c>
      <c r="EP16" s="79"/>
      <c r="EQ16" s="78"/>
      <c r="ER16" s="78">
        <f t="shared" si="92"/>
        <v>0</v>
      </c>
      <c r="ES16" s="78">
        <f t="shared" si="93"/>
        <v>0</v>
      </c>
      <c r="ET16" s="79">
        <f t="shared" si="94"/>
        <v>0</v>
      </c>
      <c r="EU16" s="77">
        <f t="shared" si="95"/>
        <v>0</v>
      </c>
      <c r="EV16" s="79"/>
      <c r="EW16" s="78"/>
      <c r="EX16" s="78">
        <f t="shared" si="96"/>
        <v>0</v>
      </c>
      <c r="EY16" s="78">
        <f t="shared" si="97"/>
        <v>0</v>
      </c>
      <c r="EZ16" s="79">
        <f t="shared" si="98"/>
        <v>0</v>
      </c>
      <c r="FA16" s="77">
        <f t="shared" si="99"/>
        <v>0</v>
      </c>
      <c r="FB16" s="79"/>
      <c r="FC16" s="78"/>
      <c r="FD16" s="78">
        <f t="shared" si="100"/>
        <v>0</v>
      </c>
      <c r="FE16" s="78">
        <f t="shared" si="101"/>
        <v>0</v>
      </c>
      <c r="FF16" s="79">
        <f t="shared" si="102"/>
        <v>0</v>
      </c>
      <c r="FG16" s="77">
        <f t="shared" si="103"/>
        <v>0</v>
      </c>
      <c r="FH16" s="79"/>
      <c r="FI16" s="78"/>
      <c r="FJ16" s="78">
        <f t="shared" si="104"/>
        <v>0</v>
      </c>
      <c r="FK16" s="78">
        <f t="shared" si="105"/>
        <v>0</v>
      </c>
      <c r="FL16" s="79">
        <f t="shared" si="106"/>
        <v>0</v>
      </c>
      <c r="FM16" s="77">
        <f t="shared" si="107"/>
        <v>0</v>
      </c>
      <c r="FN16" s="79"/>
      <c r="FO16" s="78"/>
      <c r="FP16" s="78">
        <f t="shared" si="108"/>
        <v>0</v>
      </c>
      <c r="FQ16" s="78">
        <f t="shared" si="109"/>
        <v>0</v>
      </c>
      <c r="FR16" s="79">
        <f t="shared" si="110"/>
        <v>0</v>
      </c>
      <c r="FS16" s="77">
        <f t="shared" si="111"/>
        <v>0</v>
      </c>
      <c r="FT16" s="79"/>
      <c r="FU16" s="78"/>
      <c r="FV16" s="78">
        <f t="shared" si="112"/>
        <v>0</v>
      </c>
      <c r="FW16" s="78">
        <f t="shared" si="113"/>
        <v>0</v>
      </c>
      <c r="FX16" s="79">
        <f t="shared" si="114"/>
        <v>0</v>
      </c>
      <c r="FY16" s="77">
        <f t="shared" si="115"/>
        <v>0</v>
      </c>
      <c r="FZ16" s="79"/>
      <c r="GA16" s="78"/>
      <c r="GB16" s="78">
        <f t="shared" si="116"/>
        <v>0</v>
      </c>
      <c r="GC16" s="78">
        <f t="shared" si="117"/>
        <v>0</v>
      </c>
      <c r="GD16" s="79">
        <f t="shared" si="118"/>
        <v>0</v>
      </c>
      <c r="GE16" s="77">
        <f t="shared" si="119"/>
        <v>0</v>
      </c>
      <c r="GF16" s="79"/>
      <c r="GG16" s="78"/>
      <c r="GH16" s="78">
        <f t="shared" si="120"/>
        <v>0</v>
      </c>
      <c r="GI16" s="78">
        <f t="shared" si="121"/>
        <v>0</v>
      </c>
      <c r="GJ16" s="79">
        <f t="shared" si="122"/>
        <v>0</v>
      </c>
      <c r="GK16" s="77">
        <f t="shared" si="123"/>
        <v>0</v>
      </c>
      <c r="GL16" s="79"/>
      <c r="GM16" s="78"/>
      <c r="GN16" s="78">
        <f t="shared" si="124"/>
        <v>0</v>
      </c>
      <c r="GO16" s="78">
        <f t="shared" si="125"/>
        <v>0</v>
      </c>
      <c r="GP16" s="79">
        <f t="shared" si="126"/>
        <v>0</v>
      </c>
      <c r="GQ16" s="77">
        <f t="shared" si="127"/>
        <v>0</v>
      </c>
      <c r="GR16" s="79"/>
      <c r="GS16" s="78"/>
      <c r="GT16" s="78">
        <f t="shared" si="128"/>
        <v>0</v>
      </c>
      <c r="GU16" s="78">
        <f t="shared" si="129"/>
        <v>0</v>
      </c>
      <c r="GV16" s="79">
        <f t="shared" si="130"/>
        <v>0</v>
      </c>
      <c r="GW16" s="77">
        <f t="shared" si="131"/>
        <v>0</v>
      </c>
      <c r="GX16" s="79"/>
      <c r="GY16" s="78"/>
      <c r="GZ16" s="78">
        <f t="shared" si="132"/>
        <v>0</v>
      </c>
      <c r="HA16" s="78">
        <f t="shared" si="133"/>
        <v>0</v>
      </c>
      <c r="HB16" s="79">
        <f t="shared" si="134"/>
        <v>0</v>
      </c>
      <c r="HC16" s="77">
        <f t="shared" si="135"/>
        <v>0</v>
      </c>
      <c r="HD16" s="79"/>
      <c r="HE16" s="79"/>
      <c r="HF16" s="79"/>
      <c r="HG16" s="79"/>
      <c r="HH16" s="79"/>
      <c r="HI16" s="79"/>
    </row>
    <row r="17" spans="1:217" s="52" customFormat="1" ht="12.75" hidden="1">
      <c r="A17" s="51">
        <v>44652</v>
      </c>
      <c r="C17" s="80"/>
      <c r="D17" s="80"/>
      <c r="E17" s="77">
        <f t="shared" si="0"/>
        <v>0</v>
      </c>
      <c r="F17" s="77"/>
      <c r="G17" s="77"/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79">
        <f t="shared" si="3"/>
        <v>0</v>
      </c>
      <c r="N17" s="79"/>
      <c r="O17" s="78">
        <f t="shared" si="136"/>
        <v>0</v>
      </c>
      <c r="P17" s="78">
        <f t="shared" si="4"/>
        <v>0</v>
      </c>
      <c r="Q17" s="79">
        <f t="shared" si="5"/>
        <v>0</v>
      </c>
      <c r="R17" s="79">
        <f t="shared" si="6"/>
        <v>0</v>
      </c>
      <c r="S17" s="77">
        <f t="shared" si="7"/>
        <v>0</v>
      </c>
      <c r="T17" s="79"/>
      <c r="U17" s="78">
        <f t="shared" si="137"/>
        <v>0</v>
      </c>
      <c r="V17" s="78">
        <f t="shared" si="8"/>
        <v>0</v>
      </c>
      <c r="W17" s="78">
        <f t="shared" si="9"/>
        <v>0</v>
      </c>
      <c r="X17" s="79">
        <f t="shared" si="10"/>
        <v>0</v>
      </c>
      <c r="Y17" s="77">
        <f t="shared" si="11"/>
        <v>0</v>
      </c>
      <c r="Z17" s="79"/>
      <c r="AA17" s="79">
        <f t="shared" si="138"/>
        <v>0</v>
      </c>
      <c r="AB17" s="78">
        <f t="shared" si="12"/>
        <v>0</v>
      </c>
      <c r="AC17" s="78">
        <f t="shared" si="13"/>
        <v>0</v>
      </c>
      <c r="AD17" s="79">
        <f t="shared" si="14"/>
        <v>0</v>
      </c>
      <c r="AE17" s="77">
        <f t="shared" si="15"/>
        <v>0</v>
      </c>
      <c r="AF17" s="79"/>
      <c r="AG17" s="78">
        <f t="shared" si="139"/>
        <v>0</v>
      </c>
      <c r="AH17" s="78">
        <f t="shared" si="16"/>
        <v>0</v>
      </c>
      <c r="AI17" s="78">
        <f t="shared" si="17"/>
        <v>0</v>
      </c>
      <c r="AJ17" s="79">
        <f t="shared" si="18"/>
        <v>0</v>
      </c>
      <c r="AK17" s="77">
        <f t="shared" si="19"/>
        <v>0</v>
      </c>
      <c r="AL17" s="79"/>
      <c r="AM17" s="78">
        <f t="shared" si="140"/>
        <v>0</v>
      </c>
      <c r="AN17" s="78">
        <f t="shared" si="20"/>
        <v>0</v>
      </c>
      <c r="AO17" s="78">
        <f t="shared" si="21"/>
        <v>0</v>
      </c>
      <c r="AP17" s="79">
        <f t="shared" si="22"/>
        <v>0</v>
      </c>
      <c r="AQ17" s="77">
        <f t="shared" si="23"/>
        <v>0</v>
      </c>
      <c r="AR17" s="78"/>
      <c r="AS17" s="78">
        <f t="shared" si="141"/>
        <v>0</v>
      </c>
      <c r="AT17" s="78">
        <f t="shared" si="24"/>
        <v>0</v>
      </c>
      <c r="AU17" s="78">
        <f t="shared" si="25"/>
        <v>0</v>
      </c>
      <c r="AV17" s="79">
        <f t="shared" si="26"/>
        <v>0</v>
      </c>
      <c r="AW17" s="77">
        <f t="shared" si="27"/>
        <v>0</v>
      </c>
      <c r="AX17" s="79"/>
      <c r="AY17" s="78">
        <f t="shared" si="142"/>
        <v>0</v>
      </c>
      <c r="AZ17" s="78">
        <f t="shared" si="28"/>
        <v>0</v>
      </c>
      <c r="BA17" s="78">
        <f t="shared" si="29"/>
        <v>0</v>
      </c>
      <c r="BB17" s="79">
        <f t="shared" si="30"/>
        <v>0</v>
      </c>
      <c r="BC17" s="77">
        <f t="shared" si="31"/>
        <v>0</v>
      </c>
      <c r="BD17" s="79"/>
      <c r="BE17" s="78">
        <f t="shared" si="143"/>
        <v>0</v>
      </c>
      <c r="BF17" s="78">
        <f t="shared" si="32"/>
        <v>0</v>
      </c>
      <c r="BG17" s="78">
        <f t="shared" si="33"/>
        <v>0</v>
      </c>
      <c r="BH17" s="79">
        <f t="shared" si="34"/>
        <v>0</v>
      </c>
      <c r="BI17" s="77">
        <f t="shared" si="35"/>
        <v>0</v>
      </c>
      <c r="BJ17" s="79"/>
      <c r="BK17" s="78">
        <f t="shared" si="144"/>
        <v>0</v>
      </c>
      <c r="BL17" s="78">
        <f t="shared" si="36"/>
        <v>0</v>
      </c>
      <c r="BM17" s="78">
        <f t="shared" si="37"/>
        <v>0</v>
      </c>
      <c r="BN17" s="79">
        <f t="shared" si="38"/>
        <v>0</v>
      </c>
      <c r="BO17" s="77">
        <f t="shared" si="39"/>
        <v>0</v>
      </c>
      <c r="BP17" s="79"/>
      <c r="BQ17" s="78">
        <f t="shared" si="145"/>
        <v>0</v>
      </c>
      <c r="BR17" s="78">
        <f t="shared" si="40"/>
        <v>0</v>
      </c>
      <c r="BS17" s="78">
        <f t="shared" si="41"/>
        <v>0</v>
      </c>
      <c r="BT17" s="79">
        <f t="shared" si="42"/>
        <v>0</v>
      </c>
      <c r="BU17" s="77">
        <f t="shared" si="43"/>
        <v>0</v>
      </c>
      <c r="BV17" s="79"/>
      <c r="BW17" s="78">
        <f t="shared" si="146"/>
        <v>0</v>
      </c>
      <c r="BX17" s="78">
        <f t="shared" si="44"/>
        <v>0</v>
      </c>
      <c r="BY17" s="78">
        <f t="shared" si="45"/>
        <v>0</v>
      </c>
      <c r="BZ17" s="79">
        <f t="shared" si="46"/>
        <v>0</v>
      </c>
      <c r="CA17" s="77">
        <f t="shared" si="47"/>
        <v>0</v>
      </c>
      <c r="CB17" s="78"/>
      <c r="CC17" s="78">
        <f t="shared" si="147"/>
        <v>0</v>
      </c>
      <c r="CD17" s="78">
        <f t="shared" si="48"/>
        <v>0</v>
      </c>
      <c r="CE17" s="78">
        <f t="shared" si="49"/>
        <v>0</v>
      </c>
      <c r="CF17" s="79">
        <f t="shared" si="50"/>
        <v>0</v>
      </c>
      <c r="CG17" s="77">
        <f t="shared" si="51"/>
        <v>0</v>
      </c>
      <c r="CH17" s="79"/>
      <c r="CI17" s="78">
        <f t="shared" si="148"/>
        <v>0</v>
      </c>
      <c r="CJ17" s="78">
        <f t="shared" si="52"/>
        <v>0</v>
      </c>
      <c r="CK17" s="78">
        <f t="shared" si="53"/>
        <v>0</v>
      </c>
      <c r="CL17" s="79">
        <f t="shared" si="54"/>
        <v>0</v>
      </c>
      <c r="CM17" s="77">
        <f t="shared" si="55"/>
        <v>0</v>
      </c>
      <c r="CN17" s="79"/>
      <c r="CO17" s="78">
        <f t="shared" si="149"/>
        <v>0</v>
      </c>
      <c r="CP17" s="78">
        <f t="shared" si="56"/>
        <v>0</v>
      </c>
      <c r="CQ17" s="78">
        <f t="shared" si="57"/>
        <v>0</v>
      </c>
      <c r="CR17" s="79">
        <f t="shared" si="58"/>
        <v>0</v>
      </c>
      <c r="CS17" s="77">
        <f t="shared" si="59"/>
        <v>0</v>
      </c>
      <c r="CT17" s="79"/>
      <c r="CU17" s="78">
        <f t="shared" si="150"/>
        <v>0</v>
      </c>
      <c r="CV17" s="78">
        <f t="shared" si="60"/>
        <v>0</v>
      </c>
      <c r="CW17" s="78">
        <f t="shared" si="61"/>
        <v>0</v>
      </c>
      <c r="CX17" s="79">
        <f t="shared" si="62"/>
        <v>0</v>
      </c>
      <c r="CY17" s="77">
        <f t="shared" si="63"/>
        <v>0</v>
      </c>
      <c r="CZ17" s="79"/>
      <c r="DA17" s="78">
        <f t="shared" si="151"/>
        <v>0</v>
      </c>
      <c r="DB17" s="78">
        <f t="shared" si="64"/>
        <v>0</v>
      </c>
      <c r="DC17" s="78">
        <f t="shared" si="65"/>
        <v>0</v>
      </c>
      <c r="DD17" s="79">
        <f t="shared" si="66"/>
        <v>0</v>
      </c>
      <c r="DE17" s="77">
        <f t="shared" si="67"/>
        <v>0</v>
      </c>
      <c r="DF17" s="79"/>
      <c r="DG17" s="78">
        <f t="shared" si="152"/>
        <v>0</v>
      </c>
      <c r="DH17" s="78">
        <f t="shared" si="68"/>
        <v>0</v>
      </c>
      <c r="DI17" s="78">
        <f t="shared" si="69"/>
        <v>0</v>
      </c>
      <c r="DJ17" s="79">
        <f t="shared" si="70"/>
        <v>0</v>
      </c>
      <c r="DK17" s="77">
        <f t="shared" si="71"/>
        <v>0</v>
      </c>
      <c r="DL17" s="79"/>
      <c r="DM17" s="78">
        <f t="shared" si="153"/>
        <v>0</v>
      </c>
      <c r="DN17" s="78">
        <f t="shared" si="72"/>
        <v>0</v>
      </c>
      <c r="DO17" s="78">
        <f t="shared" si="73"/>
        <v>0</v>
      </c>
      <c r="DP17" s="79">
        <f t="shared" si="74"/>
        <v>0</v>
      </c>
      <c r="DQ17" s="77">
        <f t="shared" si="75"/>
        <v>0</v>
      </c>
      <c r="DR17" s="79"/>
      <c r="DS17" s="78">
        <f t="shared" si="154"/>
        <v>0</v>
      </c>
      <c r="DT17" s="78">
        <f t="shared" si="76"/>
        <v>0</v>
      </c>
      <c r="DU17" s="78">
        <f t="shared" si="77"/>
        <v>0</v>
      </c>
      <c r="DV17" s="79">
        <f t="shared" si="78"/>
        <v>0</v>
      </c>
      <c r="DW17" s="77">
        <f t="shared" si="79"/>
        <v>0</v>
      </c>
      <c r="DX17" s="79"/>
      <c r="DY17" s="78">
        <f t="shared" si="155"/>
        <v>0</v>
      </c>
      <c r="DZ17" s="78">
        <f t="shared" si="80"/>
        <v>0</v>
      </c>
      <c r="EA17" s="78">
        <f t="shared" si="81"/>
        <v>0</v>
      </c>
      <c r="EB17" s="79">
        <f t="shared" si="82"/>
        <v>0</v>
      </c>
      <c r="EC17" s="77">
        <f t="shared" si="83"/>
        <v>0</v>
      </c>
      <c r="ED17" s="79"/>
      <c r="EE17" s="78">
        <f t="shared" si="156"/>
        <v>0</v>
      </c>
      <c r="EF17" s="78">
        <f t="shared" si="84"/>
        <v>0</v>
      </c>
      <c r="EG17" s="78">
        <f t="shared" si="85"/>
        <v>0</v>
      </c>
      <c r="EH17" s="79">
        <f t="shared" si="86"/>
        <v>0</v>
      </c>
      <c r="EI17" s="77">
        <f t="shared" si="87"/>
        <v>0</v>
      </c>
      <c r="EJ17" s="79"/>
      <c r="EK17" s="78">
        <f t="shared" si="157"/>
        <v>0</v>
      </c>
      <c r="EL17" s="78">
        <f t="shared" si="88"/>
        <v>0</v>
      </c>
      <c r="EM17" s="78">
        <f t="shared" si="89"/>
        <v>0</v>
      </c>
      <c r="EN17" s="79">
        <f t="shared" si="90"/>
        <v>0</v>
      </c>
      <c r="EO17" s="77">
        <f t="shared" si="91"/>
        <v>0</v>
      </c>
      <c r="EP17" s="79"/>
      <c r="EQ17" s="78">
        <f t="shared" si="158"/>
        <v>0</v>
      </c>
      <c r="ER17" s="78">
        <f t="shared" si="92"/>
        <v>0</v>
      </c>
      <c r="ES17" s="78">
        <f t="shared" si="93"/>
        <v>0</v>
      </c>
      <c r="ET17" s="79">
        <f t="shared" si="94"/>
        <v>0</v>
      </c>
      <c r="EU17" s="77">
        <f t="shared" si="95"/>
        <v>0</v>
      </c>
      <c r="EV17" s="79"/>
      <c r="EW17" s="78">
        <f t="shared" si="159"/>
        <v>0</v>
      </c>
      <c r="EX17" s="78">
        <f t="shared" si="96"/>
        <v>0</v>
      </c>
      <c r="EY17" s="78">
        <f t="shared" si="97"/>
        <v>0</v>
      </c>
      <c r="EZ17" s="79">
        <f t="shared" si="98"/>
        <v>0</v>
      </c>
      <c r="FA17" s="77">
        <f t="shared" si="99"/>
        <v>0</v>
      </c>
      <c r="FB17" s="79"/>
      <c r="FC17" s="78">
        <f t="shared" si="160"/>
        <v>0</v>
      </c>
      <c r="FD17" s="78">
        <f t="shared" si="100"/>
        <v>0</v>
      </c>
      <c r="FE17" s="78">
        <f t="shared" si="101"/>
        <v>0</v>
      </c>
      <c r="FF17" s="79">
        <f t="shared" si="102"/>
        <v>0</v>
      </c>
      <c r="FG17" s="77">
        <f t="shared" si="103"/>
        <v>0</v>
      </c>
      <c r="FH17" s="79"/>
      <c r="FI17" s="78">
        <f t="shared" si="161"/>
        <v>0</v>
      </c>
      <c r="FJ17" s="78">
        <f t="shared" si="104"/>
        <v>0</v>
      </c>
      <c r="FK17" s="78">
        <f t="shared" si="105"/>
        <v>0</v>
      </c>
      <c r="FL17" s="79">
        <f t="shared" si="106"/>
        <v>0</v>
      </c>
      <c r="FM17" s="77">
        <f t="shared" si="107"/>
        <v>0</v>
      </c>
      <c r="FN17" s="79"/>
      <c r="FO17" s="78">
        <f t="shared" si="162"/>
        <v>0</v>
      </c>
      <c r="FP17" s="78">
        <f t="shared" si="108"/>
        <v>0</v>
      </c>
      <c r="FQ17" s="78">
        <f t="shared" si="109"/>
        <v>0</v>
      </c>
      <c r="FR17" s="79">
        <f t="shared" si="110"/>
        <v>0</v>
      </c>
      <c r="FS17" s="77">
        <f t="shared" si="111"/>
        <v>0</v>
      </c>
      <c r="FT17" s="79"/>
      <c r="FU17" s="78">
        <f t="shared" si="163"/>
        <v>0</v>
      </c>
      <c r="FV17" s="78">
        <f t="shared" si="112"/>
        <v>0</v>
      </c>
      <c r="FW17" s="78">
        <f t="shared" si="113"/>
        <v>0</v>
      </c>
      <c r="FX17" s="79">
        <f t="shared" si="114"/>
        <v>0</v>
      </c>
      <c r="FY17" s="77">
        <f t="shared" si="115"/>
        <v>0</v>
      </c>
      <c r="FZ17" s="79"/>
      <c r="GA17" s="78">
        <f t="shared" si="164"/>
        <v>0</v>
      </c>
      <c r="GB17" s="78">
        <f t="shared" si="116"/>
        <v>0</v>
      </c>
      <c r="GC17" s="78">
        <f t="shared" si="117"/>
        <v>0</v>
      </c>
      <c r="GD17" s="79">
        <f t="shared" si="118"/>
        <v>0</v>
      </c>
      <c r="GE17" s="77">
        <f t="shared" si="119"/>
        <v>0</v>
      </c>
      <c r="GF17" s="79"/>
      <c r="GG17" s="78">
        <f t="shared" si="165"/>
        <v>0</v>
      </c>
      <c r="GH17" s="78">
        <f t="shared" si="120"/>
        <v>0</v>
      </c>
      <c r="GI17" s="78">
        <f t="shared" si="121"/>
        <v>0</v>
      </c>
      <c r="GJ17" s="79">
        <f t="shared" si="122"/>
        <v>0</v>
      </c>
      <c r="GK17" s="77">
        <f t="shared" si="123"/>
        <v>0</v>
      </c>
      <c r="GL17" s="79"/>
      <c r="GM17" s="78">
        <f t="shared" si="166"/>
        <v>0</v>
      </c>
      <c r="GN17" s="78">
        <f t="shared" si="124"/>
        <v>0</v>
      </c>
      <c r="GO17" s="78">
        <f t="shared" si="125"/>
        <v>0</v>
      </c>
      <c r="GP17" s="79">
        <f t="shared" si="126"/>
        <v>0</v>
      </c>
      <c r="GQ17" s="77">
        <f t="shared" si="127"/>
        <v>0</v>
      </c>
      <c r="GR17" s="79"/>
      <c r="GS17" s="78">
        <f t="shared" si="167"/>
        <v>0</v>
      </c>
      <c r="GT17" s="78">
        <f t="shared" si="128"/>
        <v>0</v>
      </c>
      <c r="GU17" s="78">
        <f t="shared" si="129"/>
        <v>0</v>
      </c>
      <c r="GV17" s="79">
        <f t="shared" si="130"/>
        <v>0</v>
      </c>
      <c r="GW17" s="77">
        <f t="shared" si="131"/>
        <v>0</v>
      </c>
      <c r="GX17" s="79"/>
      <c r="GY17" s="78">
        <f t="shared" si="168"/>
        <v>0</v>
      </c>
      <c r="GZ17" s="78">
        <f t="shared" si="132"/>
        <v>0</v>
      </c>
      <c r="HA17" s="78">
        <f t="shared" si="133"/>
        <v>0</v>
      </c>
      <c r="HB17" s="79">
        <f t="shared" si="134"/>
        <v>0</v>
      </c>
      <c r="HC17" s="77">
        <f t="shared" si="135"/>
        <v>0</v>
      </c>
      <c r="HD17" s="79"/>
      <c r="HE17" s="79"/>
      <c r="HF17" s="79"/>
      <c r="HG17" s="79"/>
      <c r="HH17" s="79"/>
      <c r="HI17" s="79"/>
    </row>
    <row r="18" spans="1:217" s="52" customFormat="1" ht="12.75" hidden="1">
      <c r="A18" s="51">
        <v>44835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3"/>
        <v>0</v>
      </c>
      <c r="N18" s="79"/>
      <c r="O18" s="78"/>
      <c r="P18" s="78">
        <f t="shared" si="4"/>
        <v>0</v>
      </c>
      <c r="Q18" s="79">
        <f t="shared" si="5"/>
        <v>0</v>
      </c>
      <c r="R18" s="79">
        <f t="shared" si="6"/>
        <v>0</v>
      </c>
      <c r="S18" s="77">
        <f t="shared" si="7"/>
        <v>0</v>
      </c>
      <c r="T18" s="79"/>
      <c r="U18" s="78"/>
      <c r="V18" s="78">
        <f t="shared" si="8"/>
        <v>0</v>
      </c>
      <c r="W18" s="78">
        <f t="shared" si="9"/>
        <v>0</v>
      </c>
      <c r="X18" s="79">
        <f t="shared" si="10"/>
        <v>0</v>
      </c>
      <c r="Y18" s="77">
        <f t="shared" si="11"/>
        <v>0</v>
      </c>
      <c r="Z18" s="79"/>
      <c r="AA18" s="79"/>
      <c r="AB18" s="78">
        <f t="shared" si="12"/>
        <v>0</v>
      </c>
      <c r="AC18" s="78">
        <f t="shared" si="13"/>
        <v>0</v>
      </c>
      <c r="AD18" s="79">
        <f t="shared" si="14"/>
        <v>0</v>
      </c>
      <c r="AE18" s="77">
        <f t="shared" si="15"/>
        <v>0</v>
      </c>
      <c r="AF18" s="79"/>
      <c r="AG18" s="78"/>
      <c r="AH18" s="78">
        <f t="shared" si="16"/>
        <v>0</v>
      </c>
      <c r="AI18" s="78">
        <f t="shared" si="17"/>
        <v>0</v>
      </c>
      <c r="AJ18" s="79">
        <f t="shared" si="18"/>
        <v>0</v>
      </c>
      <c r="AK18" s="77">
        <f t="shared" si="19"/>
        <v>0</v>
      </c>
      <c r="AL18" s="79"/>
      <c r="AM18" s="78"/>
      <c r="AN18" s="78">
        <f t="shared" si="20"/>
        <v>0</v>
      </c>
      <c r="AO18" s="78">
        <f t="shared" si="21"/>
        <v>0</v>
      </c>
      <c r="AP18" s="79">
        <f t="shared" si="22"/>
        <v>0</v>
      </c>
      <c r="AQ18" s="77">
        <f t="shared" si="23"/>
        <v>0</v>
      </c>
      <c r="AR18" s="78"/>
      <c r="AS18" s="78"/>
      <c r="AT18" s="78">
        <f t="shared" si="24"/>
        <v>0</v>
      </c>
      <c r="AU18" s="78">
        <f t="shared" si="25"/>
        <v>0</v>
      </c>
      <c r="AV18" s="79">
        <f t="shared" si="26"/>
        <v>0</v>
      </c>
      <c r="AW18" s="77">
        <f t="shared" si="27"/>
        <v>0</v>
      </c>
      <c r="AX18" s="79"/>
      <c r="AY18" s="78"/>
      <c r="AZ18" s="78">
        <f t="shared" si="28"/>
        <v>0</v>
      </c>
      <c r="BA18" s="78">
        <f t="shared" si="29"/>
        <v>0</v>
      </c>
      <c r="BB18" s="79">
        <f t="shared" si="30"/>
        <v>0</v>
      </c>
      <c r="BC18" s="77">
        <f t="shared" si="31"/>
        <v>0</v>
      </c>
      <c r="BD18" s="79"/>
      <c r="BE18" s="78"/>
      <c r="BF18" s="78">
        <f t="shared" si="32"/>
        <v>0</v>
      </c>
      <c r="BG18" s="78">
        <f t="shared" si="33"/>
        <v>0</v>
      </c>
      <c r="BH18" s="79">
        <f t="shared" si="34"/>
        <v>0</v>
      </c>
      <c r="BI18" s="77">
        <f t="shared" si="35"/>
        <v>0</v>
      </c>
      <c r="BJ18" s="79"/>
      <c r="BK18" s="78"/>
      <c r="BL18" s="78">
        <f t="shared" si="36"/>
        <v>0</v>
      </c>
      <c r="BM18" s="78">
        <f t="shared" si="37"/>
        <v>0</v>
      </c>
      <c r="BN18" s="79">
        <f t="shared" si="38"/>
        <v>0</v>
      </c>
      <c r="BO18" s="77">
        <f t="shared" si="39"/>
        <v>0</v>
      </c>
      <c r="BP18" s="79"/>
      <c r="BQ18" s="78"/>
      <c r="BR18" s="78">
        <f t="shared" si="40"/>
        <v>0</v>
      </c>
      <c r="BS18" s="78">
        <f t="shared" si="41"/>
        <v>0</v>
      </c>
      <c r="BT18" s="79">
        <f t="shared" si="42"/>
        <v>0</v>
      </c>
      <c r="BU18" s="77">
        <f t="shared" si="43"/>
        <v>0</v>
      </c>
      <c r="BV18" s="79"/>
      <c r="BW18" s="78"/>
      <c r="BX18" s="78">
        <f t="shared" si="44"/>
        <v>0</v>
      </c>
      <c r="BY18" s="78">
        <f t="shared" si="45"/>
        <v>0</v>
      </c>
      <c r="BZ18" s="79">
        <f t="shared" si="46"/>
        <v>0</v>
      </c>
      <c r="CA18" s="77">
        <f t="shared" si="47"/>
        <v>0</v>
      </c>
      <c r="CB18" s="78"/>
      <c r="CC18" s="78"/>
      <c r="CD18" s="78">
        <f t="shared" si="48"/>
        <v>0</v>
      </c>
      <c r="CE18" s="78">
        <f t="shared" si="49"/>
        <v>0</v>
      </c>
      <c r="CF18" s="79">
        <f t="shared" si="50"/>
        <v>0</v>
      </c>
      <c r="CG18" s="77">
        <f t="shared" si="51"/>
        <v>0</v>
      </c>
      <c r="CH18" s="79"/>
      <c r="CI18" s="78"/>
      <c r="CJ18" s="78">
        <f t="shared" si="52"/>
        <v>0</v>
      </c>
      <c r="CK18" s="78">
        <f t="shared" si="53"/>
        <v>0</v>
      </c>
      <c r="CL18" s="79">
        <f t="shared" si="54"/>
        <v>0</v>
      </c>
      <c r="CM18" s="77">
        <f t="shared" si="55"/>
        <v>0</v>
      </c>
      <c r="CN18" s="79"/>
      <c r="CO18" s="78"/>
      <c r="CP18" s="78">
        <f t="shared" si="56"/>
        <v>0</v>
      </c>
      <c r="CQ18" s="78">
        <f t="shared" si="57"/>
        <v>0</v>
      </c>
      <c r="CR18" s="79">
        <f t="shared" si="58"/>
        <v>0</v>
      </c>
      <c r="CS18" s="77">
        <f t="shared" si="59"/>
        <v>0</v>
      </c>
      <c r="CT18" s="79"/>
      <c r="CU18" s="78"/>
      <c r="CV18" s="78">
        <f t="shared" si="60"/>
        <v>0</v>
      </c>
      <c r="CW18" s="78">
        <f t="shared" si="61"/>
        <v>0</v>
      </c>
      <c r="CX18" s="79">
        <f t="shared" si="62"/>
        <v>0</v>
      </c>
      <c r="CY18" s="77">
        <f t="shared" si="63"/>
        <v>0</v>
      </c>
      <c r="CZ18" s="79"/>
      <c r="DA18" s="78"/>
      <c r="DB18" s="78">
        <f t="shared" si="64"/>
        <v>0</v>
      </c>
      <c r="DC18" s="78">
        <f t="shared" si="65"/>
        <v>0</v>
      </c>
      <c r="DD18" s="79">
        <f t="shared" si="66"/>
        <v>0</v>
      </c>
      <c r="DE18" s="77">
        <f t="shared" si="67"/>
        <v>0</v>
      </c>
      <c r="DF18" s="79"/>
      <c r="DG18" s="78"/>
      <c r="DH18" s="78">
        <f t="shared" si="68"/>
        <v>0</v>
      </c>
      <c r="DI18" s="78">
        <f t="shared" si="69"/>
        <v>0</v>
      </c>
      <c r="DJ18" s="79">
        <f t="shared" si="70"/>
        <v>0</v>
      </c>
      <c r="DK18" s="77">
        <f t="shared" si="71"/>
        <v>0</v>
      </c>
      <c r="DL18" s="79"/>
      <c r="DM18" s="78"/>
      <c r="DN18" s="78">
        <f t="shared" si="72"/>
        <v>0</v>
      </c>
      <c r="DO18" s="78">
        <f t="shared" si="73"/>
        <v>0</v>
      </c>
      <c r="DP18" s="79">
        <f t="shared" si="74"/>
        <v>0</v>
      </c>
      <c r="DQ18" s="77">
        <f t="shared" si="75"/>
        <v>0</v>
      </c>
      <c r="DR18" s="79"/>
      <c r="DS18" s="78"/>
      <c r="DT18" s="78">
        <f t="shared" si="76"/>
        <v>0</v>
      </c>
      <c r="DU18" s="78">
        <f t="shared" si="77"/>
        <v>0</v>
      </c>
      <c r="DV18" s="79">
        <f t="shared" si="78"/>
        <v>0</v>
      </c>
      <c r="DW18" s="77">
        <f t="shared" si="79"/>
        <v>0</v>
      </c>
      <c r="DX18" s="79"/>
      <c r="DY18" s="78"/>
      <c r="DZ18" s="78">
        <f t="shared" si="80"/>
        <v>0</v>
      </c>
      <c r="EA18" s="78">
        <f t="shared" si="81"/>
        <v>0</v>
      </c>
      <c r="EB18" s="79">
        <f t="shared" si="82"/>
        <v>0</v>
      </c>
      <c r="EC18" s="77">
        <f t="shared" si="83"/>
        <v>0</v>
      </c>
      <c r="ED18" s="79"/>
      <c r="EE18" s="78"/>
      <c r="EF18" s="78">
        <f t="shared" si="84"/>
        <v>0</v>
      </c>
      <c r="EG18" s="78">
        <f t="shared" si="85"/>
        <v>0</v>
      </c>
      <c r="EH18" s="79">
        <f t="shared" si="86"/>
        <v>0</v>
      </c>
      <c r="EI18" s="77">
        <f t="shared" si="87"/>
        <v>0</v>
      </c>
      <c r="EJ18" s="79"/>
      <c r="EK18" s="78"/>
      <c r="EL18" s="78">
        <f t="shared" si="88"/>
        <v>0</v>
      </c>
      <c r="EM18" s="78">
        <f t="shared" si="89"/>
        <v>0</v>
      </c>
      <c r="EN18" s="79">
        <f t="shared" si="90"/>
        <v>0</v>
      </c>
      <c r="EO18" s="77">
        <f t="shared" si="91"/>
        <v>0</v>
      </c>
      <c r="EP18" s="79"/>
      <c r="EQ18" s="78"/>
      <c r="ER18" s="78">
        <f t="shared" si="92"/>
        <v>0</v>
      </c>
      <c r="ES18" s="78">
        <f t="shared" si="93"/>
        <v>0</v>
      </c>
      <c r="ET18" s="79">
        <f t="shared" si="94"/>
        <v>0</v>
      </c>
      <c r="EU18" s="77">
        <f t="shared" si="95"/>
        <v>0</v>
      </c>
      <c r="EV18" s="79"/>
      <c r="EW18" s="78"/>
      <c r="EX18" s="78">
        <f t="shared" si="96"/>
        <v>0</v>
      </c>
      <c r="EY18" s="78">
        <f t="shared" si="97"/>
        <v>0</v>
      </c>
      <c r="EZ18" s="79">
        <f t="shared" si="98"/>
        <v>0</v>
      </c>
      <c r="FA18" s="77">
        <f t="shared" si="99"/>
        <v>0</v>
      </c>
      <c r="FB18" s="79"/>
      <c r="FC18" s="78"/>
      <c r="FD18" s="78">
        <f t="shared" si="100"/>
        <v>0</v>
      </c>
      <c r="FE18" s="78">
        <f t="shared" si="101"/>
        <v>0</v>
      </c>
      <c r="FF18" s="79">
        <f t="shared" si="102"/>
        <v>0</v>
      </c>
      <c r="FG18" s="77">
        <f t="shared" si="103"/>
        <v>0</v>
      </c>
      <c r="FH18" s="79"/>
      <c r="FI18" s="78"/>
      <c r="FJ18" s="78">
        <f t="shared" si="104"/>
        <v>0</v>
      </c>
      <c r="FK18" s="78">
        <f t="shared" si="105"/>
        <v>0</v>
      </c>
      <c r="FL18" s="79">
        <f t="shared" si="106"/>
        <v>0</v>
      </c>
      <c r="FM18" s="77">
        <f t="shared" si="107"/>
        <v>0</v>
      </c>
      <c r="FN18" s="79"/>
      <c r="FO18" s="78"/>
      <c r="FP18" s="78">
        <f t="shared" si="108"/>
        <v>0</v>
      </c>
      <c r="FQ18" s="78">
        <f t="shared" si="109"/>
        <v>0</v>
      </c>
      <c r="FR18" s="79">
        <f t="shared" si="110"/>
        <v>0</v>
      </c>
      <c r="FS18" s="77">
        <f t="shared" si="111"/>
        <v>0</v>
      </c>
      <c r="FT18" s="79"/>
      <c r="FU18" s="78"/>
      <c r="FV18" s="78">
        <f t="shared" si="112"/>
        <v>0</v>
      </c>
      <c r="FW18" s="78">
        <f t="shared" si="113"/>
        <v>0</v>
      </c>
      <c r="FX18" s="79">
        <f t="shared" si="114"/>
        <v>0</v>
      </c>
      <c r="FY18" s="77">
        <f t="shared" si="115"/>
        <v>0</v>
      </c>
      <c r="FZ18" s="79"/>
      <c r="GA18" s="78"/>
      <c r="GB18" s="78">
        <f t="shared" si="116"/>
        <v>0</v>
      </c>
      <c r="GC18" s="78">
        <f t="shared" si="117"/>
        <v>0</v>
      </c>
      <c r="GD18" s="79">
        <f t="shared" si="118"/>
        <v>0</v>
      </c>
      <c r="GE18" s="77">
        <f t="shared" si="119"/>
        <v>0</v>
      </c>
      <c r="GF18" s="79"/>
      <c r="GG18" s="78"/>
      <c r="GH18" s="78">
        <f t="shared" si="120"/>
        <v>0</v>
      </c>
      <c r="GI18" s="78">
        <f t="shared" si="121"/>
        <v>0</v>
      </c>
      <c r="GJ18" s="79">
        <f t="shared" si="122"/>
        <v>0</v>
      </c>
      <c r="GK18" s="77">
        <f t="shared" si="123"/>
        <v>0</v>
      </c>
      <c r="GL18" s="79"/>
      <c r="GM18" s="78"/>
      <c r="GN18" s="78">
        <f t="shared" si="124"/>
        <v>0</v>
      </c>
      <c r="GO18" s="78">
        <f t="shared" si="125"/>
        <v>0</v>
      </c>
      <c r="GP18" s="79">
        <f t="shared" si="126"/>
        <v>0</v>
      </c>
      <c r="GQ18" s="77">
        <f t="shared" si="127"/>
        <v>0</v>
      </c>
      <c r="GR18" s="79"/>
      <c r="GS18" s="78"/>
      <c r="GT18" s="78">
        <f t="shared" si="128"/>
        <v>0</v>
      </c>
      <c r="GU18" s="78">
        <f t="shared" si="129"/>
        <v>0</v>
      </c>
      <c r="GV18" s="79">
        <f t="shared" si="130"/>
        <v>0</v>
      </c>
      <c r="GW18" s="77">
        <f t="shared" si="131"/>
        <v>0</v>
      </c>
      <c r="GX18" s="79"/>
      <c r="GY18" s="78"/>
      <c r="GZ18" s="78">
        <f t="shared" si="132"/>
        <v>0</v>
      </c>
      <c r="HA18" s="78">
        <f t="shared" si="133"/>
        <v>0</v>
      </c>
      <c r="HB18" s="79">
        <f t="shared" si="134"/>
        <v>0</v>
      </c>
      <c r="HC18" s="77">
        <f t="shared" si="135"/>
        <v>0</v>
      </c>
      <c r="HD18" s="79"/>
      <c r="HE18" s="79"/>
      <c r="HF18" s="79"/>
      <c r="HG18" s="79"/>
      <c r="HH18" s="79"/>
      <c r="HI18" s="79"/>
    </row>
    <row r="19" spans="1:217" s="52" customFormat="1" ht="12.75" hidden="1">
      <c r="A19" s="51">
        <v>45017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3"/>
        <v>0</v>
      </c>
      <c r="N19" s="79"/>
      <c r="O19" s="78">
        <f t="shared" si="136"/>
        <v>0</v>
      </c>
      <c r="P19" s="78">
        <f t="shared" si="4"/>
        <v>0</v>
      </c>
      <c r="Q19" s="79">
        <f t="shared" si="5"/>
        <v>0</v>
      </c>
      <c r="R19" s="79">
        <f t="shared" si="6"/>
        <v>0</v>
      </c>
      <c r="S19" s="77">
        <f t="shared" si="7"/>
        <v>0</v>
      </c>
      <c r="T19" s="79"/>
      <c r="U19" s="78">
        <f t="shared" si="137"/>
        <v>0</v>
      </c>
      <c r="V19" s="78">
        <f t="shared" si="8"/>
        <v>0</v>
      </c>
      <c r="W19" s="78">
        <f t="shared" si="9"/>
        <v>0</v>
      </c>
      <c r="X19" s="79">
        <f t="shared" si="10"/>
        <v>0</v>
      </c>
      <c r="Y19" s="77">
        <f t="shared" si="11"/>
        <v>0</v>
      </c>
      <c r="Z19" s="79"/>
      <c r="AA19" s="79">
        <f t="shared" si="138"/>
        <v>0</v>
      </c>
      <c r="AB19" s="78">
        <f t="shared" si="12"/>
        <v>0</v>
      </c>
      <c r="AC19" s="78">
        <f t="shared" si="13"/>
        <v>0</v>
      </c>
      <c r="AD19" s="79">
        <f t="shared" si="14"/>
        <v>0</v>
      </c>
      <c r="AE19" s="77">
        <f t="shared" si="15"/>
        <v>0</v>
      </c>
      <c r="AF19" s="79"/>
      <c r="AG19" s="78">
        <f t="shared" si="139"/>
        <v>0</v>
      </c>
      <c r="AH19" s="78">
        <f t="shared" si="16"/>
        <v>0</v>
      </c>
      <c r="AI19" s="78">
        <f t="shared" si="17"/>
        <v>0</v>
      </c>
      <c r="AJ19" s="79">
        <f t="shared" si="18"/>
        <v>0</v>
      </c>
      <c r="AK19" s="77">
        <f t="shared" si="19"/>
        <v>0</v>
      </c>
      <c r="AL19" s="79"/>
      <c r="AM19" s="78">
        <f t="shared" si="140"/>
        <v>0</v>
      </c>
      <c r="AN19" s="78">
        <f t="shared" si="20"/>
        <v>0</v>
      </c>
      <c r="AO19" s="78">
        <f t="shared" si="21"/>
        <v>0</v>
      </c>
      <c r="AP19" s="79">
        <f t="shared" si="22"/>
        <v>0</v>
      </c>
      <c r="AQ19" s="77">
        <f t="shared" si="23"/>
        <v>0</v>
      </c>
      <c r="AR19" s="78"/>
      <c r="AS19" s="78">
        <f t="shared" si="141"/>
        <v>0</v>
      </c>
      <c r="AT19" s="78">
        <f t="shared" si="24"/>
        <v>0</v>
      </c>
      <c r="AU19" s="78">
        <f t="shared" si="25"/>
        <v>0</v>
      </c>
      <c r="AV19" s="79">
        <f t="shared" si="26"/>
        <v>0</v>
      </c>
      <c r="AW19" s="77">
        <f t="shared" si="27"/>
        <v>0</v>
      </c>
      <c r="AX19" s="79"/>
      <c r="AY19" s="78">
        <f t="shared" si="142"/>
        <v>0</v>
      </c>
      <c r="AZ19" s="78">
        <f t="shared" si="28"/>
        <v>0</v>
      </c>
      <c r="BA19" s="78">
        <f t="shared" si="29"/>
        <v>0</v>
      </c>
      <c r="BB19" s="79">
        <f t="shared" si="30"/>
        <v>0</v>
      </c>
      <c r="BC19" s="77">
        <f t="shared" si="31"/>
        <v>0</v>
      </c>
      <c r="BD19" s="79"/>
      <c r="BE19" s="78">
        <f t="shared" si="143"/>
        <v>0</v>
      </c>
      <c r="BF19" s="78">
        <f t="shared" si="32"/>
        <v>0</v>
      </c>
      <c r="BG19" s="78">
        <f t="shared" si="33"/>
        <v>0</v>
      </c>
      <c r="BH19" s="79">
        <f t="shared" si="34"/>
        <v>0</v>
      </c>
      <c r="BI19" s="77">
        <f t="shared" si="35"/>
        <v>0</v>
      </c>
      <c r="BJ19" s="79"/>
      <c r="BK19" s="78">
        <f t="shared" si="144"/>
        <v>0</v>
      </c>
      <c r="BL19" s="78">
        <f t="shared" si="36"/>
        <v>0</v>
      </c>
      <c r="BM19" s="78">
        <f t="shared" si="37"/>
        <v>0</v>
      </c>
      <c r="BN19" s="79">
        <f t="shared" si="38"/>
        <v>0</v>
      </c>
      <c r="BO19" s="77">
        <f t="shared" si="39"/>
        <v>0</v>
      </c>
      <c r="BP19" s="79"/>
      <c r="BQ19" s="78">
        <f t="shared" si="145"/>
        <v>0</v>
      </c>
      <c r="BR19" s="78">
        <f t="shared" si="40"/>
        <v>0</v>
      </c>
      <c r="BS19" s="78">
        <f t="shared" si="41"/>
        <v>0</v>
      </c>
      <c r="BT19" s="79">
        <f t="shared" si="42"/>
        <v>0</v>
      </c>
      <c r="BU19" s="77">
        <f t="shared" si="43"/>
        <v>0</v>
      </c>
      <c r="BV19" s="79"/>
      <c r="BW19" s="78">
        <f t="shared" si="146"/>
        <v>0</v>
      </c>
      <c r="BX19" s="78">
        <f t="shared" si="44"/>
        <v>0</v>
      </c>
      <c r="BY19" s="78">
        <f t="shared" si="45"/>
        <v>0</v>
      </c>
      <c r="BZ19" s="79">
        <f t="shared" si="46"/>
        <v>0</v>
      </c>
      <c r="CA19" s="77">
        <f t="shared" si="47"/>
        <v>0</v>
      </c>
      <c r="CB19" s="78"/>
      <c r="CC19" s="78">
        <f t="shared" si="147"/>
        <v>0</v>
      </c>
      <c r="CD19" s="78">
        <f t="shared" si="48"/>
        <v>0</v>
      </c>
      <c r="CE19" s="78">
        <f t="shared" si="49"/>
        <v>0</v>
      </c>
      <c r="CF19" s="79">
        <f t="shared" si="50"/>
        <v>0</v>
      </c>
      <c r="CG19" s="77">
        <f t="shared" si="51"/>
        <v>0</v>
      </c>
      <c r="CH19" s="79"/>
      <c r="CI19" s="78">
        <f t="shared" si="148"/>
        <v>0</v>
      </c>
      <c r="CJ19" s="78">
        <f t="shared" si="52"/>
        <v>0</v>
      </c>
      <c r="CK19" s="78">
        <f t="shared" si="53"/>
        <v>0</v>
      </c>
      <c r="CL19" s="79">
        <f t="shared" si="54"/>
        <v>0</v>
      </c>
      <c r="CM19" s="77">
        <f t="shared" si="55"/>
        <v>0</v>
      </c>
      <c r="CN19" s="79"/>
      <c r="CO19" s="78">
        <f t="shared" si="149"/>
        <v>0</v>
      </c>
      <c r="CP19" s="78">
        <f t="shared" si="56"/>
        <v>0</v>
      </c>
      <c r="CQ19" s="78">
        <f t="shared" si="57"/>
        <v>0</v>
      </c>
      <c r="CR19" s="79">
        <f t="shared" si="58"/>
        <v>0</v>
      </c>
      <c r="CS19" s="77">
        <f t="shared" si="59"/>
        <v>0</v>
      </c>
      <c r="CT19" s="79"/>
      <c r="CU19" s="78">
        <f t="shared" si="150"/>
        <v>0</v>
      </c>
      <c r="CV19" s="78">
        <f t="shared" si="60"/>
        <v>0</v>
      </c>
      <c r="CW19" s="78">
        <f t="shared" si="61"/>
        <v>0</v>
      </c>
      <c r="CX19" s="79">
        <f t="shared" si="62"/>
        <v>0</v>
      </c>
      <c r="CY19" s="77">
        <f t="shared" si="63"/>
        <v>0</v>
      </c>
      <c r="CZ19" s="79"/>
      <c r="DA19" s="78">
        <f t="shared" si="151"/>
        <v>0</v>
      </c>
      <c r="DB19" s="78">
        <f t="shared" si="64"/>
        <v>0</v>
      </c>
      <c r="DC19" s="78">
        <f t="shared" si="65"/>
        <v>0</v>
      </c>
      <c r="DD19" s="79">
        <f t="shared" si="66"/>
        <v>0</v>
      </c>
      <c r="DE19" s="77">
        <f t="shared" si="67"/>
        <v>0</v>
      </c>
      <c r="DF19" s="79"/>
      <c r="DG19" s="78">
        <f t="shared" si="152"/>
        <v>0</v>
      </c>
      <c r="DH19" s="78">
        <f t="shared" si="68"/>
        <v>0</v>
      </c>
      <c r="DI19" s="78">
        <f t="shared" si="69"/>
        <v>0</v>
      </c>
      <c r="DJ19" s="79">
        <f t="shared" si="70"/>
        <v>0</v>
      </c>
      <c r="DK19" s="77">
        <f t="shared" si="71"/>
        <v>0</v>
      </c>
      <c r="DL19" s="79"/>
      <c r="DM19" s="78">
        <f t="shared" si="153"/>
        <v>0</v>
      </c>
      <c r="DN19" s="78">
        <f t="shared" si="72"/>
        <v>0</v>
      </c>
      <c r="DO19" s="78">
        <f t="shared" si="73"/>
        <v>0</v>
      </c>
      <c r="DP19" s="79">
        <f t="shared" si="74"/>
        <v>0</v>
      </c>
      <c r="DQ19" s="77">
        <f t="shared" si="75"/>
        <v>0</v>
      </c>
      <c r="DR19" s="79"/>
      <c r="DS19" s="78">
        <f t="shared" si="154"/>
        <v>0</v>
      </c>
      <c r="DT19" s="78">
        <f t="shared" si="76"/>
        <v>0</v>
      </c>
      <c r="DU19" s="78">
        <f t="shared" si="77"/>
        <v>0</v>
      </c>
      <c r="DV19" s="79">
        <f t="shared" si="78"/>
        <v>0</v>
      </c>
      <c r="DW19" s="77">
        <f t="shared" si="79"/>
        <v>0</v>
      </c>
      <c r="DX19" s="79"/>
      <c r="DY19" s="78">
        <f t="shared" si="155"/>
        <v>0</v>
      </c>
      <c r="DZ19" s="78">
        <f t="shared" si="80"/>
        <v>0</v>
      </c>
      <c r="EA19" s="78">
        <f t="shared" si="81"/>
        <v>0</v>
      </c>
      <c r="EB19" s="79">
        <f t="shared" si="82"/>
        <v>0</v>
      </c>
      <c r="EC19" s="77">
        <f t="shared" si="83"/>
        <v>0</v>
      </c>
      <c r="ED19" s="79"/>
      <c r="EE19" s="78">
        <f t="shared" si="156"/>
        <v>0</v>
      </c>
      <c r="EF19" s="78">
        <f t="shared" si="84"/>
        <v>0</v>
      </c>
      <c r="EG19" s="78">
        <f t="shared" si="85"/>
        <v>0</v>
      </c>
      <c r="EH19" s="79">
        <f t="shared" si="86"/>
        <v>0</v>
      </c>
      <c r="EI19" s="77">
        <f t="shared" si="87"/>
        <v>0</v>
      </c>
      <c r="EJ19" s="79"/>
      <c r="EK19" s="78">
        <f t="shared" si="157"/>
        <v>0</v>
      </c>
      <c r="EL19" s="78">
        <f t="shared" si="88"/>
        <v>0</v>
      </c>
      <c r="EM19" s="78">
        <f t="shared" si="89"/>
        <v>0</v>
      </c>
      <c r="EN19" s="79">
        <f t="shared" si="90"/>
        <v>0</v>
      </c>
      <c r="EO19" s="77">
        <f t="shared" si="91"/>
        <v>0</v>
      </c>
      <c r="EP19" s="79"/>
      <c r="EQ19" s="78">
        <f t="shared" si="158"/>
        <v>0</v>
      </c>
      <c r="ER19" s="78">
        <f t="shared" si="92"/>
        <v>0</v>
      </c>
      <c r="ES19" s="78">
        <f t="shared" si="93"/>
        <v>0</v>
      </c>
      <c r="ET19" s="79">
        <f t="shared" si="94"/>
        <v>0</v>
      </c>
      <c r="EU19" s="77">
        <f t="shared" si="95"/>
        <v>0</v>
      </c>
      <c r="EV19" s="79"/>
      <c r="EW19" s="78">
        <f t="shared" si="159"/>
        <v>0</v>
      </c>
      <c r="EX19" s="78">
        <f t="shared" si="96"/>
        <v>0</v>
      </c>
      <c r="EY19" s="78">
        <f t="shared" si="97"/>
        <v>0</v>
      </c>
      <c r="EZ19" s="79">
        <f t="shared" si="98"/>
        <v>0</v>
      </c>
      <c r="FA19" s="77">
        <f t="shared" si="99"/>
        <v>0</v>
      </c>
      <c r="FB19" s="79"/>
      <c r="FC19" s="78">
        <f t="shared" si="160"/>
        <v>0</v>
      </c>
      <c r="FD19" s="78">
        <f t="shared" si="100"/>
        <v>0</v>
      </c>
      <c r="FE19" s="78">
        <f t="shared" si="101"/>
        <v>0</v>
      </c>
      <c r="FF19" s="79">
        <f t="shared" si="102"/>
        <v>0</v>
      </c>
      <c r="FG19" s="77">
        <f t="shared" si="103"/>
        <v>0</v>
      </c>
      <c r="FH19" s="79"/>
      <c r="FI19" s="78">
        <f t="shared" si="161"/>
        <v>0</v>
      </c>
      <c r="FJ19" s="78">
        <f t="shared" si="104"/>
        <v>0</v>
      </c>
      <c r="FK19" s="78">
        <f t="shared" si="105"/>
        <v>0</v>
      </c>
      <c r="FL19" s="79">
        <f t="shared" si="106"/>
        <v>0</v>
      </c>
      <c r="FM19" s="77">
        <f t="shared" si="107"/>
        <v>0</v>
      </c>
      <c r="FN19" s="79"/>
      <c r="FO19" s="78">
        <f t="shared" si="162"/>
        <v>0</v>
      </c>
      <c r="FP19" s="78">
        <f t="shared" si="108"/>
        <v>0</v>
      </c>
      <c r="FQ19" s="78">
        <f t="shared" si="109"/>
        <v>0</v>
      </c>
      <c r="FR19" s="79">
        <f t="shared" si="110"/>
        <v>0</v>
      </c>
      <c r="FS19" s="77">
        <f t="shared" si="111"/>
        <v>0</v>
      </c>
      <c r="FT19" s="79"/>
      <c r="FU19" s="78">
        <f t="shared" si="163"/>
        <v>0</v>
      </c>
      <c r="FV19" s="78">
        <f t="shared" si="112"/>
        <v>0</v>
      </c>
      <c r="FW19" s="78">
        <f t="shared" si="113"/>
        <v>0</v>
      </c>
      <c r="FX19" s="79">
        <f t="shared" si="114"/>
        <v>0</v>
      </c>
      <c r="FY19" s="77">
        <f t="shared" si="115"/>
        <v>0</v>
      </c>
      <c r="FZ19" s="79"/>
      <c r="GA19" s="78">
        <f t="shared" si="164"/>
        <v>0</v>
      </c>
      <c r="GB19" s="78">
        <f t="shared" si="116"/>
        <v>0</v>
      </c>
      <c r="GC19" s="78">
        <f t="shared" si="117"/>
        <v>0</v>
      </c>
      <c r="GD19" s="79">
        <f t="shared" si="118"/>
        <v>0</v>
      </c>
      <c r="GE19" s="77">
        <f t="shared" si="119"/>
        <v>0</v>
      </c>
      <c r="GF19" s="79"/>
      <c r="GG19" s="78">
        <f t="shared" si="165"/>
        <v>0</v>
      </c>
      <c r="GH19" s="78">
        <f t="shared" si="120"/>
        <v>0</v>
      </c>
      <c r="GI19" s="78">
        <f t="shared" si="121"/>
        <v>0</v>
      </c>
      <c r="GJ19" s="79">
        <f t="shared" si="122"/>
        <v>0</v>
      </c>
      <c r="GK19" s="77">
        <f t="shared" si="123"/>
        <v>0</v>
      </c>
      <c r="GL19" s="79"/>
      <c r="GM19" s="78">
        <f t="shared" si="166"/>
        <v>0</v>
      </c>
      <c r="GN19" s="78">
        <f t="shared" si="124"/>
        <v>0</v>
      </c>
      <c r="GO19" s="78">
        <f t="shared" si="125"/>
        <v>0</v>
      </c>
      <c r="GP19" s="79">
        <f t="shared" si="126"/>
        <v>0</v>
      </c>
      <c r="GQ19" s="77">
        <f t="shared" si="127"/>
        <v>0</v>
      </c>
      <c r="GR19" s="79"/>
      <c r="GS19" s="78">
        <f t="shared" si="167"/>
        <v>0</v>
      </c>
      <c r="GT19" s="78">
        <f t="shared" si="128"/>
        <v>0</v>
      </c>
      <c r="GU19" s="78">
        <f t="shared" si="129"/>
        <v>0</v>
      </c>
      <c r="GV19" s="79">
        <f t="shared" si="130"/>
        <v>0</v>
      </c>
      <c r="GW19" s="77">
        <f t="shared" si="131"/>
        <v>0</v>
      </c>
      <c r="GX19" s="79"/>
      <c r="GY19" s="78">
        <f t="shared" si="168"/>
        <v>0</v>
      </c>
      <c r="GZ19" s="78">
        <f t="shared" si="132"/>
        <v>0</v>
      </c>
      <c r="HA19" s="78">
        <f t="shared" si="133"/>
        <v>0</v>
      </c>
      <c r="HB19" s="79">
        <f t="shared" si="134"/>
        <v>0</v>
      </c>
      <c r="HC19" s="77">
        <f t="shared" si="135"/>
        <v>0</v>
      </c>
      <c r="HD19" s="79"/>
      <c r="HE19" s="79"/>
      <c r="HF19" s="79"/>
      <c r="HG19" s="79"/>
      <c r="HH19" s="79"/>
      <c r="HI19" s="79"/>
    </row>
    <row r="20" spans="1:217" s="52" customFormat="1" ht="12.75" hidden="1">
      <c r="A20" s="51">
        <v>45200</v>
      </c>
      <c r="C20" s="80"/>
      <c r="D20" s="80"/>
      <c r="E20" s="77">
        <f t="shared" si="0"/>
        <v>0</v>
      </c>
      <c r="F20" s="77"/>
      <c r="G20" s="77"/>
      <c r="H20" s="79"/>
      <c r="I20" s="79"/>
      <c r="J20" s="79">
        <f t="shared" si="1"/>
        <v>0</v>
      </c>
      <c r="K20" s="79">
        <f t="shared" si="2"/>
        <v>0</v>
      </c>
      <c r="L20" s="79">
        <f t="shared" si="3"/>
        <v>0</v>
      </c>
      <c r="M20" s="79">
        <f t="shared" si="3"/>
        <v>0</v>
      </c>
      <c r="N20" s="79"/>
      <c r="O20" s="78"/>
      <c r="P20" s="78">
        <f t="shared" si="4"/>
        <v>0</v>
      </c>
      <c r="Q20" s="79">
        <f t="shared" si="5"/>
        <v>0</v>
      </c>
      <c r="R20" s="79">
        <f t="shared" si="6"/>
        <v>0</v>
      </c>
      <c r="S20" s="77">
        <f t="shared" si="7"/>
        <v>0</v>
      </c>
      <c r="T20" s="79"/>
      <c r="U20" s="78"/>
      <c r="V20" s="78">
        <f t="shared" si="8"/>
        <v>0</v>
      </c>
      <c r="W20" s="78">
        <f t="shared" si="9"/>
        <v>0</v>
      </c>
      <c r="X20" s="79">
        <f t="shared" si="10"/>
        <v>0</v>
      </c>
      <c r="Y20" s="77">
        <f t="shared" si="11"/>
        <v>0</v>
      </c>
      <c r="Z20" s="79"/>
      <c r="AA20" s="79"/>
      <c r="AB20" s="78">
        <f t="shared" si="12"/>
        <v>0</v>
      </c>
      <c r="AC20" s="78">
        <f t="shared" si="13"/>
        <v>0</v>
      </c>
      <c r="AD20" s="79">
        <f t="shared" si="14"/>
        <v>0</v>
      </c>
      <c r="AE20" s="77">
        <f t="shared" si="15"/>
        <v>0</v>
      </c>
      <c r="AF20" s="79"/>
      <c r="AG20" s="78"/>
      <c r="AH20" s="78">
        <f t="shared" si="16"/>
        <v>0</v>
      </c>
      <c r="AI20" s="78">
        <f t="shared" si="17"/>
        <v>0</v>
      </c>
      <c r="AJ20" s="79">
        <f t="shared" si="18"/>
        <v>0</v>
      </c>
      <c r="AK20" s="77">
        <f t="shared" si="19"/>
        <v>0</v>
      </c>
      <c r="AL20" s="79"/>
      <c r="AM20" s="78"/>
      <c r="AN20" s="78">
        <f t="shared" si="20"/>
        <v>0</v>
      </c>
      <c r="AO20" s="78">
        <f t="shared" si="21"/>
        <v>0</v>
      </c>
      <c r="AP20" s="79">
        <f t="shared" si="22"/>
        <v>0</v>
      </c>
      <c r="AQ20" s="77">
        <f t="shared" si="23"/>
        <v>0</v>
      </c>
      <c r="AR20" s="78"/>
      <c r="AS20" s="78"/>
      <c r="AT20" s="78">
        <f t="shared" si="24"/>
        <v>0</v>
      </c>
      <c r="AU20" s="78">
        <f t="shared" si="25"/>
        <v>0</v>
      </c>
      <c r="AV20" s="79">
        <f t="shared" si="26"/>
        <v>0</v>
      </c>
      <c r="AW20" s="77">
        <f t="shared" si="27"/>
        <v>0</v>
      </c>
      <c r="AX20" s="79"/>
      <c r="AY20" s="78"/>
      <c r="AZ20" s="78">
        <f t="shared" si="28"/>
        <v>0</v>
      </c>
      <c r="BA20" s="78">
        <f t="shared" si="29"/>
        <v>0</v>
      </c>
      <c r="BB20" s="79">
        <f t="shared" si="30"/>
        <v>0</v>
      </c>
      <c r="BC20" s="77">
        <f t="shared" si="31"/>
        <v>0</v>
      </c>
      <c r="BD20" s="79"/>
      <c r="BE20" s="78"/>
      <c r="BF20" s="78">
        <f t="shared" si="32"/>
        <v>0</v>
      </c>
      <c r="BG20" s="78">
        <f t="shared" si="33"/>
        <v>0</v>
      </c>
      <c r="BH20" s="79">
        <f t="shared" si="34"/>
        <v>0</v>
      </c>
      <c r="BI20" s="77">
        <f t="shared" si="35"/>
        <v>0</v>
      </c>
      <c r="BJ20" s="79"/>
      <c r="BK20" s="78"/>
      <c r="BL20" s="78">
        <f t="shared" si="36"/>
        <v>0</v>
      </c>
      <c r="BM20" s="78">
        <f t="shared" si="37"/>
        <v>0</v>
      </c>
      <c r="BN20" s="79">
        <f t="shared" si="38"/>
        <v>0</v>
      </c>
      <c r="BO20" s="77">
        <f t="shared" si="39"/>
        <v>0</v>
      </c>
      <c r="BP20" s="79"/>
      <c r="BQ20" s="78"/>
      <c r="BR20" s="78">
        <f t="shared" si="40"/>
        <v>0</v>
      </c>
      <c r="BS20" s="78">
        <f t="shared" si="41"/>
        <v>0</v>
      </c>
      <c r="BT20" s="79">
        <f t="shared" si="42"/>
        <v>0</v>
      </c>
      <c r="BU20" s="77">
        <f t="shared" si="43"/>
        <v>0</v>
      </c>
      <c r="BV20" s="79"/>
      <c r="BW20" s="78"/>
      <c r="BX20" s="78">
        <f t="shared" si="44"/>
        <v>0</v>
      </c>
      <c r="BY20" s="78">
        <f t="shared" si="45"/>
        <v>0</v>
      </c>
      <c r="BZ20" s="79">
        <f t="shared" si="46"/>
        <v>0</v>
      </c>
      <c r="CA20" s="77">
        <f t="shared" si="47"/>
        <v>0</v>
      </c>
      <c r="CB20" s="78"/>
      <c r="CC20" s="78"/>
      <c r="CD20" s="78">
        <f t="shared" si="48"/>
        <v>0</v>
      </c>
      <c r="CE20" s="78">
        <f t="shared" si="49"/>
        <v>0</v>
      </c>
      <c r="CF20" s="79">
        <f t="shared" si="50"/>
        <v>0</v>
      </c>
      <c r="CG20" s="77">
        <f t="shared" si="51"/>
        <v>0</v>
      </c>
      <c r="CH20" s="79"/>
      <c r="CI20" s="78"/>
      <c r="CJ20" s="78">
        <f t="shared" si="52"/>
        <v>0</v>
      </c>
      <c r="CK20" s="78">
        <f t="shared" si="53"/>
        <v>0</v>
      </c>
      <c r="CL20" s="79">
        <f t="shared" si="54"/>
        <v>0</v>
      </c>
      <c r="CM20" s="77">
        <f t="shared" si="55"/>
        <v>0</v>
      </c>
      <c r="CN20" s="79"/>
      <c r="CO20" s="78"/>
      <c r="CP20" s="78">
        <f t="shared" si="56"/>
        <v>0</v>
      </c>
      <c r="CQ20" s="78">
        <f t="shared" si="57"/>
        <v>0</v>
      </c>
      <c r="CR20" s="79">
        <f t="shared" si="58"/>
        <v>0</v>
      </c>
      <c r="CS20" s="77">
        <f t="shared" si="59"/>
        <v>0</v>
      </c>
      <c r="CT20" s="79"/>
      <c r="CU20" s="78"/>
      <c r="CV20" s="78">
        <f t="shared" si="60"/>
        <v>0</v>
      </c>
      <c r="CW20" s="78">
        <f t="shared" si="61"/>
        <v>0</v>
      </c>
      <c r="CX20" s="79">
        <f t="shared" si="62"/>
        <v>0</v>
      </c>
      <c r="CY20" s="77">
        <f t="shared" si="63"/>
        <v>0</v>
      </c>
      <c r="CZ20" s="79"/>
      <c r="DA20" s="78"/>
      <c r="DB20" s="78">
        <f t="shared" si="64"/>
        <v>0</v>
      </c>
      <c r="DC20" s="78">
        <f t="shared" si="65"/>
        <v>0</v>
      </c>
      <c r="DD20" s="79">
        <f t="shared" si="66"/>
        <v>0</v>
      </c>
      <c r="DE20" s="77">
        <f t="shared" si="67"/>
        <v>0</v>
      </c>
      <c r="DF20" s="79"/>
      <c r="DG20" s="78"/>
      <c r="DH20" s="78">
        <f t="shared" si="68"/>
        <v>0</v>
      </c>
      <c r="DI20" s="78">
        <f t="shared" si="69"/>
        <v>0</v>
      </c>
      <c r="DJ20" s="79">
        <f t="shared" si="70"/>
        <v>0</v>
      </c>
      <c r="DK20" s="77">
        <f t="shared" si="71"/>
        <v>0</v>
      </c>
      <c r="DL20" s="79"/>
      <c r="DM20" s="78"/>
      <c r="DN20" s="78">
        <f t="shared" si="72"/>
        <v>0</v>
      </c>
      <c r="DO20" s="78">
        <f t="shared" si="73"/>
        <v>0</v>
      </c>
      <c r="DP20" s="79">
        <f t="shared" si="74"/>
        <v>0</v>
      </c>
      <c r="DQ20" s="77">
        <f t="shared" si="75"/>
        <v>0</v>
      </c>
      <c r="DR20" s="79"/>
      <c r="DS20" s="78"/>
      <c r="DT20" s="78">
        <f t="shared" si="76"/>
        <v>0</v>
      </c>
      <c r="DU20" s="78">
        <f t="shared" si="77"/>
        <v>0</v>
      </c>
      <c r="DV20" s="79">
        <f t="shared" si="78"/>
        <v>0</v>
      </c>
      <c r="DW20" s="77">
        <f t="shared" si="79"/>
        <v>0</v>
      </c>
      <c r="DX20" s="79"/>
      <c r="DY20" s="78"/>
      <c r="DZ20" s="78">
        <f t="shared" si="80"/>
        <v>0</v>
      </c>
      <c r="EA20" s="78">
        <f t="shared" si="81"/>
        <v>0</v>
      </c>
      <c r="EB20" s="79">
        <f t="shared" si="82"/>
        <v>0</v>
      </c>
      <c r="EC20" s="77">
        <f t="shared" si="83"/>
        <v>0</v>
      </c>
      <c r="ED20" s="79"/>
      <c r="EE20" s="78"/>
      <c r="EF20" s="78">
        <f t="shared" si="84"/>
        <v>0</v>
      </c>
      <c r="EG20" s="78">
        <f t="shared" si="85"/>
        <v>0</v>
      </c>
      <c r="EH20" s="79">
        <f t="shared" si="86"/>
        <v>0</v>
      </c>
      <c r="EI20" s="77">
        <f t="shared" si="87"/>
        <v>0</v>
      </c>
      <c r="EJ20" s="79"/>
      <c r="EK20" s="78"/>
      <c r="EL20" s="78">
        <f t="shared" si="88"/>
        <v>0</v>
      </c>
      <c r="EM20" s="78">
        <f t="shared" si="89"/>
        <v>0</v>
      </c>
      <c r="EN20" s="79">
        <f t="shared" si="90"/>
        <v>0</v>
      </c>
      <c r="EO20" s="77">
        <f t="shared" si="91"/>
        <v>0</v>
      </c>
      <c r="EP20" s="79"/>
      <c r="EQ20" s="78"/>
      <c r="ER20" s="78">
        <f t="shared" si="92"/>
        <v>0</v>
      </c>
      <c r="ES20" s="78">
        <f t="shared" si="93"/>
        <v>0</v>
      </c>
      <c r="ET20" s="79">
        <f t="shared" si="94"/>
        <v>0</v>
      </c>
      <c r="EU20" s="77">
        <f t="shared" si="95"/>
        <v>0</v>
      </c>
      <c r="EV20" s="79"/>
      <c r="EW20" s="78"/>
      <c r="EX20" s="78">
        <f t="shared" si="96"/>
        <v>0</v>
      </c>
      <c r="EY20" s="78">
        <f t="shared" si="97"/>
        <v>0</v>
      </c>
      <c r="EZ20" s="79">
        <f t="shared" si="98"/>
        <v>0</v>
      </c>
      <c r="FA20" s="77">
        <f t="shared" si="99"/>
        <v>0</v>
      </c>
      <c r="FB20" s="79"/>
      <c r="FC20" s="78"/>
      <c r="FD20" s="78">
        <f t="shared" si="100"/>
        <v>0</v>
      </c>
      <c r="FE20" s="78">
        <f t="shared" si="101"/>
        <v>0</v>
      </c>
      <c r="FF20" s="79">
        <f t="shared" si="102"/>
        <v>0</v>
      </c>
      <c r="FG20" s="77">
        <f t="shared" si="103"/>
        <v>0</v>
      </c>
      <c r="FH20" s="79"/>
      <c r="FI20" s="78"/>
      <c r="FJ20" s="78">
        <f t="shared" si="104"/>
        <v>0</v>
      </c>
      <c r="FK20" s="78">
        <f t="shared" si="105"/>
        <v>0</v>
      </c>
      <c r="FL20" s="79">
        <f t="shared" si="106"/>
        <v>0</v>
      </c>
      <c r="FM20" s="77">
        <f t="shared" si="107"/>
        <v>0</v>
      </c>
      <c r="FN20" s="79"/>
      <c r="FO20" s="78"/>
      <c r="FP20" s="78">
        <f t="shared" si="108"/>
        <v>0</v>
      </c>
      <c r="FQ20" s="78">
        <f t="shared" si="109"/>
        <v>0</v>
      </c>
      <c r="FR20" s="79">
        <f t="shared" si="110"/>
        <v>0</v>
      </c>
      <c r="FS20" s="77">
        <f t="shared" si="111"/>
        <v>0</v>
      </c>
      <c r="FT20" s="79"/>
      <c r="FU20" s="78"/>
      <c r="FV20" s="78">
        <f t="shared" si="112"/>
        <v>0</v>
      </c>
      <c r="FW20" s="78">
        <f t="shared" si="113"/>
        <v>0</v>
      </c>
      <c r="FX20" s="79">
        <f t="shared" si="114"/>
        <v>0</v>
      </c>
      <c r="FY20" s="77">
        <f t="shared" si="115"/>
        <v>0</v>
      </c>
      <c r="FZ20" s="79"/>
      <c r="GA20" s="78"/>
      <c r="GB20" s="78">
        <f t="shared" si="116"/>
        <v>0</v>
      </c>
      <c r="GC20" s="78">
        <f t="shared" si="117"/>
        <v>0</v>
      </c>
      <c r="GD20" s="79">
        <f t="shared" si="118"/>
        <v>0</v>
      </c>
      <c r="GE20" s="77">
        <f t="shared" si="119"/>
        <v>0</v>
      </c>
      <c r="GF20" s="79"/>
      <c r="GG20" s="78"/>
      <c r="GH20" s="78">
        <f t="shared" si="120"/>
        <v>0</v>
      </c>
      <c r="GI20" s="78">
        <f t="shared" si="121"/>
        <v>0</v>
      </c>
      <c r="GJ20" s="79">
        <f t="shared" si="122"/>
        <v>0</v>
      </c>
      <c r="GK20" s="77">
        <f t="shared" si="123"/>
        <v>0</v>
      </c>
      <c r="GL20" s="79"/>
      <c r="GM20" s="78"/>
      <c r="GN20" s="78">
        <f t="shared" si="124"/>
        <v>0</v>
      </c>
      <c r="GO20" s="78">
        <f t="shared" si="125"/>
        <v>0</v>
      </c>
      <c r="GP20" s="79">
        <f t="shared" si="126"/>
        <v>0</v>
      </c>
      <c r="GQ20" s="77">
        <f t="shared" si="127"/>
        <v>0</v>
      </c>
      <c r="GR20" s="79"/>
      <c r="GS20" s="78"/>
      <c r="GT20" s="78">
        <f t="shared" si="128"/>
        <v>0</v>
      </c>
      <c r="GU20" s="78">
        <f t="shared" si="129"/>
        <v>0</v>
      </c>
      <c r="GV20" s="79">
        <f t="shared" si="130"/>
        <v>0</v>
      </c>
      <c r="GW20" s="77">
        <f t="shared" si="131"/>
        <v>0</v>
      </c>
      <c r="GX20" s="79"/>
      <c r="GY20" s="78"/>
      <c r="GZ20" s="78">
        <f t="shared" si="132"/>
        <v>0</v>
      </c>
      <c r="HA20" s="78">
        <f t="shared" si="133"/>
        <v>0</v>
      </c>
      <c r="HB20" s="79">
        <f t="shared" si="134"/>
        <v>0</v>
      </c>
      <c r="HC20" s="77">
        <f t="shared" si="135"/>
        <v>0</v>
      </c>
      <c r="HD20" s="79"/>
      <c r="HE20" s="79"/>
      <c r="HF20" s="79"/>
      <c r="HG20" s="79"/>
      <c r="HH20" s="79"/>
      <c r="HI20" s="79"/>
    </row>
    <row r="21" spans="1:217" s="52" customFormat="1" ht="12.75" hidden="1">
      <c r="A21" s="51">
        <v>45383</v>
      </c>
      <c r="C21" s="80"/>
      <c r="D21" s="80"/>
      <c r="E21" s="77">
        <f t="shared" si="0"/>
        <v>0</v>
      </c>
      <c r="F21" s="77"/>
      <c r="G21" s="77"/>
      <c r="H21" s="79"/>
      <c r="I21" s="79">
        <f>O21+U21+AA21+AG21+AM21+AS21+AY21+BE21+BK21+BQ21+BW21+CC21+CI21+CO21+CU21+DA21+DG21+DM21+DS21+DY21+EE21+EK21+EQ21+EW21+FC21+FI21+FO21+FU21+GA21+GG21+GM21+GS21+GY21</f>
        <v>0</v>
      </c>
      <c r="J21" s="79">
        <f t="shared" si="1"/>
        <v>0</v>
      </c>
      <c r="K21" s="79">
        <f t="shared" si="2"/>
        <v>0</v>
      </c>
      <c r="L21" s="79">
        <f t="shared" si="3"/>
        <v>0</v>
      </c>
      <c r="M21" s="79">
        <f t="shared" si="3"/>
        <v>0</v>
      </c>
      <c r="N21" s="79"/>
      <c r="O21" s="78">
        <f t="shared" si="136"/>
        <v>0</v>
      </c>
      <c r="P21" s="78">
        <f t="shared" si="4"/>
        <v>0</v>
      </c>
      <c r="Q21" s="79">
        <f>O21+P21</f>
        <v>0</v>
      </c>
      <c r="R21" s="79">
        <f t="shared" si="6"/>
        <v>0</v>
      </c>
      <c r="S21" s="77">
        <f t="shared" si="7"/>
        <v>0</v>
      </c>
      <c r="T21" s="79"/>
      <c r="U21" s="78">
        <f t="shared" si="137"/>
        <v>0</v>
      </c>
      <c r="V21" s="78">
        <f t="shared" si="8"/>
        <v>0</v>
      </c>
      <c r="W21" s="78">
        <f t="shared" si="9"/>
        <v>0</v>
      </c>
      <c r="X21" s="79">
        <f t="shared" si="10"/>
        <v>0</v>
      </c>
      <c r="Y21" s="77">
        <f t="shared" si="11"/>
        <v>0</v>
      </c>
      <c r="Z21" s="79"/>
      <c r="AA21" s="79">
        <f t="shared" si="138"/>
        <v>0</v>
      </c>
      <c r="AB21" s="78">
        <f t="shared" si="12"/>
        <v>0</v>
      </c>
      <c r="AC21" s="78">
        <f t="shared" si="13"/>
        <v>0</v>
      </c>
      <c r="AD21" s="79">
        <f t="shared" si="14"/>
        <v>0</v>
      </c>
      <c r="AE21" s="77">
        <f t="shared" si="15"/>
        <v>0</v>
      </c>
      <c r="AF21" s="79"/>
      <c r="AG21" s="78">
        <f t="shared" si="139"/>
        <v>0</v>
      </c>
      <c r="AH21" s="78">
        <f t="shared" si="16"/>
        <v>0</v>
      </c>
      <c r="AI21" s="78">
        <f t="shared" si="17"/>
        <v>0</v>
      </c>
      <c r="AJ21" s="79">
        <f t="shared" si="18"/>
        <v>0</v>
      </c>
      <c r="AK21" s="77">
        <f t="shared" si="19"/>
        <v>0</v>
      </c>
      <c r="AL21" s="79"/>
      <c r="AM21" s="78">
        <f t="shared" si="140"/>
        <v>0</v>
      </c>
      <c r="AN21" s="78">
        <f t="shared" si="20"/>
        <v>0</v>
      </c>
      <c r="AO21" s="78">
        <f t="shared" si="21"/>
        <v>0</v>
      </c>
      <c r="AP21" s="79">
        <f t="shared" si="22"/>
        <v>0</v>
      </c>
      <c r="AQ21" s="77">
        <f t="shared" si="23"/>
        <v>0</v>
      </c>
      <c r="AR21" s="78"/>
      <c r="AS21" s="78">
        <f t="shared" si="141"/>
        <v>0</v>
      </c>
      <c r="AT21" s="78">
        <f t="shared" si="24"/>
        <v>0</v>
      </c>
      <c r="AU21" s="78">
        <f t="shared" si="25"/>
        <v>0</v>
      </c>
      <c r="AV21" s="79">
        <f t="shared" si="26"/>
        <v>0</v>
      </c>
      <c r="AW21" s="77">
        <f t="shared" si="27"/>
        <v>0</v>
      </c>
      <c r="AX21" s="79"/>
      <c r="AY21" s="78">
        <f t="shared" si="142"/>
        <v>0</v>
      </c>
      <c r="AZ21" s="78">
        <f t="shared" si="28"/>
        <v>0</v>
      </c>
      <c r="BA21" s="78">
        <f t="shared" si="29"/>
        <v>0</v>
      </c>
      <c r="BB21" s="79">
        <f t="shared" si="30"/>
        <v>0</v>
      </c>
      <c r="BC21" s="77">
        <f t="shared" si="31"/>
        <v>0</v>
      </c>
      <c r="BD21" s="79"/>
      <c r="BE21" s="78">
        <f t="shared" si="143"/>
        <v>0</v>
      </c>
      <c r="BF21" s="78">
        <f t="shared" si="32"/>
        <v>0</v>
      </c>
      <c r="BG21" s="78">
        <f t="shared" si="33"/>
        <v>0</v>
      </c>
      <c r="BH21" s="79">
        <f t="shared" si="34"/>
        <v>0</v>
      </c>
      <c r="BI21" s="77">
        <f t="shared" si="35"/>
        <v>0</v>
      </c>
      <c r="BJ21" s="79"/>
      <c r="BK21" s="78">
        <f t="shared" si="144"/>
        <v>0</v>
      </c>
      <c r="BL21" s="78">
        <f t="shared" si="36"/>
        <v>0</v>
      </c>
      <c r="BM21" s="78">
        <f t="shared" si="37"/>
        <v>0</v>
      </c>
      <c r="BN21" s="79">
        <f t="shared" si="38"/>
        <v>0</v>
      </c>
      <c r="BO21" s="77">
        <f t="shared" si="39"/>
        <v>0</v>
      </c>
      <c r="BP21" s="79"/>
      <c r="BQ21" s="78">
        <f t="shared" si="145"/>
        <v>0</v>
      </c>
      <c r="BR21" s="78">
        <f t="shared" si="40"/>
        <v>0</v>
      </c>
      <c r="BS21" s="78">
        <f t="shared" si="41"/>
        <v>0</v>
      </c>
      <c r="BT21" s="79">
        <f t="shared" si="42"/>
        <v>0</v>
      </c>
      <c r="BU21" s="77">
        <f t="shared" si="43"/>
        <v>0</v>
      </c>
      <c r="BV21" s="79"/>
      <c r="BW21" s="78">
        <f t="shared" si="146"/>
        <v>0</v>
      </c>
      <c r="BX21" s="78">
        <f t="shared" si="44"/>
        <v>0</v>
      </c>
      <c r="BY21" s="78">
        <f t="shared" si="45"/>
        <v>0</v>
      </c>
      <c r="BZ21" s="79">
        <f t="shared" si="46"/>
        <v>0</v>
      </c>
      <c r="CA21" s="77">
        <f t="shared" si="47"/>
        <v>0</v>
      </c>
      <c r="CB21" s="78"/>
      <c r="CC21" s="78">
        <f t="shared" si="147"/>
        <v>0</v>
      </c>
      <c r="CD21" s="78">
        <f t="shared" si="48"/>
        <v>0</v>
      </c>
      <c r="CE21" s="78">
        <f t="shared" si="49"/>
        <v>0</v>
      </c>
      <c r="CF21" s="79">
        <f t="shared" si="50"/>
        <v>0</v>
      </c>
      <c r="CG21" s="77">
        <f t="shared" si="51"/>
        <v>0</v>
      </c>
      <c r="CH21" s="79"/>
      <c r="CI21" s="78">
        <f t="shared" si="148"/>
        <v>0</v>
      </c>
      <c r="CJ21" s="78">
        <f t="shared" si="52"/>
        <v>0</v>
      </c>
      <c r="CK21" s="78">
        <f t="shared" si="53"/>
        <v>0</v>
      </c>
      <c r="CL21" s="79">
        <f t="shared" si="54"/>
        <v>0</v>
      </c>
      <c r="CM21" s="77">
        <f t="shared" si="55"/>
        <v>0</v>
      </c>
      <c r="CN21" s="79"/>
      <c r="CO21" s="78">
        <f t="shared" si="149"/>
        <v>0</v>
      </c>
      <c r="CP21" s="78">
        <f t="shared" si="56"/>
        <v>0</v>
      </c>
      <c r="CQ21" s="78">
        <f t="shared" si="57"/>
        <v>0</v>
      </c>
      <c r="CR21" s="79">
        <f t="shared" si="58"/>
        <v>0</v>
      </c>
      <c r="CS21" s="77">
        <f t="shared" si="59"/>
        <v>0</v>
      </c>
      <c r="CT21" s="79"/>
      <c r="CU21" s="78">
        <f t="shared" si="150"/>
        <v>0</v>
      </c>
      <c r="CV21" s="78">
        <f t="shared" si="60"/>
        <v>0</v>
      </c>
      <c r="CW21" s="78">
        <f t="shared" si="61"/>
        <v>0</v>
      </c>
      <c r="CX21" s="79">
        <f t="shared" si="62"/>
        <v>0</v>
      </c>
      <c r="CY21" s="77">
        <f t="shared" si="63"/>
        <v>0</v>
      </c>
      <c r="CZ21" s="79"/>
      <c r="DA21" s="78">
        <f t="shared" si="151"/>
        <v>0</v>
      </c>
      <c r="DB21" s="78">
        <f t="shared" si="64"/>
        <v>0</v>
      </c>
      <c r="DC21" s="78">
        <f t="shared" si="65"/>
        <v>0</v>
      </c>
      <c r="DD21" s="79">
        <f t="shared" si="66"/>
        <v>0</v>
      </c>
      <c r="DE21" s="77">
        <f t="shared" si="67"/>
        <v>0</v>
      </c>
      <c r="DF21" s="79"/>
      <c r="DG21" s="78">
        <f t="shared" si="152"/>
        <v>0</v>
      </c>
      <c r="DH21" s="78">
        <f t="shared" si="68"/>
        <v>0</v>
      </c>
      <c r="DI21" s="78">
        <f t="shared" si="69"/>
        <v>0</v>
      </c>
      <c r="DJ21" s="79">
        <f t="shared" si="70"/>
        <v>0</v>
      </c>
      <c r="DK21" s="77">
        <f t="shared" si="71"/>
        <v>0</v>
      </c>
      <c r="DL21" s="79"/>
      <c r="DM21" s="78">
        <f t="shared" si="153"/>
        <v>0</v>
      </c>
      <c r="DN21" s="78">
        <f t="shared" si="72"/>
        <v>0</v>
      </c>
      <c r="DO21" s="78">
        <f t="shared" si="73"/>
        <v>0</v>
      </c>
      <c r="DP21" s="79">
        <f t="shared" si="74"/>
        <v>0</v>
      </c>
      <c r="DQ21" s="77">
        <f t="shared" si="75"/>
        <v>0</v>
      </c>
      <c r="DR21" s="79"/>
      <c r="DS21" s="78">
        <f t="shared" si="154"/>
        <v>0</v>
      </c>
      <c r="DT21" s="78">
        <f t="shared" si="76"/>
        <v>0</v>
      </c>
      <c r="DU21" s="78">
        <f t="shared" si="77"/>
        <v>0</v>
      </c>
      <c r="DV21" s="79">
        <f t="shared" si="78"/>
        <v>0</v>
      </c>
      <c r="DW21" s="77">
        <f t="shared" si="79"/>
        <v>0</v>
      </c>
      <c r="DX21" s="79"/>
      <c r="DY21" s="78">
        <f t="shared" si="155"/>
        <v>0</v>
      </c>
      <c r="DZ21" s="78">
        <f t="shared" si="80"/>
        <v>0</v>
      </c>
      <c r="EA21" s="78">
        <f t="shared" si="81"/>
        <v>0</v>
      </c>
      <c r="EB21" s="79">
        <f t="shared" si="82"/>
        <v>0</v>
      </c>
      <c r="EC21" s="77">
        <f t="shared" si="83"/>
        <v>0</v>
      </c>
      <c r="ED21" s="79"/>
      <c r="EE21" s="78">
        <f t="shared" si="156"/>
        <v>0</v>
      </c>
      <c r="EF21" s="78">
        <f t="shared" si="84"/>
        <v>0</v>
      </c>
      <c r="EG21" s="78">
        <f t="shared" si="85"/>
        <v>0</v>
      </c>
      <c r="EH21" s="79">
        <f t="shared" si="86"/>
        <v>0</v>
      </c>
      <c r="EI21" s="77">
        <f t="shared" si="87"/>
        <v>0</v>
      </c>
      <c r="EJ21" s="79"/>
      <c r="EK21" s="78">
        <f t="shared" si="157"/>
        <v>0</v>
      </c>
      <c r="EL21" s="78">
        <f t="shared" si="88"/>
        <v>0</v>
      </c>
      <c r="EM21" s="78">
        <f t="shared" si="89"/>
        <v>0</v>
      </c>
      <c r="EN21" s="79">
        <f t="shared" si="90"/>
        <v>0</v>
      </c>
      <c r="EO21" s="77">
        <f t="shared" si="91"/>
        <v>0</v>
      </c>
      <c r="EP21" s="79"/>
      <c r="EQ21" s="78">
        <f t="shared" si="158"/>
        <v>0</v>
      </c>
      <c r="ER21" s="78">
        <f t="shared" si="92"/>
        <v>0</v>
      </c>
      <c r="ES21" s="78">
        <f t="shared" si="93"/>
        <v>0</v>
      </c>
      <c r="ET21" s="79">
        <f t="shared" si="94"/>
        <v>0</v>
      </c>
      <c r="EU21" s="77">
        <f t="shared" si="95"/>
        <v>0</v>
      </c>
      <c r="EV21" s="79"/>
      <c r="EW21" s="78">
        <f t="shared" si="159"/>
        <v>0</v>
      </c>
      <c r="EX21" s="78">
        <f t="shared" si="96"/>
        <v>0</v>
      </c>
      <c r="EY21" s="78">
        <f t="shared" si="97"/>
        <v>0</v>
      </c>
      <c r="EZ21" s="79">
        <f t="shared" si="98"/>
        <v>0</v>
      </c>
      <c r="FA21" s="77">
        <f t="shared" si="99"/>
        <v>0</v>
      </c>
      <c r="FB21" s="79"/>
      <c r="FC21" s="78">
        <f t="shared" si="160"/>
        <v>0</v>
      </c>
      <c r="FD21" s="78">
        <f t="shared" si="100"/>
        <v>0</v>
      </c>
      <c r="FE21" s="78">
        <f t="shared" si="101"/>
        <v>0</v>
      </c>
      <c r="FF21" s="79">
        <f t="shared" si="102"/>
        <v>0</v>
      </c>
      <c r="FG21" s="77">
        <f t="shared" si="103"/>
        <v>0</v>
      </c>
      <c r="FH21" s="79"/>
      <c r="FI21" s="78">
        <f t="shared" si="161"/>
        <v>0</v>
      </c>
      <c r="FJ21" s="78">
        <f t="shared" si="104"/>
        <v>0</v>
      </c>
      <c r="FK21" s="78">
        <f t="shared" si="105"/>
        <v>0</v>
      </c>
      <c r="FL21" s="79">
        <f t="shared" si="106"/>
        <v>0</v>
      </c>
      <c r="FM21" s="77">
        <f t="shared" si="107"/>
        <v>0</v>
      </c>
      <c r="FN21" s="79"/>
      <c r="FO21" s="78">
        <f t="shared" si="162"/>
        <v>0</v>
      </c>
      <c r="FP21" s="78">
        <f t="shared" si="108"/>
        <v>0</v>
      </c>
      <c r="FQ21" s="78">
        <f t="shared" si="109"/>
        <v>0</v>
      </c>
      <c r="FR21" s="79">
        <f t="shared" si="110"/>
        <v>0</v>
      </c>
      <c r="FS21" s="77">
        <f t="shared" si="111"/>
        <v>0</v>
      </c>
      <c r="FT21" s="79"/>
      <c r="FU21" s="78">
        <f t="shared" si="163"/>
        <v>0</v>
      </c>
      <c r="FV21" s="78">
        <f t="shared" si="112"/>
        <v>0</v>
      </c>
      <c r="FW21" s="78">
        <f t="shared" si="113"/>
        <v>0</v>
      </c>
      <c r="FX21" s="79">
        <f t="shared" si="114"/>
        <v>0</v>
      </c>
      <c r="FY21" s="77">
        <f t="shared" si="115"/>
        <v>0</v>
      </c>
      <c r="FZ21" s="79"/>
      <c r="GA21" s="78">
        <f t="shared" si="164"/>
        <v>0</v>
      </c>
      <c r="GB21" s="78">
        <f t="shared" si="116"/>
        <v>0</v>
      </c>
      <c r="GC21" s="78">
        <f t="shared" si="117"/>
        <v>0</v>
      </c>
      <c r="GD21" s="79">
        <f t="shared" si="118"/>
        <v>0</v>
      </c>
      <c r="GE21" s="77">
        <f t="shared" si="119"/>
        <v>0</v>
      </c>
      <c r="GF21" s="79"/>
      <c r="GG21" s="78">
        <f t="shared" si="165"/>
        <v>0</v>
      </c>
      <c r="GH21" s="78">
        <f t="shared" si="120"/>
        <v>0</v>
      </c>
      <c r="GI21" s="78">
        <f t="shared" si="121"/>
        <v>0</v>
      </c>
      <c r="GJ21" s="79">
        <f t="shared" si="122"/>
        <v>0</v>
      </c>
      <c r="GK21" s="77">
        <f t="shared" si="123"/>
        <v>0</v>
      </c>
      <c r="GL21" s="79"/>
      <c r="GM21" s="78">
        <f t="shared" si="166"/>
        <v>0</v>
      </c>
      <c r="GN21" s="78">
        <f t="shared" si="124"/>
        <v>0</v>
      </c>
      <c r="GO21" s="78">
        <f t="shared" si="125"/>
        <v>0</v>
      </c>
      <c r="GP21" s="79">
        <f t="shared" si="126"/>
        <v>0</v>
      </c>
      <c r="GQ21" s="77">
        <f t="shared" si="127"/>
        <v>0</v>
      </c>
      <c r="GR21" s="79"/>
      <c r="GS21" s="78">
        <f t="shared" si="167"/>
        <v>0</v>
      </c>
      <c r="GT21" s="78">
        <f t="shared" si="128"/>
        <v>0</v>
      </c>
      <c r="GU21" s="78">
        <f t="shared" si="129"/>
        <v>0</v>
      </c>
      <c r="GV21" s="79">
        <f t="shared" si="130"/>
        <v>0</v>
      </c>
      <c r="GW21" s="77">
        <f t="shared" si="131"/>
        <v>0</v>
      </c>
      <c r="GX21" s="79"/>
      <c r="GY21" s="78">
        <f t="shared" si="168"/>
        <v>0</v>
      </c>
      <c r="GZ21" s="78">
        <f t="shared" si="132"/>
        <v>0</v>
      </c>
      <c r="HA21" s="78">
        <f t="shared" si="133"/>
        <v>0</v>
      </c>
      <c r="HB21" s="79">
        <f t="shared" si="134"/>
        <v>0</v>
      </c>
      <c r="HC21" s="77">
        <f t="shared" si="135"/>
        <v>0</v>
      </c>
      <c r="HD21" s="79"/>
      <c r="HE21" s="79"/>
      <c r="HF21" s="79"/>
      <c r="HG21" s="79"/>
      <c r="HH21" s="79"/>
      <c r="HI21" s="79"/>
    </row>
    <row r="22" spans="3:217" ht="12.75">
      <c r="C22" s="80"/>
      <c r="D22" s="80"/>
      <c r="E22" s="80"/>
      <c r="F22" s="80"/>
      <c r="G22" s="80"/>
      <c r="H22" s="78"/>
      <c r="I22" s="78"/>
      <c r="J22" s="79"/>
      <c r="K22" s="78"/>
      <c r="L22" s="78"/>
      <c r="M22" s="80"/>
      <c r="N22" s="78"/>
      <c r="O22" s="78"/>
      <c r="P22" s="78"/>
      <c r="Q22" s="78"/>
      <c r="R22" s="78"/>
      <c r="S22" s="80"/>
      <c r="T22" s="78"/>
      <c r="U22" s="78"/>
      <c r="V22" s="78"/>
      <c r="W22" s="78"/>
      <c r="X22" s="78"/>
      <c r="Y22" s="80"/>
      <c r="Z22" s="78"/>
      <c r="AA22" s="79"/>
      <c r="AB22" s="78"/>
      <c r="AC22" s="78"/>
      <c r="AD22" s="78"/>
      <c r="AE22" s="80"/>
      <c r="AF22" s="78"/>
      <c r="AG22" s="78"/>
      <c r="AH22" s="78"/>
      <c r="AI22" s="78"/>
      <c r="AJ22" s="78"/>
      <c r="AK22" s="80"/>
      <c r="AL22" s="78"/>
      <c r="AM22" s="78"/>
      <c r="AN22" s="78"/>
      <c r="AO22" s="78"/>
      <c r="AP22" s="78"/>
      <c r="AQ22" s="80"/>
      <c r="AR22" s="78"/>
      <c r="AS22" s="78"/>
      <c r="AT22" s="78"/>
      <c r="AU22" s="78"/>
      <c r="AV22" s="78"/>
      <c r="AW22" s="80"/>
      <c r="AX22" s="78"/>
      <c r="AY22" s="78"/>
      <c r="AZ22" s="78"/>
      <c r="BA22" s="78"/>
      <c r="BB22" s="78"/>
      <c r="BC22" s="80"/>
      <c r="BD22" s="78"/>
      <c r="BE22" s="78"/>
      <c r="BF22" s="78"/>
      <c r="BG22" s="78"/>
      <c r="BH22" s="78"/>
      <c r="BI22" s="80"/>
      <c r="BJ22" s="78"/>
      <c r="BK22" s="78"/>
      <c r="BL22" s="78"/>
      <c r="BM22" s="78"/>
      <c r="BN22" s="78"/>
      <c r="BO22" s="80"/>
      <c r="BP22" s="78"/>
      <c r="BQ22" s="78"/>
      <c r="BR22" s="78"/>
      <c r="BS22" s="78"/>
      <c r="BT22" s="78"/>
      <c r="BU22" s="80"/>
      <c r="BV22" s="78"/>
      <c r="BW22" s="78"/>
      <c r="BX22" s="78"/>
      <c r="BY22" s="78"/>
      <c r="BZ22" s="78"/>
      <c r="CA22" s="80"/>
      <c r="CB22" s="78"/>
      <c r="CC22" s="78"/>
      <c r="CD22" s="78"/>
      <c r="CE22" s="78"/>
      <c r="CF22" s="78"/>
      <c r="CG22" s="80"/>
      <c r="CH22" s="78"/>
      <c r="CI22" s="78"/>
      <c r="CJ22" s="78"/>
      <c r="CK22" s="78"/>
      <c r="CL22" s="78"/>
      <c r="CM22" s="80"/>
      <c r="CN22" s="78"/>
      <c r="CO22" s="78"/>
      <c r="CP22" s="78"/>
      <c r="CQ22" s="78"/>
      <c r="CR22" s="78"/>
      <c r="CS22" s="80"/>
      <c r="CT22" s="78"/>
      <c r="CU22" s="78"/>
      <c r="CV22" s="78"/>
      <c r="CW22" s="78"/>
      <c r="CX22" s="78"/>
      <c r="CY22" s="80"/>
      <c r="CZ22" s="78"/>
      <c r="DA22" s="78"/>
      <c r="DB22" s="78"/>
      <c r="DC22" s="78"/>
      <c r="DD22" s="78"/>
      <c r="DE22" s="80"/>
      <c r="DF22" s="78"/>
      <c r="DG22" s="78"/>
      <c r="DH22" s="78"/>
      <c r="DI22" s="78"/>
      <c r="DJ22" s="78"/>
      <c r="DK22" s="80"/>
      <c r="DL22" s="78"/>
      <c r="DM22" s="78"/>
      <c r="DN22" s="78"/>
      <c r="DO22" s="78"/>
      <c r="DP22" s="78"/>
      <c r="DQ22" s="80"/>
      <c r="DR22" s="78"/>
      <c r="DS22" s="78"/>
      <c r="DT22" s="78"/>
      <c r="DU22" s="78"/>
      <c r="DV22" s="78"/>
      <c r="DW22" s="80"/>
      <c r="DX22" s="78"/>
      <c r="DY22" s="78"/>
      <c r="DZ22" s="78"/>
      <c r="EA22" s="78"/>
      <c r="EB22" s="78"/>
      <c r="EC22" s="80"/>
      <c r="ED22" s="78"/>
      <c r="EE22" s="78"/>
      <c r="EF22" s="78"/>
      <c r="EG22" s="78"/>
      <c r="EH22" s="78"/>
      <c r="EI22" s="80"/>
      <c r="EJ22" s="78"/>
      <c r="EK22" s="78"/>
      <c r="EL22" s="78"/>
      <c r="EM22" s="78"/>
      <c r="EN22" s="78"/>
      <c r="EO22" s="80"/>
      <c r="EP22" s="78"/>
      <c r="EQ22" s="78"/>
      <c r="ER22" s="78"/>
      <c r="ES22" s="78"/>
      <c r="ET22" s="78"/>
      <c r="EU22" s="80"/>
      <c r="EV22" s="78"/>
      <c r="EW22" s="78"/>
      <c r="EX22" s="78"/>
      <c r="EY22" s="78"/>
      <c r="EZ22" s="78"/>
      <c r="FA22" s="80"/>
      <c r="FB22" s="78"/>
      <c r="FC22" s="78"/>
      <c r="FD22" s="78"/>
      <c r="FE22" s="78"/>
      <c r="FF22" s="78"/>
      <c r="FG22" s="80"/>
      <c r="FH22" s="78"/>
      <c r="FI22" s="78"/>
      <c r="FJ22" s="78"/>
      <c r="FK22" s="78"/>
      <c r="FL22" s="78"/>
      <c r="FM22" s="80"/>
      <c r="FN22" s="78"/>
      <c r="FO22" s="78"/>
      <c r="FP22" s="78"/>
      <c r="FQ22" s="78"/>
      <c r="FR22" s="78"/>
      <c r="FS22" s="80"/>
      <c r="FT22" s="78"/>
      <c r="FU22" s="78"/>
      <c r="FV22" s="78"/>
      <c r="FW22" s="78"/>
      <c r="FX22" s="78"/>
      <c r="FY22" s="80"/>
      <c r="FZ22" s="78"/>
      <c r="GA22" s="78"/>
      <c r="GB22" s="78"/>
      <c r="GC22" s="78"/>
      <c r="GD22" s="78"/>
      <c r="GE22" s="80"/>
      <c r="GF22" s="78"/>
      <c r="GG22" s="78"/>
      <c r="GH22" s="78"/>
      <c r="GI22" s="78"/>
      <c r="GJ22" s="78"/>
      <c r="GK22" s="80"/>
      <c r="GL22" s="78"/>
      <c r="GM22" s="78"/>
      <c r="GN22" s="78"/>
      <c r="GO22" s="78"/>
      <c r="GP22" s="78"/>
      <c r="GQ22" s="80"/>
      <c r="GR22" s="78"/>
      <c r="GS22" s="78"/>
      <c r="GT22" s="78"/>
      <c r="GU22" s="78"/>
      <c r="GV22" s="78"/>
      <c r="GW22" s="80"/>
      <c r="GX22" s="78"/>
      <c r="GY22" s="78"/>
      <c r="GZ22" s="78"/>
      <c r="HA22" s="78"/>
      <c r="HB22" s="78"/>
      <c r="HC22" s="80"/>
      <c r="HD22" s="78"/>
      <c r="HE22" s="78"/>
      <c r="HF22" s="78"/>
      <c r="HG22" s="78"/>
      <c r="HH22" s="78"/>
      <c r="HI22" s="78"/>
    </row>
    <row r="23" spans="1:217" ht="13.5" thickBot="1">
      <c r="A23" s="31" t="s">
        <v>4</v>
      </c>
      <c r="C23" s="81">
        <f>SUM(C8:C22)</f>
        <v>17155000</v>
      </c>
      <c r="D23" s="81">
        <f>SUM(D8:D22)</f>
        <v>1874800</v>
      </c>
      <c r="E23" s="81">
        <f>SUM(E8:E22)</f>
        <v>19029800</v>
      </c>
      <c r="F23" s="81">
        <f>SUM(F8:F22)</f>
        <v>881911</v>
      </c>
      <c r="G23" s="81">
        <f>SUM(G8:G22)</f>
        <v>52717</v>
      </c>
      <c r="H23" s="78"/>
      <c r="I23" s="81">
        <f>SUM(I8:I22)</f>
        <v>9312178.3145</v>
      </c>
      <c r="J23" s="81">
        <f>SUM(J8:J22)</f>
        <v>1017689.99732</v>
      </c>
      <c r="K23" s="81">
        <f>SUM(K8:K22)</f>
        <v>10329868.311819999</v>
      </c>
      <c r="L23" s="81">
        <f>SUM(L8:L22)</f>
        <v>478724.13229489996</v>
      </c>
      <c r="M23" s="81">
        <f>SUM(M8:M22)</f>
        <v>28616.152970299994</v>
      </c>
      <c r="N23" s="78"/>
      <c r="O23" s="81">
        <f>SUM(O8:O22)</f>
        <v>1134720.906</v>
      </c>
      <c r="P23" s="81">
        <f>SUM(P8:P22)</f>
        <v>124009.02096</v>
      </c>
      <c r="Q23" s="81">
        <f>SUM(Q8:Q22)</f>
        <v>1258729.9269599998</v>
      </c>
      <c r="R23" s="81">
        <f>SUM(R8:R22)</f>
        <v>58334.1794772</v>
      </c>
      <c r="S23" s="81">
        <f>SUM(S8:S22)</f>
        <v>3486.9765083999996</v>
      </c>
      <c r="T23" s="78"/>
      <c r="U23" s="81">
        <f>SUM(U8:U22)</f>
        <v>19378.288</v>
      </c>
      <c r="V23" s="81">
        <f>SUM(V8:V22)</f>
        <v>2117.77408</v>
      </c>
      <c r="W23" s="81">
        <f>SUM(W8:W22)</f>
        <v>21496.06208</v>
      </c>
      <c r="X23" s="81">
        <f>SUM(X8:X22)</f>
        <v>996.2066656</v>
      </c>
      <c r="Y23" s="81">
        <f>SUM(Y8:Y22)</f>
        <v>59.54912319999999</v>
      </c>
      <c r="Z23" s="78"/>
      <c r="AA23" s="81">
        <f>SUM(AA8:AA22)</f>
        <v>87480.207</v>
      </c>
      <c r="AB23" s="81">
        <f>SUM(AB8:AB22)</f>
        <v>9560.355119999997</v>
      </c>
      <c r="AC23" s="81">
        <f>SUM(AC8:AC22)</f>
        <v>97040.56211999999</v>
      </c>
      <c r="AD23" s="81">
        <f>SUM(AD8:AD22)</f>
        <v>4497.2169533999995</v>
      </c>
      <c r="AE23" s="81">
        <f>SUM(AE8:AE22)</f>
        <v>268.82506979999994</v>
      </c>
      <c r="AF23" s="78"/>
      <c r="AG23" s="81">
        <f>SUM(AG8:AG22)</f>
        <v>1521300.2534999999</v>
      </c>
      <c r="AH23" s="81">
        <f>SUM(AH8:AH22)</f>
        <v>166256.70156000002</v>
      </c>
      <c r="AI23" s="81">
        <f>SUM(AI8:AI22)</f>
        <v>1687556.95506</v>
      </c>
      <c r="AJ23" s="81">
        <f>SUM(AJ8:AJ22)</f>
        <v>78207.60290670002</v>
      </c>
      <c r="AK23" s="81">
        <f>SUM(AK8:AK22)</f>
        <v>4674.9277449</v>
      </c>
      <c r="AL23" s="78"/>
      <c r="AM23" s="81">
        <f>SUM(AM8:AM22)</f>
        <v>18427.900999999998</v>
      </c>
      <c r="AN23" s="81">
        <f>SUM(AN8:AN22)</f>
        <v>2013.9101600000006</v>
      </c>
      <c r="AO23" s="81">
        <f>SUM(AO8:AO22)</f>
        <v>20441.81116</v>
      </c>
      <c r="AP23" s="81">
        <f>SUM(AP8:AP22)</f>
        <v>947.3487962</v>
      </c>
      <c r="AQ23" s="81">
        <f>SUM(AQ8:AQ22)</f>
        <v>56.6286014</v>
      </c>
      <c r="AR23" s="78"/>
      <c r="AS23" s="81">
        <f>SUM(AS8:AS22)</f>
        <v>15540.7145</v>
      </c>
      <c r="AT23" s="81">
        <f>SUM(AT8:AT22)</f>
        <v>1698.38132</v>
      </c>
      <c r="AU23" s="81">
        <f>SUM(AU8:AU22)</f>
        <v>17239.095820000002</v>
      </c>
      <c r="AV23" s="81">
        <f>SUM(AV8:AV22)</f>
        <v>798.9231749</v>
      </c>
      <c r="AW23" s="81">
        <f>SUM(AW8:AW22)</f>
        <v>47.7563303</v>
      </c>
      <c r="AX23" s="78"/>
      <c r="AY23" s="81">
        <f>SUM(AY8:AY22)</f>
        <v>637596.454</v>
      </c>
      <c r="AZ23" s="81">
        <f>SUM(AZ8:AZ22)</f>
        <v>69680.31663999999</v>
      </c>
      <c r="BA23" s="81">
        <f>SUM(BA8:BA22)</f>
        <v>707276.77064</v>
      </c>
      <c r="BB23" s="81">
        <f>SUM(BB8:BB22)</f>
        <v>32777.8097548</v>
      </c>
      <c r="BC23" s="81">
        <f>SUM(BC8:BC22)</f>
        <v>1959.3221956</v>
      </c>
      <c r="BD23" s="78"/>
      <c r="BE23" s="81">
        <f>SUM(BE8:BE22)</f>
        <v>1308279.7565</v>
      </c>
      <c r="BF23" s="81">
        <f>SUM(BF8:BF22)</f>
        <v>142976.56003999995</v>
      </c>
      <c r="BG23" s="81">
        <f>SUM(BG8:BG22)</f>
        <v>1451256.3165399998</v>
      </c>
      <c r="BH23" s="81">
        <f>SUM(BH8:BH22)</f>
        <v>67256.5612553</v>
      </c>
      <c r="BI23" s="81">
        <f>SUM(BI8:BI22)</f>
        <v>4020.3196691000003</v>
      </c>
      <c r="BJ23" s="78"/>
      <c r="BK23" s="81">
        <f>SUM(BK8:BK22)</f>
        <v>15103.261999999999</v>
      </c>
      <c r="BL23" s="81">
        <f>SUM(BL8:BL22)</f>
        <v>1650.57392</v>
      </c>
      <c r="BM23" s="81">
        <f>SUM(BM8:BM22)</f>
        <v>16753.835919999998</v>
      </c>
      <c r="BN23" s="81">
        <f>SUM(BN8:BN22)</f>
        <v>776.4344443999998</v>
      </c>
      <c r="BO23" s="81">
        <f>SUM(BO8:BO22)</f>
        <v>46.412046800000006</v>
      </c>
      <c r="BP23" s="78"/>
      <c r="BQ23" s="81">
        <f>SUM(BQ8:BQ22)</f>
        <v>10145.467</v>
      </c>
      <c r="BR23" s="81">
        <f>SUM(BR8:BR22)</f>
        <v>1108.7567199999999</v>
      </c>
      <c r="BS23" s="81">
        <f>SUM(BS8:BS22)</f>
        <v>11254.223720000002</v>
      </c>
      <c r="BT23" s="81">
        <f>SUM(BT8:BT22)</f>
        <v>521.5621654</v>
      </c>
      <c r="BU23" s="81">
        <f>SUM(BU8:BU22)</f>
        <v>31.176833799999997</v>
      </c>
      <c r="BV23" s="78"/>
      <c r="BW23" s="81">
        <f>SUM(BW8:BW22)</f>
        <v>-1511.3555000000001</v>
      </c>
      <c r="BX23" s="81">
        <f>SUM(BX8:BX22)</f>
        <v>-165.16988</v>
      </c>
      <c r="BY23" s="81">
        <f>SUM(BY8:BY22)</f>
        <v>-1676.52538</v>
      </c>
      <c r="BZ23" s="81">
        <f>SUM(BZ8:BZ22)</f>
        <v>-77.69635909999998</v>
      </c>
      <c r="CA23" s="81">
        <f>SUM(CA8:CA22)</f>
        <v>-4.6443677</v>
      </c>
      <c r="CB23" s="80"/>
      <c r="CC23" s="81">
        <f>SUM(CC8:CC22)</f>
        <v>-984.697</v>
      </c>
      <c r="CD23" s="81">
        <f>SUM(CD8:CD22)</f>
        <v>-107.61352</v>
      </c>
      <c r="CE23" s="81">
        <f>SUM(CE8:CE22)</f>
        <v>-1092.31052</v>
      </c>
      <c r="CF23" s="81">
        <f>SUM(CF8:CF22)</f>
        <v>-50.621691399999996</v>
      </c>
      <c r="CG23" s="81">
        <f>SUM(CG8:CG22)</f>
        <v>-3.0259557999999998</v>
      </c>
      <c r="CH23" s="78"/>
      <c r="CI23" s="81">
        <f>SUM(CI8:CI22)</f>
        <v>36619.063</v>
      </c>
      <c r="CJ23" s="81">
        <f>SUM(CJ8:CJ22)</f>
        <v>4001.9480800000006</v>
      </c>
      <c r="CK23" s="81">
        <f>SUM(CK8:CK22)</f>
        <v>40621.011080000004</v>
      </c>
      <c r="CL23" s="81">
        <f>SUM(CL8:CL22)</f>
        <v>1882.5272206</v>
      </c>
      <c r="CM23" s="81">
        <f>SUM(CM8:CM22)</f>
        <v>112.5297082</v>
      </c>
      <c r="CN23" s="78"/>
      <c r="CO23" s="81">
        <f>SUM(CO8:CO22)</f>
        <v>225193.685</v>
      </c>
      <c r="CP23" s="81">
        <f>SUM(CP8:CP22)</f>
        <v>24610.4996</v>
      </c>
      <c r="CQ23" s="81">
        <f>SUM(CQ8:CQ22)</f>
        <v>249804.18459999998</v>
      </c>
      <c r="CR23" s="81">
        <f>SUM(CR8:CR22)</f>
        <v>11576.845696999997</v>
      </c>
      <c r="CS23" s="81">
        <f>SUM(CS8:CS22)</f>
        <v>692.0160589999999</v>
      </c>
      <c r="CT23" s="78"/>
      <c r="CU23" s="81">
        <f>SUM(CU8:CU22)</f>
        <v>1512815.3905</v>
      </c>
      <c r="CV23" s="81">
        <f>SUM(CV8:CV22)</f>
        <v>165329.42547999998</v>
      </c>
      <c r="CW23" s="81">
        <f>SUM(CW8:CW22)</f>
        <v>1678144.81598</v>
      </c>
      <c r="CX23" s="81">
        <f>SUM(CX8:CX22)</f>
        <v>77771.4097261</v>
      </c>
      <c r="CY23" s="81">
        <f>SUM(CY8:CY22)</f>
        <v>4648.853916700001</v>
      </c>
      <c r="CZ23" s="78"/>
      <c r="DA23" s="81">
        <f>SUM(DA8:DA22)</f>
        <v>218266.49599999998</v>
      </c>
      <c r="DB23" s="81">
        <f>SUM(DB8:DB22)</f>
        <v>23853.45536</v>
      </c>
      <c r="DC23" s="81">
        <f>SUM(DC8:DC22)</f>
        <v>242119.95135999998</v>
      </c>
      <c r="DD23" s="81">
        <f>SUM(DD8:DD22)</f>
        <v>11220.730035199998</v>
      </c>
      <c r="DE23" s="81">
        <f>SUM(DE8:DE22)</f>
        <v>670.7289344</v>
      </c>
      <c r="DF23" s="78"/>
      <c r="DG23" s="81">
        <f>SUM(DG8:DG22)</f>
        <v>445981.966</v>
      </c>
      <c r="DH23" s="81">
        <f>SUM(DH8:DH22)</f>
        <v>48739.55056</v>
      </c>
      <c r="DI23" s="81">
        <f>SUM(DI8:DI22)</f>
        <v>494721.51655999996</v>
      </c>
      <c r="DJ23" s="81">
        <f>SUM(DJ8:DJ22)</f>
        <v>22927.216649200003</v>
      </c>
      <c r="DK23" s="81">
        <f>SUM(DK8:DK22)</f>
        <v>1370.4943924000002</v>
      </c>
      <c r="DL23" s="78"/>
      <c r="DM23" s="81">
        <f>SUM(DM8:DM22)</f>
        <v>72328.91100000001</v>
      </c>
      <c r="DN23" s="81">
        <f>SUM(DN8:DN22)</f>
        <v>7904.53176</v>
      </c>
      <c r="DO23" s="81">
        <f>SUM(DO8:DO22)</f>
        <v>80233.44276</v>
      </c>
      <c r="DP23" s="81">
        <f>SUM(DP8:DP22)</f>
        <v>3718.3131582000005</v>
      </c>
      <c r="DQ23" s="81">
        <f>SUM(DQ8:DQ22)</f>
        <v>222.26541540000002</v>
      </c>
      <c r="DR23" s="78"/>
      <c r="DS23" s="81">
        <f>SUM(DS8:DS22)</f>
        <v>371031.77099999995</v>
      </c>
      <c r="DT23" s="81">
        <f>SUM(DT8:DT22)</f>
        <v>40548.54935999999</v>
      </c>
      <c r="DU23" s="81">
        <f>SUM(DU8:DU22)</f>
        <v>411580.32036</v>
      </c>
      <c r="DV23" s="81">
        <f>SUM(DV8:DV22)</f>
        <v>19074.147490199997</v>
      </c>
      <c r="DW23" s="81">
        <f>SUM(DW8:DW22)</f>
        <v>1140.1738194000002</v>
      </c>
      <c r="DX23" s="78"/>
      <c r="DY23" s="81">
        <f>SUM(DY8:DY22)</f>
        <v>3316.0615</v>
      </c>
      <c r="DZ23" s="81">
        <f>SUM(DZ8:DZ22)</f>
        <v>362.39883999999995</v>
      </c>
      <c r="EA23" s="81">
        <f>SUM(EA8:EA22)</f>
        <v>3678.4603399999996</v>
      </c>
      <c r="EB23" s="81">
        <f>SUM(EB8:EB22)</f>
        <v>170.4733963</v>
      </c>
      <c r="EC23" s="81">
        <f>SUM(EC8:EC22)</f>
        <v>10.1901961</v>
      </c>
      <c r="ED23" s="78"/>
      <c r="EE23" s="81">
        <f>SUM(EE8:EE22)</f>
        <v>4364.232</v>
      </c>
      <c r="EF23" s="81">
        <f>SUM(EF8:EF22)</f>
        <v>476.94911999999994</v>
      </c>
      <c r="EG23" s="81">
        <f>SUM(EG8:EG22)</f>
        <v>4841.18112</v>
      </c>
      <c r="EH23" s="81">
        <f>SUM(EH8:EH22)</f>
        <v>224.3581584</v>
      </c>
      <c r="EI23" s="81">
        <f>SUM(EI8:EI22)</f>
        <v>13.4112048</v>
      </c>
      <c r="EJ23" s="78"/>
      <c r="EK23" s="81">
        <f>SUM(EK8:EK22)</f>
        <v>219904.79850000003</v>
      </c>
      <c r="EL23" s="81">
        <f>SUM(EL8:EL22)</f>
        <v>24032.498760000002</v>
      </c>
      <c r="EM23" s="81">
        <f>SUM(EM8:EM22)</f>
        <v>243937.29726000002</v>
      </c>
      <c r="EN23" s="81">
        <f>SUM(EN8:EN22)</f>
        <v>11304.9525357</v>
      </c>
      <c r="EO23" s="81">
        <f>SUM(EO8:EO22)</f>
        <v>675.7634079000001</v>
      </c>
      <c r="EP23" s="78"/>
      <c r="EQ23" s="81">
        <f>SUM(EQ8:EQ22)</f>
        <v>4185.82</v>
      </c>
      <c r="ER23" s="81">
        <f>SUM(ER8:ER22)</f>
        <v>457.4512000000001</v>
      </c>
      <c r="ES23" s="81">
        <f>SUM(ES8:ES22)</f>
        <v>4643.2712</v>
      </c>
      <c r="ET23" s="81">
        <f>SUM(ET8:ET22)</f>
        <v>215.186284</v>
      </c>
      <c r="EU23" s="81">
        <f>SUM(EU8:EU22)</f>
        <v>12.862948</v>
      </c>
      <c r="EV23" s="78"/>
      <c r="EW23" s="81">
        <f>SUM(EW8:EW22)</f>
        <v>62545.414500000006</v>
      </c>
      <c r="EX23" s="81">
        <f>SUM(EX8:EX22)</f>
        <v>6835.33332</v>
      </c>
      <c r="EY23" s="81">
        <f>SUM(EY8:EY22)</f>
        <v>69380.74782</v>
      </c>
      <c r="EZ23" s="81">
        <f>SUM(EZ8:EZ22)</f>
        <v>3215.3593149000003</v>
      </c>
      <c r="FA23" s="81">
        <f>SUM(FA8:FA22)</f>
        <v>192.20091029999998</v>
      </c>
      <c r="FB23" s="78"/>
      <c r="FC23" s="81">
        <f>SUM(FC8:FC22)</f>
        <v>43448.4685</v>
      </c>
      <c r="FD23" s="81">
        <f>SUM(FD8:FD22)</f>
        <v>4748.30596</v>
      </c>
      <c r="FE23" s="81">
        <f>SUM(FE8:FE22)</f>
        <v>48196.77446</v>
      </c>
      <c r="FF23" s="81">
        <f>SUM(FF8:FF22)</f>
        <v>2233.6159897000002</v>
      </c>
      <c r="FG23" s="81">
        <f>SUM(FG8:FG22)</f>
        <v>133.5163459</v>
      </c>
      <c r="FH23" s="78"/>
      <c r="FI23" s="81">
        <f>SUM(FI8:FI22)</f>
        <v>16961.1485</v>
      </c>
      <c r="FJ23" s="81">
        <f>SUM(FJ8:FJ22)</f>
        <v>1853.6147600000002</v>
      </c>
      <c r="FK23" s="81">
        <f>SUM(FK8:FK22)</f>
        <v>18814.76326</v>
      </c>
      <c r="FL23" s="81">
        <f>SUM(FL8:FL22)</f>
        <v>871.9454056999999</v>
      </c>
      <c r="FM23" s="81">
        <f>SUM(FM8:FM22)</f>
        <v>52.12129789999999</v>
      </c>
      <c r="FN23" s="78"/>
      <c r="FO23" s="81">
        <f>SUM(FO8:FO22)</f>
        <v>190610.9205</v>
      </c>
      <c r="FP23" s="81">
        <f>SUM(FP8:FP22)</f>
        <v>20831.090279999997</v>
      </c>
      <c r="FQ23" s="81">
        <f>SUM(FQ8:FQ22)</f>
        <v>211442.01078</v>
      </c>
      <c r="FR23" s="81">
        <f>SUM(FR8:FR22)</f>
        <v>9799.001312100001</v>
      </c>
      <c r="FS23" s="81">
        <f>SUM(FS8:FS22)</f>
        <v>585.7438587</v>
      </c>
      <c r="FT23" s="78"/>
      <c r="FU23" s="81">
        <f>SUM(FU8:FU22)</f>
        <v>429598.94100000005</v>
      </c>
      <c r="FV23" s="81">
        <f>SUM(FV8:FV22)</f>
        <v>46949.11656000001</v>
      </c>
      <c r="FW23" s="81">
        <f>SUM(FW8:FW22)</f>
        <v>476548.05756</v>
      </c>
      <c r="FX23" s="81">
        <f>SUM(FX8:FX22)</f>
        <v>22084.9916442</v>
      </c>
      <c r="FY23" s="81">
        <f>SUM(FY8:FY22)</f>
        <v>1320.1496574</v>
      </c>
      <c r="FZ23" s="78"/>
      <c r="GA23" s="81">
        <f>SUM(GA8:GA22)</f>
        <v>54822.2335</v>
      </c>
      <c r="GB23" s="81">
        <f>SUM(GB8:GB22)</f>
        <v>5991.29836</v>
      </c>
      <c r="GC23" s="81">
        <f>SUM(GC8:GC22)</f>
        <v>60813.53186000001</v>
      </c>
      <c r="GD23" s="81">
        <f>SUM(GD8:GD22)</f>
        <v>2818.3229827</v>
      </c>
      <c r="GE23" s="81">
        <f>SUM(GE8:GE22)</f>
        <v>168.4677169</v>
      </c>
      <c r="GF23" s="78"/>
      <c r="GG23" s="81">
        <f>SUM(GG8:GG22)</f>
        <v>87058.194</v>
      </c>
      <c r="GH23" s="81">
        <f>SUM(GH8:GH22)</f>
        <v>9514.23504</v>
      </c>
      <c r="GI23" s="81">
        <f>SUM(GI8:GI22)</f>
        <v>96572.42904</v>
      </c>
      <c r="GJ23" s="81">
        <f>SUM(GJ8:GJ22)</f>
        <v>4475.521942800001</v>
      </c>
      <c r="GK23" s="81">
        <f>SUM(GK8:GK22)</f>
        <v>267.52823159999997</v>
      </c>
      <c r="GL23" s="78"/>
      <c r="GM23" s="81">
        <f>SUM(GM8:GM22)</f>
        <v>403466.7295</v>
      </c>
      <c r="GN23" s="81">
        <f>SUM(GN8:GN22)</f>
        <v>44093.23372</v>
      </c>
      <c r="GO23" s="81">
        <f>SUM(GO8:GO22)</f>
        <v>447559.96322000003</v>
      </c>
      <c r="GP23" s="81">
        <f>SUM(GP8:GP22)</f>
        <v>20741.5766179</v>
      </c>
      <c r="GQ23" s="81">
        <f>SUM(GQ8:GQ22)</f>
        <v>1239.8458512999998</v>
      </c>
      <c r="GR23" s="78"/>
      <c r="GS23" s="81">
        <f>SUM(GS8:GS22)</f>
        <v>21412.871</v>
      </c>
      <c r="GT23" s="81">
        <f>SUM(GT8:GT22)</f>
        <v>2340.12536</v>
      </c>
      <c r="GU23" s="81">
        <f>SUM(GU8:GU22)</f>
        <v>23752.99636</v>
      </c>
      <c r="GV23" s="81">
        <f>SUM(GV8:GV22)</f>
        <v>1100.8013102000004</v>
      </c>
      <c r="GW23" s="81">
        <f>SUM(GW8:GW22)</f>
        <v>65.80135940000001</v>
      </c>
      <c r="GX23" s="78"/>
      <c r="GY23" s="81">
        <f>SUM(GY8:GY22)</f>
        <v>122768.04200000002</v>
      </c>
      <c r="GZ23" s="81">
        <f>SUM(GZ8:GZ22)</f>
        <v>13416.818720000001</v>
      </c>
      <c r="HA23" s="81">
        <f>SUM(HA8:HA22)</f>
        <v>136184.86072000003</v>
      </c>
      <c r="HB23" s="81">
        <f>SUM(HB8:HB22)</f>
        <v>6311.3078804</v>
      </c>
      <c r="HC23" s="81">
        <f>SUM(HC8:HC22)</f>
        <v>377.26393880000006</v>
      </c>
      <c r="HD23" s="78"/>
      <c r="HE23" s="78"/>
      <c r="HF23" s="78"/>
      <c r="HG23" s="78"/>
      <c r="HH23" s="78"/>
      <c r="HI23" s="78"/>
    </row>
    <row r="24" ht="13.5" thickTop="1"/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M6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2011B Bond Issue</v>
      </c>
      <c r="AB2" s="33"/>
      <c r="AC2" s="33"/>
      <c r="AD2" s="33"/>
      <c r="AH2" s="33"/>
      <c r="AI2" s="45"/>
      <c r="AM2" s="43" t="str">
        <f>AA2</f>
        <v>Distribution of Debt Services after 2011B Bond Issue</v>
      </c>
      <c r="AR2"/>
      <c r="AS2"/>
      <c r="AT2"/>
      <c r="AU2" s="45"/>
      <c r="AV2"/>
      <c r="AW2"/>
      <c r="AY2" s="43" t="str">
        <f>AM2</f>
        <v>Distribution of Debt Services after 2011B Bond Issue</v>
      </c>
      <c r="BG2" s="45"/>
      <c r="BK2" s="43" t="str">
        <f>AY2</f>
        <v>Distribution of Debt Services after 2011B Bond Issue</v>
      </c>
      <c r="BS2" s="45"/>
      <c r="BW2" s="43" t="str">
        <f>BK2</f>
        <v>Distribution of Debt Services after 2011B Bond Issue</v>
      </c>
      <c r="CE2" s="45"/>
      <c r="CI2" s="43" t="str">
        <f>BW2</f>
        <v>Distribution of Debt Services after 2011B Bond Issue</v>
      </c>
      <c r="CQ2" s="45"/>
      <c r="CU2" s="43" t="str">
        <f>CI2</f>
        <v>Distribution of Debt Services after 2011B Bond Issue</v>
      </c>
      <c r="DC2" s="45"/>
      <c r="DG2" s="43" t="str">
        <f>CU2</f>
        <v>Distribution of Debt Services after 2011B Bond Issue</v>
      </c>
      <c r="DM2" s="20"/>
      <c r="DN2" s="20"/>
      <c r="DO2" s="45"/>
      <c r="DP2" s="20"/>
      <c r="DQ2" s="20"/>
      <c r="DS2" s="43" t="str">
        <f>DG2</f>
        <v>Distribution of Debt Services after 2011B Bond Issue</v>
      </c>
      <c r="EA2" s="45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70" t="s">
        <v>182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73" t="s">
        <v>183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98" t="s">
        <v>176</v>
      </c>
      <c r="DA6" s="47"/>
      <c r="DB6" s="32">
        <v>0.0131079</v>
      </c>
      <c r="DC6" s="48"/>
      <c r="DD6" s="41" t="s">
        <v>168</v>
      </c>
      <c r="DE6" s="98" t="s">
        <v>176</v>
      </c>
      <c r="DG6" s="47"/>
      <c r="DH6" s="32">
        <v>0.0005051</v>
      </c>
      <c r="DI6" s="48"/>
      <c r="DJ6" s="41" t="s">
        <v>168</v>
      </c>
      <c r="DK6" s="98" t="s">
        <v>176</v>
      </c>
      <c r="DM6" s="86"/>
      <c r="DN6" s="87">
        <v>0.0276518</v>
      </c>
      <c r="DO6" s="88"/>
      <c r="DP6" s="85" t="s">
        <v>168</v>
      </c>
      <c r="DQ6" s="98" t="s">
        <v>176</v>
      </c>
      <c r="DS6" s="47"/>
      <c r="DT6" s="32">
        <v>0.0043534</v>
      </c>
      <c r="DU6" s="48"/>
      <c r="DV6" s="41" t="s">
        <v>168</v>
      </c>
      <c r="DW6" s="98" t="s">
        <v>176</v>
      </c>
      <c r="DY6" s="47"/>
      <c r="DZ6" s="32">
        <v>0.0224029</v>
      </c>
      <c r="EA6" s="48"/>
      <c r="EB6" s="41" t="s">
        <v>168</v>
      </c>
      <c r="EC6" s="98" t="s">
        <v>176</v>
      </c>
      <c r="EE6" s="47"/>
      <c r="EF6" s="32">
        <v>0.0063958</v>
      </c>
      <c r="EG6" s="48"/>
      <c r="EH6" s="41" t="s">
        <v>168</v>
      </c>
      <c r="EI6" s="98" t="s">
        <v>176</v>
      </c>
      <c r="EK6" s="47"/>
      <c r="EL6" s="32">
        <v>6.42E-05</v>
      </c>
      <c r="EM6" s="48"/>
      <c r="EN6" s="41" t="s">
        <v>168</v>
      </c>
      <c r="EO6" s="98" t="s">
        <v>176</v>
      </c>
      <c r="EQ6" s="47"/>
      <c r="ER6" s="32">
        <v>0.0001192</v>
      </c>
      <c r="ES6" s="48"/>
      <c r="ET6" s="41" t="s">
        <v>168</v>
      </c>
      <c r="EU6" s="98" t="s">
        <v>176</v>
      </c>
      <c r="EW6" s="47"/>
      <c r="EX6" s="32">
        <v>0.0215476</v>
      </c>
      <c r="EY6" s="48"/>
      <c r="EZ6" s="41" t="s">
        <v>168</v>
      </c>
      <c r="FA6" s="98" t="s">
        <v>176</v>
      </c>
      <c r="FC6" s="47"/>
      <c r="FD6" s="32">
        <v>0.0400516</v>
      </c>
      <c r="FE6" s="48"/>
      <c r="FF6" s="41" t="s">
        <v>168</v>
      </c>
      <c r="FG6" s="98" t="s">
        <v>176</v>
      </c>
      <c r="FI6" s="47"/>
      <c r="FJ6" s="32"/>
      <c r="FK6" s="48"/>
      <c r="FL6" s="41" t="s">
        <v>168</v>
      </c>
      <c r="FM6" s="98" t="s">
        <v>176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9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184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184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184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184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184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184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184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184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184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184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184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184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184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184</v>
      </c>
      <c r="CU7" s="27" t="s">
        <v>11</v>
      </c>
      <c r="CV7" s="27" t="s">
        <v>12</v>
      </c>
      <c r="CW7" s="27" t="s">
        <v>4</v>
      </c>
      <c r="CX7" s="41" t="s">
        <v>169</v>
      </c>
      <c r="CY7" s="98" t="s">
        <v>184</v>
      </c>
      <c r="DA7" s="27" t="s">
        <v>11</v>
      </c>
      <c r="DB7" s="27" t="s">
        <v>12</v>
      </c>
      <c r="DC7" s="27" t="s">
        <v>4</v>
      </c>
      <c r="DD7" s="41" t="s">
        <v>169</v>
      </c>
      <c r="DE7" s="98" t="s">
        <v>184</v>
      </c>
      <c r="DG7" s="27" t="s">
        <v>11</v>
      </c>
      <c r="DH7" s="27" t="s">
        <v>12</v>
      </c>
      <c r="DI7" s="27" t="s">
        <v>4</v>
      </c>
      <c r="DJ7" s="41" t="s">
        <v>169</v>
      </c>
      <c r="DK7" s="98" t="s">
        <v>184</v>
      </c>
      <c r="DM7" s="89" t="s">
        <v>11</v>
      </c>
      <c r="DN7" s="89" t="s">
        <v>12</v>
      </c>
      <c r="DO7" s="89" t="s">
        <v>4</v>
      </c>
      <c r="DP7" s="85" t="s">
        <v>169</v>
      </c>
      <c r="DQ7" s="98" t="s">
        <v>184</v>
      </c>
      <c r="DS7" s="27" t="s">
        <v>11</v>
      </c>
      <c r="DT7" s="27" t="s">
        <v>12</v>
      </c>
      <c r="DU7" s="27" t="s">
        <v>4</v>
      </c>
      <c r="DV7" s="41" t="s">
        <v>169</v>
      </c>
      <c r="DW7" s="98" t="s">
        <v>184</v>
      </c>
      <c r="DY7" s="27" t="s">
        <v>11</v>
      </c>
      <c r="DZ7" s="27" t="s">
        <v>12</v>
      </c>
      <c r="EA7" s="27" t="s">
        <v>4</v>
      </c>
      <c r="EB7" s="41" t="s">
        <v>169</v>
      </c>
      <c r="EC7" s="98" t="s">
        <v>184</v>
      </c>
      <c r="EE7" s="27" t="s">
        <v>11</v>
      </c>
      <c r="EF7" s="27" t="s">
        <v>12</v>
      </c>
      <c r="EG7" s="27" t="s">
        <v>4</v>
      </c>
      <c r="EH7" s="41" t="s">
        <v>169</v>
      </c>
      <c r="EI7" s="98" t="s">
        <v>184</v>
      </c>
      <c r="EK7" s="27" t="s">
        <v>11</v>
      </c>
      <c r="EL7" s="27" t="s">
        <v>12</v>
      </c>
      <c r="EM7" s="27" t="s">
        <v>4</v>
      </c>
      <c r="EN7" s="41" t="s">
        <v>169</v>
      </c>
      <c r="EO7" s="98" t="s">
        <v>184</v>
      </c>
      <c r="EQ7" s="27" t="s">
        <v>11</v>
      </c>
      <c r="ER7" s="27" t="s">
        <v>12</v>
      </c>
      <c r="ES7" s="27" t="s">
        <v>4</v>
      </c>
      <c r="ET7" s="41" t="s">
        <v>169</v>
      </c>
      <c r="EU7" s="98" t="s">
        <v>184</v>
      </c>
      <c r="EW7" s="27" t="s">
        <v>11</v>
      </c>
      <c r="EX7" s="27" t="s">
        <v>12</v>
      </c>
      <c r="EY7" s="27" t="s">
        <v>4</v>
      </c>
      <c r="EZ7" s="41" t="s">
        <v>169</v>
      </c>
      <c r="FA7" s="98" t="s">
        <v>184</v>
      </c>
      <c r="FC7" s="27" t="s">
        <v>11</v>
      </c>
      <c r="FD7" s="27" t="s">
        <v>12</v>
      </c>
      <c r="FE7" s="27" t="s">
        <v>4</v>
      </c>
      <c r="FF7" s="41" t="s">
        <v>169</v>
      </c>
      <c r="FG7" s="98" t="s">
        <v>184</v>
      </c>
      <c r="FI7" s="27" t="s">
        <v>11</v>
      </c>
      <c r="FJ7" s="27" t="s">
        <v>12</v>
      </c>
      <c r="FK7" s="27" t="s">
        <v>4</v>
      </c>
      <c r="FL7" s="41" t="s">
        <v>169</v>
      </c>
      <c r="FM7" s="98" t="s">
        <v>184</v>
      </c>
    </row>
    <row r="8" spans="1:169" ht="12.75">
      <c r="A8" s="19">
        <v>43009</v>
      </c>
      <c r="C8" s="36"/>
      <c r="D8" s="36">
        <v>439488</v>
      </c>
      <c r="E8" s="77">
        <f aca="true" t="shared" si="0" ref="E8:E21">C8+D8</f>
        <v>439488</v>
      </c>
      <c r="F8" s="77">
        <v>91653</v>
      </c>
      <c r="G8" s="77">
        <v>4485</v>
      </c>
      <c r="H8" s="78"/>
      <c r="I8" s="79">
        <f>'2011B Academic'!I8</f>
        <v>0</v>
      </c>
      <c r="J8" s="79">
        <f>'2011B Academic'!J8</f>
        <v>238565.46913920002</v>
      </c>
      <c r="K8" s="79">
        <f aca="true" t="shared" si="1" ref="K8:K21">I8+J8</f>
        <v>238565.46913920002</v>
      </c>
      <c r="L8" s="79">
        <f>'2011B Academic'!L8</f>
        <v>49751.6222127</v>
      </c>
      <c r="M8" s="79">
        <f>'2011B Academic'!M8</f>
        <v>2434.5741615</v>
      </c>
      <c r="N8" s="78"/>
      <c r="O8" s="78">
        <f aca="true" t="shared" si="2" ref="O8:P21">U8+AA8+AG8+AM8+AS8+AY8+BE8+BK8+BQ8+BW8+CC8+CI8+CO8+CU8+DA8+DG8+DM8+DS8+DY8+EE8+EK8+EQ8+EW8+FC8</f>
        <v>0</v>
      </c>
      <c r="P8" s="80">
        <f t="shared" si="2"/>
        <v>200922.5308608</v>
      </c>
      <c r="Q8" s="78">
        <f aca="true" t="shared" si="3" ref="Q8:Q21">O8+P8</f>
        <v>200922.5308608</v>
      </c>
      <c r="R8" s="78">
        <f aca="true" t="shared" si="4" ref="R8:S21">X8+AD8+AJ8+AP8+AV8+BB8+BH8+BN8+BT8+BZ8+CF8+CL8+CR8+CX8+DD8+DJ8+DP8+DV8+EB8+EH8+EN8+ET8+EZ8+FF8+FL8</f>
        <v>41901.37778729999</v>
      </c>
      <c r="S8" s="78">
        <f t="shared" si="4"/>
        <v>2050.4258385</v>
      </c>
      <c r="T8" s="78"/>
      <c r="U8" s="78"/>
      <c r="V8" s="77">
        <f aca="true" t="shared" si="5" ref="V8:V21">D8*8.1724/100</f>
        <v>35916.717312</v>
      </c>
      <c r="W8" s="78">
        <f aca="true" t="shared" si="6" ref="W8:W21">U8+V8</f>
        <v>35916.717312</v>
      </c>
      <c r="X8" s="78">
        <f aca="true" t="shared" si="7" ref="X8:X21">V$6*$F8</f>
        <v>7490.249772</v>
      </c>
      <c r="Y8" s="77">
        <f aca="true" t="shared" si="8" ref="Y8:Y21">V$6*$G8</f>
        <v>366.53214</v>
      </c>
      <c r="Z8" s="78"/>
      <c r="AA8" s="78"/>
      <c r="AB8" s="78">
        <f aca="true" t="shared" si="9" ref="AB8:AB21">D8*5.95646/100</f>
        <v>26177.9269248</v>
      </c>
      <c r="AC8" s="78">
        <f aca="true" t="shared" si="10" ref="AC8:AC21">AA8+AB8</f>
        <v>26177.9269248</v>
      </c>
      <c r="AD8" s="78">
        <f aca="true" t="shared" si="11" ref="AD8:AD21">AB$6*$F8</f>
        <v>5459.2742838</v>
      </c>
      <c r="AE8" s="77">
        <f aca="true" t="shared" si="12" ref="AE8:AE21">AB$6*$G8</f>
        <v>267.14723100000003</v>
      </c>
      <c r="AF8" s="78"/>
      <c r="AG8" s="78"/>
      <c r="AH8" s="78">
        <f aca="true" t="shared" si="13" ref="AH8:AH21">D8*3.15804/100</f>
        <v>13879.206835200002</v>
      </c>
      <c r="AI8" s="78">
        <f aca="true" t="shared" si="14" ref="AI8:AI21">AG8+AH8</f>
        <v>13879.206835200002</v>
      </c>
      <c r="AJ8" s="78">
        <f aca="true" t="shared" si="15" ref="AJ8:AJ21">AH$6*$F8</f>
        <v>2894.4384012</v>
      </c>
      <c r="AK8" s="77">
        <f aca="true" t="shared" si="16" ref="AK8:AK21">AH$6*$G8</f>
        <v>141.638094</v>
      </c>
      <c r="AL8" s="78"/>
      <c r="AM8" s="78"/>
      <c r="AN8" s="78">
        <f aca="true" t="shared" si="17" ref="AN8:AN21">D8*2.2968/100</f>
        <v>10094.160384</v>
      </c>
      <c r="AO8" s="78">
        <f aca="true" t="shared" si="18" ref="AO8:AO21">AM8+AN8</f>
        <v>10094.160384</v>
      </c>
      <c r="AP8" s="78">
        <f aca="true" t="shared" si="19" ref="AP8:AP21">AN$6*$F8</f>
        <v>2105.086104</v>
      </c>
      <c r="AQ8" s="77">
        <f aca="true" t="shared" si="20" ref="AQ8:AQ21">AN$6*$G8</f>
        <v>103.01147999999999</v>
      </c>
      <c r="AR8" s="78"/>
      <c r="AS8" s="78"/>
      <c r="AT8" s="78">
        <f aca="true" t="shared" si="21" ref="AT8:AT21">D8*0.26309/100</f>
        <v>1156.2489792000001</v>
      </c>
      <c r="AU8" s="78">
        <f aca="true" t="shared" si="22" ref="AU8:AU21">AS8+AT8</f>
        <v>1156.2489792000001</v>
      </c>
      <c r="AV8" s="78">
        <f aca="true" t="shared" si="23" ref="AV8:AV21">AT$6*$F8</f>
        <v>241.12987769999998</v>
      </c>
      <c r="AW8" s="77">
        <f aca="true" t="shared" si="24" ref="AW8:AW21">AT$6*$G8</f>
        <v>11.799586499999998</v>
      </c>
      <c r="AX8" s="78"/>
      <c r="AY8" s="78"/>
      <c r="AZ8" s="78">
        <f aca="true" t="shared" si="25" ref="AZ8:AZ21">D8*4.16229/100</f>
        <v>18292.765075199997</v>
      </c>
      <c r="BA8" s="78">
        <f aca="true" t="shared" si="26" ref="BA8:BA21">AY8+AZ8</f>
        <v>18292.765075199997</v>
      </c>
      <c r="BB8" s="78">
        <f aca="true" t="shared" si="27" ref="BB8:BB21">AZ$6*$F8</f>
        <v>3814.8636536999998</v>
      </c>
      <c r="BC8" s="77">
        <f aca="true" t="shared" si="28" ref="BC8:BC21">AZ$6*$G8</f>
        <v>186.67870649999998</v>
      </c>
      <c r="BD8" s="78"/>
      <c r="BE8" s="78"/>
      <c r="BF8" s="78">
        <f aca="true" t="shared" si="29" ref="BF8:BF21">D8*0.45121/100</f>
        <v>1983.0138048</v>
      </c>
      <c r="BG8" s="78">
        <f aca="true" t="shared" si="30" ref="BG8:BG21">BE8+BF8</f>
        <v>1983.0138048</v>
      </c>
      <c r="BH8" s="78">
        <f aca="true" t="shared" si="31" ref="BH8:BH21">BF$6*$F8</f>
        <v>413.54750129999996</v>
      </c>
      <c r="BI8" s="77">
        <f aca="true" t="shared" si="32" ref="BI8:BI21">BF$6*$G8</f>
        <v>20.2367685</v>
      </c>
      <c r="BJ8" s="78"/>
      <c r="BK8" s="78"/>
      <c r="BL8" s="78">
        <f aca="true" t="shared" si="33" ref="BL8:BL21">D8*1.41147/100</f>
        <v>6203.241273600001</v>
      </c>
      <c r="BM8" s="78">
        <f aca="true" t="shared" si="34" ref="BM8:BM21">BK8+BL8</f>
        <v>6203.241273600001</v>
      </c>
      <c r="BN8" s="78">
        <f aca="true" t="shared" si="35" ref="BN8:BN21">BL$6*$F8</f>
        <v>1293.6545991</v>
      </c>
      <c r="BO8" s="77">
        <f aca="true" t="shared" si="36" ref="BO8:BO21">BL$6*$G8</f>
        <v>63.304429500000005</v>
      </c>
      <c r="BP8" s="78"/>
      <c r="BQ8" s="78"/>
      <c r="BR8" s="78">
        <f aca="true" t="shared" si="37" ref="BR8:BR21">D8*0.71579/100</f>
        <v>3145.8111552</v>
      </c>
      <c r="BS8" s="78">
        <f aca="true" t="shared" si="38" ref="BS8:BS21">BQ8+BR8</f>
        <v>3145.8111552</v>
      </c>
      <c r="BT8" s="78">
        <f aca="true" t="shared" si="39" ref="BT8:BT21">BR$6*$F8</f>
        <v>656.0430087</v>
      </c>
      <c r="BU8" s="77">
        <f aca="true" t="shared" si="40" ref="BU8:BU21">BR$6*$G8</f>
        <v>32.1031815</v>
      </c>
      <c r="BV8" s="78"/>
      <c r="BW8" s="78"/>
      <c r="BX8" s="78">
        <f aca="true" t="shared" si="41" ref="BX8:BX21">D8*0.13901/100</f>
        <v>610.9322688</v>
      </c>
      <c r="BY8" s="78">
        <f aca="true" t="shared" si="42" ref="BY8:BY21">BW8+BX8</f>
        <v>610.9322688</v>
      </c>
      <c r="BZ8" s="78">
        <f aca="true" t="shared" si="43" ref="BZ8:BZ21">BX$6*$F8</f>
        <v>127.4068353</v>
      </c>
      <c r="CA8" s="77">
        <f aca="true" t="shared" si="44" ref="CA8:CA21">BX$6*$G8</f>
        <v>6.2345985</v>
      </c>
      <c r="CB8" s="78"/>
      <c r="CC8" s="78"/>
      <c r="CD8" s="78">
        <f aca="true" t="shared" si="45" ref="CD8:CD21">D8*0.55234/100</f>
        <v>2427.4680192</v>
      </c>
      <c r="CE8" s="78">
        <f aca="true" t="shared" si="46" ref="CE8:CE21">CC8+CD8</f>
        <v>2427.4680192</v>
      </c>
      <c r="CF8" s="78">
        <f aca="true" t="shared" si="47" ref="CF8:CF21">CD$6*$F8</f>
        <v>506.23618020000004</v>
      </c>
      <c r="CG8" s="77">
        <f aca="true" t="shared" si="48" ref="CG8:CG21">CD$6*$G8</f>
        <v>24.772449</v>
      </c>
      <c r="CH8" s="78"/>
      <c r="CI8" s="78"/>
      <c r="CJ8" s="78">
        <f aca="true" t="shared" si="49" ref="CJ8:CJ21">D8*1.34713/100</f>
        <v>5920.4746944</v>
      </c>
      <c r="CK8" s="78">
        <f aca="true" t="shared" si="50" ref="CK8:CK21">CI8+CJ8</f>
        <v>5920.4746944</v>
      </c>
      <c r="CL8" s="78">
        <f aca="true" t="shared" si="51" ref="CL8:CL21">CJ$6*$F8</f>
        <v>1234.6850589</v>
      </c>
      <c r="CM8" s="77">
        <f aca="true" t="shared" si="52" ref="CM8:CM21">CJ$6*$G8</f>
        <v>60.418780500000004</v>
      </c>
      <c r="CN8" s="78"/>
      <c r="CO8" s="78"/>
      <c r="CP8" s="78">
        <f aca="true" t="shared" si="53" ref="CP8:CP21">D8*3.01524/100</f>
        <v>13251.6179712</v>
      </c>
      <c r="CQ8" s="78">
        <f aca="true" t="shared" si="54" ref="CQ8:CQ21">CO8+CP8</f>
        <v>13251.6179712</v>
      </c>
      <c r="CR8" s="78">
        <f aca="true" t="shared" si="55" ref="CR8:CR21">CP$6*$F8</f>
        <v>2763.5579172</v>
      </c>
      <c r="CS8" s="77">
        <f aca="true" t="shared" si="56" ref="CS8:CS21">CP$6*$G8</f>
        <v>135.23351399999999</v>
      </c>
      <c r="CT8" s="78"/>
      <c r="CU8" s="78"/>
      <c r="CV8" s="78">
        <f aca="true" t="shared" si="57" ref="CV8:CV21">D8*0.45619/100</f>
        <v>2004.9003071999998</v>
      </c>
      <c r="CW8" s="78">
        <f aca="true" t="shared" si="58" ref="CW8:CW21">CU8+CV8</f>
        <v>2004.9003071999998</v>
      </c>
      <c r="CX8" s="78">
        <f aca="true" t="shared" si="59" ref="CX8:CX21">CV$6*$F8</f>
        <v>418.1118207</v>
      </c>
      <c r="CY8" s="77">
        <f aca="true" t="shared" si="60" ref="CY8:CY21">CV$6*$G8</f>
        <v>20.4601215</v>
      </c>
      <c r="CZ8" s="78"/>
      <c r="DA8" s="78"/>
      <c r="DB8" s="78">
        <f aca="true" t="shared" si="61" ref="DB8:DB21">D8*1.31079/100</f>
        <v>5760.7647552</v>
      </c>
      <c r="DC8" s="78">
        <f aca="true" t="shared" si="62" ref="DC8:DC21">DA8+DB8</f>
        <v>5760.7647552</v>
      </c>
      <c r="DD8" s="78">
        <f aca="true" t="shared" si="63" ref="DD8:DD21">DB$6*$F8</f>
        <v>1201.3783587</v>
      </c>
      <c r="DE8" s="77">
        <f aca="true" t="shared" si="64" ref="DE8:DE21">DB$6*$G8</f>
        <v>58.788931500000004</v>
      </c>
      <c r="DF8" s="78"/>
      <c r="DG8" s="78"/>
      <c r="DH8" s="78">
        <f aca="true" t="shared" si="65" ref="DH8:DH21">D8*0.05051/100</f>
        <v>221.9853888</v>
      </c>
      <c r="DI8" s="78">
        <f aca="true" t="shared" si="66" ref="DI8:DI21">DG8+DH8</f>
        <v>221.9853888</v>
      </c>
      <c r="DJ8" s="78">
        <f aca="true" t="shared" si="67" ref="DJ8:DJ21">DH$6*$F8</f>
        <v>46.2939303</v>
      </c>
      <c r="DK8" s="77">
        <f aca="true" t="shared" si="68" ref="DK8:DK21">DH$6*$G8</f>
        <v>2.2653735</v>
      </c>
      <c r="DL8" s="78"/>
      <c r="DM8" s="90"/>
      <c r="DN8" s="90">
        <f aca="true" t="shared" si="69" ref="DN8:DN21">D8*2.76518/100</f>
        <v>12152.6342784</v>
      </c>
      <c r="DO8" s="90">
        <f aca="true" t="shared" si="70" ref="DO8:DO21">DM8+DN8</f>
        <v>12152.6342784</v>
      </c>
      <c r="DP8" s="90">
        <f aca="true" t="shared" si="71" ref="DP8:DP21">DN$6*$F8</f>
        <v>2534.3704254</v>
      </c>
      <c r="DQ8" s="94">
        <f aca="true" t="shared" si="72" ref="DQ8:DQ21">DN$6*$G8</f>
        <v>124.01832300000001</v>
      </c>
      <c r="DR8" s="78"/>
      <c r="DS8" s="78"/>
      <c r="DT8" s="78">
        <f aca="true" t="shared" si="73" ref="DT8:DT21">D8*0.43534/100</f>
        <v>1913.2670592000002</v>
      </c>
      <c r="DU8" s="78">
        <f aca="true" t="shared" si="74" ref="DU8:DU21">DS8+DT8</f>
        <v>1913.2670592000002</v>
      </c>
      <c r="DV8" s="78">
        <f aca="true" t="shared" si="75" ref="DV8:DV21">DT$6*$F8</f>
        <v>399.0021702</v>
      </c>
      <c r="DW8" s="77">
        <f aca="true" t="shared" si="76" ref="DW8:DW21">DT$6*$G8</f>
        <v>19.524999</v>
      </c>
      <c r="DX8" s="78"/>
      <c r="DY8" s="78"/>
      <c r="DZ8" s="78">
        <f aca="true" t="shared" si="77" ref="DZ8:DZ21">D8*2.24029/100</f>
        <v>9845.8057152</v>
      </c>
      <c r="EA8" s="78">
        <f aca="true" t="shared" si="78" ref="EA8:EA21">DY8+DZ8</f>
        <v>9845.8057152</v>
      </c>
      <c r="EB8" s="78">
        <f aca="true" t="shared" si="79" ref="EB8:EB21">DZ$6*$F8</f>
        <v>2053.2929937</v>
      </c>
      <c r="EC8" s="77">
        <f aca="true" t="shared" si="80" ref="EC8:EC21">DZ$6*$G8</f>
        <v>100.4770065</v>
      </c>
      <c r="ED8" s="78"/>
      <c r="EE8" s="78"/>
      <c r="EF8" s="78">
        <f aca="true" t="shared" si="81" ref="EF8:EF21">D8*0.63958/100</f>
        <v>2810.8773504</v>
      </c>
      <c r="EG8" s="78">
        <f aca="true" t="shared" si="82" ref="EG8:EG21">EE8+EF8</f>
        <v>2810.8773504</v>
      </c>
      <c r="EH8" s="78">
        <f aca="true" t="shared" si="83" ref="EH8:EH21">EF$6*$F8</f>
        <v>586.1942574</v>
      </c>
      <c r="EI8" s="77">
        <f aca="true" t="shared" si="84" ref="EI8:EI21">EF$6*$G8</f>
        <v>28.685163</v>
      </c>
      <c r="EJ8" s="78"/>
      <c r="EK8" s="78"/>
      <c r="EL8" s="78">
        <f aca="true" t="shared" si="85" ref="EL8:EL21">D8*0.00642/100</f>
        <v>28.2151296</v>
      </c>
      <c r="EM8" s="78">
        <f aca="true" t="shared" si="86" ref="EM8:EM21">EK8+EL8</f>
        <v>28.2151296</v>
      </c>
      <c r="EN8" s="78">
        <f aca="true" t="shared" si="87" ref="EN8:EN21">EL$6*$F8</f>
        <v>5.8841226</v>
      </c>
      <c r="EO8" s="77">
        <f aca="true" t="shared" si="88" ref="EO8:EO21">EL$6*$G8</f>
        <v>0.287937</v>
      </c>
      <c r="EP8" s="78"/>
      <c r="EQ8" s="78"/>
      <c r="ER8" s="78">
        <f aca="true" t="shared" si="89" ref="ER8:ER21">D8*0.01192/100</f>
        <v>52.3869696</v>
      </c>
      <c r="ES8" s="78">
        <f aca="true" t="shared" si="90" ref="ES8:ES21">EQ8+ER8</f>
        <v>52.3869696</v>
      </c>
      <c r="ET8" s="78">
        <f aca="true" t="shared" si="91" ref="ET8:ET21">ER$6*$F8</f>
        <v>10.9250376</v>
      </c>
      <c r="EU8" s="77">
        <f aca="true" t="shared" si="92" ref="EU8:EU21">ER$6*$G8</f>
        <v>0.534612</v>
      </c>
      <c r="EV8" s="78"/>
      <c r="EW8" s="78"/>
      <c r="EX8" s="78">
        <f aca="true" t="shared" si="93" ref="EX8:EX21">D8*2.15476/100</f>
        <v>9469.9116288</v>
      </c>
      <c r="EY8" s="78">
        <f aca="true" t="shared" si="94" ref="EY8:EY21">EW8+EX8</f>
        <v>9469.9116288</v>
      </c>
      <c r="EZ8" s="78">
        <f aca="true" t="shared" si="95" ref="EZ8:EZ21">EX$6*$F8</f>
        <v>1974.9021828</v>
      </c>
      <c r="FA8" s="77">
        <f aca="true" t="shared" si="96" ref="FA8:FA21">EX$6*$G8</f>
        <v>96.640986</v>
      </c>
      <c r="FB8" s="78"/>
      <c r="FC8" s="78"/>
      <c r="FD8" s="78">
        <f aca="true" t="shared" si="97" ref="FD8:FD21">D8*4.00516/100</f>
        <v>17602.1975808</v>
      </c>
      <c r="FE8" s="78">
        <f aca="true" t="shared" si="98" ref="FE8:FE21">FC8+FD8</f>
        <v>17602.1975808</v>
      </c>
      <c r="FF8" s="78">
        <f aca="true" t="shared" si="99" ref="FF8:FF21">FD$6*$F8</f>
        <v>3670.8492948</v>
      </c>
      <c r="FG8" s="77">
        <f aca="true" t="shared" si="100" ref="FG8:FG21">FD$6*$G8</f>
        <v>179.631426</v>
      </c>
      <c r="FH8" s="78"/>
      <c r="FI8" s="80"/>
      <c r="FJ8" s="78"/>
      <c r="FK8" s="78"/>
      <c r="FL8" s="78"/>
      <c r="FM8" s="77">
        <f aca="true" t="shared" si="101" ref="FM8:FM21">FJ$6*$G8</f>
        <v>0</v>
      </c>
    </row>
    <row r="9" spans="1:169" s="52" customFormat="1" ht="12.75">
      <c r="A9" s="51">
        <v>43191</v>
      </c>
      <c r="C9" s="42"/>
      <c r="D9" s="42">
        <v>439488</v>
      </c>
      <c r="E9" s="77">
        <f t="shared" si="0"/>
        <v>439488</v>
      </c>
      <c r="F9" s="77">
        <v>91653</v>
      </c>
      <c r="G9" s="77">
        <v>4485</v>
      </c>
      <c r="H9" s="79"/>
      <c r="I9" s="79">
        <f>'2011B Academic'!I9</f>
        <v>0</v>
      </c>
      <c r="J9" s="79">
        <f>'2011B Academic'!J9</f>
        <v>238565.46913920002</v>
      </c>
      <c r="K9" s="79">
        <f t="shared" si="1"/>
        <v>238565.46913920002</v>
      </c>
      <c r="L9" s="79">
        <f>'2011B Academic'!L9</f>
        <v>49751.6222127</v>
      </c>
      <c r="M9" s="79">
        <f>'2011B Academic'!M9</f>
        <v>2434.5741615</v>
      </c>
      <c r="N9" s="79"/>
      <c r="O9" s="78">
        <f t="shared" si="2"/>
        <v>0</v>
      </c>
      <c r="P9" s="80">
        <f t="shared" si="2"/>
        <v>200922.5308608</v>
      </c>
      <c r="Q9" s="78">
        <f t="shared" si="3"/>
        <v>200922.5308608</v>
      </c>
      <c r="R9" s="78">
        <f t="shared" si="4"/>
        <v>41901.37778729999</v>
      </c>
      <c r="S9" s="78">
        <f t="shared" si="4"/>
        <v>2050.4258385</v>
      </c>
      <c r="T9" s="79"/>
      <c r="U9" s="78">
        <f aca="true" t="shared" si="102" ref="U9:U21">C9*8.1724/100</f>
        <v>0</v>
      </c>
      <c r="V9" s="77">
        <f t="shared" si="5"/>
        <v>35916.717312</v>
      </c>
      <c r="W9" s="78">
        <f t="shared" si="6"/>
        <v>35916.717312</v>
      </c>
      <c r="X9" s="78">
        <f t="shared" si="7"/>
        <v>7490.249772</v>
      </c>
      <c r="Y9" s="77">
        <f t="shared" si="8"/>
        <v>366.53214</v>
      </c>
      <c r="Z9" s="79"/>
      <c r="AA9" s="78">
        <f aca="true" t="shared" si="103" ref="AA9:AA21">C9*5.95646/100</f>
        <v>0</v>
      </c>
      <c r="AB9" s="78">
        <f t="shared" si="9"/>
        <v>26177.9269248</v>
      </c>
      <c r="AC9" s="78">
        <f t="shared" si="10"/>
        <v>26177.9269248</v>
      </c>
      <c r="AD9" s="78">
        <f t="shared" si="11"/>
        <v>5459.2742838</v>
      </c>
      <c r="AE9" s="77">
        <f t="shared" si="12"/>
        <v>267.14723100000003</v>
      </c>
      <c r="AF9" s="79"/>
      <c r="AG9" s="78">
        <f aca="true" t="shared" si="104" ref="AG9:AG21">C9*3.15804/100</f>
        <v>0</v>
      </c>
      <c r="AH9" s="78">
        <f t="shared" si="13"/>
        <v>13879.206835200002</v>
      </c>
      <c r="AI9" s="78">
        <f t="shared" si="14"/>
        <v>13879.206835200002</v>
      </c>
      <c r="AJ9" s="78">
        <f t="shared" si="15"/>
        <v>2894.4384012</v>
      </c>
      <c r="AK9" s="77">
        <f t="shared" si="16"/>
        <v>141.638094</v>
      </c>
      <c r="AL9" s="79"/>
      <c r="AM9" s="78">
        <f aca="true" t="shared" si="105" ref="AM9:AM21">C9*2.2968/100</f>
        <v>0</v>
      </c>
      <c r="AN9" s="78">
        <f t="shared" si="17"/>
        <v>10094.160384</v>
      </c>
      <c r="AO9" s="78">
        <f t="shared" si="18"/>
        <v>10094.160384</v>
      </c>
      <c r="AP9" s="78">
        <f t="shared" si="19"/>
        <v>2105.086104</v>
      </c>
      <c r="AQ9" s="77">
        <f t="shared" si="20"/>
        <v>103.01147999999999</v>
      </c>
      <c r="AR9" s="79"/>
      <c r="AS9" s="78">
        <f aca="true" t="shared" si="106" ref="AS9:AS21">C9*0.26309/100</f>
        <v>0</v>
      </c>
      <c r="AT9" s="78">
        <f t="shared" si="21"/>
        <v>1156.2489792000001</v>
      </c>
      <c r="AU9" s="78">
        <f t="shared" si="22"/>
        <v>1156.2489792000001</v>
      </c>
      <c r="AV9" s="78">
        <f t="shared" si="23"/>
        <v>241.12987769999998</v>
      </c>
      <c r="AW9" s="77">
        <f t="shared" si="24"/>
        <v>11.799586499999998</v>
      </c>
      <c r="AX9" s="79"/>
      <c r="AY9" s="78">
        <f aca="true" t="shared" si="107" ref="AY9:AY21">C9*4.16229/100</f>
        <v>0</v>
      </c>
      <c r="AZ9" s="78">
        <f t="shared" si="25"/>
        <v>18292.765075199997</v>
      </c>
      <c r="BA9" s="78">
        <f t="shared" si="26"/>
        <v>18292.765075199997</v>
      </c>
      <c r="BB9" s="78">
        <f t="shared" si="27"/>
        <v>3814.8636536999998</v>
      </c>
      <c r="BC9" s="77">
        <f t="shared" si="28"/>
        <v>186.67870649999998</v>
      </c>
      <c r="BD9" s="79"/>
      <c r="BE9" s="78">
        <f aca="true" t="shared" si="108" ref="BE9:BE21">C9*0.45121/100</f>
        <v>0</v>
      </c>
      <c r="BF9" s="78">
        <f t="shared" si="29"/>
        <v>1983.0138048</v>
      </c>
      <c r="BG9" s="78">
        <f t="shared" si="30"/>
        <v>1983.0138048</v>
      </c>
      <c r="BH9" s="78">
        <f t="shared" si="31"/>
        <v>413.54750129999996</v>
      </c>
      <c r="BI9" s="77">
        <f t="shared" si="32"/>
        <v>20.2367685</v>
      </c>
      <c r="BJ9" s="79"/>
      <c r="BK9" s="78">
        <f aca="true" t="shared" si="109" ref="BK9:BK21">C9*1.41147/100</f>
        <v>0</v>
      </c>
      <c r="BL9" s="78">
        <f t="shared" si="33"/>
        <v>6203.241273600001</v>
      </c>
      <c r="BM9" s="78">
        <f t="shared" si="34"/>
        <v>6203.241273600001</v>
      </c>
      <c r="BN9" s="78">
        <f t="shared" si="35"/>
        <v>1293.6545991</v>
      </c>
      <c r="BO9" s="77">
        <f t="shared" si="36"/>
        <v>63.304429500000005</v>
      </c>
      <c r="BP9" s="79"/>
      <c r="BQ9" s="78">
        <f aca="true" t="shared" si="110" ref="BQ9:BQ21">C9*0.71579/100</f>
        <v>0</v>
      </c>
      <c r="BR9" s="78">
        <f t="shared" si="37"/>
        <v>3145.8111552</v>
      </c>
      <c r="BS9" s="78">
        <f t="shared" si="38"/>
        <v>3145.8111552</v>
      </c>
      <c r="BT9" s="78">
        <f t="shared" si="39"/>
        <v>656.0430087</v>
      </c>
      <c r="BU9" s="77">
        <f t="shared" si="40"/>
        <v>32.1031815</v>
      </c>
      <c r="BV9" s="79"/>
      <c r="BW9" s="78">
        <f aca="true" t="shared" si="111" ref="BW9:BW21">C9*0.13901/100</f>
        <v>0</v>
      </c>
      <c r="BX9" s="78">
        <f t="shared" si="41"/>
        <v>610.9322688</v>
      </c>
      <c r="BY9" s="78">
        <f t="shared" si="42"/>
        <v>610.9322688</v>
      </c>
      <c r="BZ9" s="78">
        <f t="shared" si="43"/>
        <v>127.4068353</v>
      </c>
      <c r="CA9" s="77">
        <f t="shared" si="44"/>
        <v>6.2345985</v>
      </c>
      <c r="CB9" s="79"/>
      <c r="CC9" s="78">
        <f aca="true" t="shared" si="112" ref="CC9:CC21">C9*0.55234/100</f>
        <v>0</v>
      </c>
      <c r="CD9" s="78">
        <f t="shared" si="45"/>
        <v>2427.4680192</v>
      </c>
      <c r="CE9" s="78">
        <f t="shared" si="46"/>
        <v>2427.4680192</v>
      </c>
      <c r="CF9" s="78">
        <f t="shared" si="47"/>
        <v>506.23618020000004</v>
      </c>
      <c r="CG9" s="77">
        <f t="shared" si="48"/>
        <v>24.772449</v>
      </c>
      <c r="CH9" s="79"/>
      <c r="CI9" s="78">
        <f aca="true" t="shared" si="113" ref="CI9:CI21">C9*1.34713/100</f>
        <v>0</v>
      </c>
      <c r="CJ9" s="78">
        <f t="shared" si="49"/>
        <v>5920.4746944</v>
      </c>
      <c r="CK9" s="78">
        <f t="shared" si="50"/>
        <v>5920.4746944</v>
      </c>
      <c r="CL9" s="78">
        <f t="shared" si="51"/>
        <v>1234.6850589</v>
      </c>
      <c r="CM9" s="77">
        <f t="shared" si="52"/>
        <v>60.418780500000004</v>
      </c>
      <c r="CN9" s="79"/>
      <c r="CO9" s="78">
        <f aca="true" t="shared" si="114" ref="CO9:CO21">C9*3.01524/100</f>
        <v>0</v>
      </c>
      <c r="CP9" s="78">
        <f t="shared" si="53"/>
        <v>13251.6179712</v>
      </c>
      <c r="CQ9" s="78">
        <f t="shared" si="54"/>
        <v>13251.6179712</v>
      </c>
      <c r="CR9" s="78">
        <f t="shared" si="55"/>
        <v>2763.5579172</v>
      </c>
      <c r="CS9" s="77">
        <f t="shared" si="56"/>
        <v>135.23351399999999</v>
      </c>
      <c r="CT9" s="79"/>
      <c r="CU9" s="78">
        <f aca="true" t="shared" si="115" ref="CU9:CU21">C9*0.45619/100</f>
        <v>0</v>
      </c>
      <c r="CV9" s="78">
        <f t="shared" si="57"/>
        <v>2004.9003071999998</v>
      </c>
      <c r="CW9" s="78">
        <f t="shared" si="58"/>
        <v>2004.9003071999998</v>
      </c>
      <c r="CX9" s="78">
        <f t="shared" si="59"/>
        <v>418.1118207</v>
      </c>
      <c r="CY9" s="77">
        <f t="shared" si="60"/>
        <v>20.4601215</v>
      </c>
      <c r="CZ9" s="79"/>
      <c r="DA9" s="78">
        <f aca="true" t="shared" si="116" ref="DA9:DA21">C9*1.31079/100</f>
        <v>0</v>
      </c>
      <c r="DB9" s="78">
        <f t="shared" si="61"/>
        <v>5760.7647552</v>
      </c>
      <c r="DC9" s="78">
        <f t="shared" si="62"/>
        <v>5760.7647552</v>
      </c>
      <c r="DD9" s="78">
        <f t="shared" si="63"/>
        <v>1201.3783587</v>
      </c>
      <c r="DE9" s="77">
        <f t="shared" si="64"/>
        <v>58.788931500000004</v>
      </c>
      <c r="DF9" s="79"/>
      <c r="DG9" s="78">
        <f aca="true" t="shared" si="117" ref="DG9:DG21">C9*0.05051/100</f>
        <v>0</v>
      </c>
      <c r="DH9" s="78">
        <f t="shared" si="65"/>
        <v>221.9853888</v>
      </c>
      <c r="DI9" s="78">
        <f t="shared" si="66"/>
        <v>221.9853888</v>
      </c>
      <c r="DJ9" s="78">
        <f t="shared" si="67"/>
        <v>46.2939303</v>
      </c>
      <c r="DK9" s="77">
        <f t="shared" si="68"/>
        <v>2.2653735</v>
      </c>
      <c r="DL9" s="79"/>
      <c r="DM9" s="90">
        <f aca="true" t="shared" si="118" ref="DM9:DM21">C9*2.76518/100</f>
        <v>0</v>
      </c>
      <c r="DN9" s="90">
        <f t="shared" si="69"/>
        <v>12152.6342784</v>
      </c>
      <c r="DO9" s="90">
        <f t="shared" si="70"/>
        <v>12152.6342784</v>
      </c>
      <c r="DP9" s="90">
        <f t="shared" si="71"/>
        <v>2534.3704254</v>
      </c>
      <c r="DQ9" s="94">
        <f t="shared" si="72"/>
        <v>124.01832300000001</v>
      </c>
      <c r="DR9" s="79"/>
      <c r="DS9" s="78">
        <f aca="true" t="shared" si="119" ref="DS9:DS21">C9*0.43534/100</f>
        <v>0</v>
      </c>
      <c r="DT9" s="78">
        <f t="shared" si="73"/>
        <v>1913.2670592000002</v>
      </c>
      <c r="DU9" s="78">
        <f t="shared" si="74"/>
        <v>1913.2670592000002</v>
      </c>
      <c r="DV9" s="78">
        <f t="shared" si="75"/>
        <v>399.0021702</v>
      </c>
      <c r="DW9" s="77">
        <f t="shared" si="76"/>
        <v>19.524999</v>
      </c>
      <c r="DX9" s="79"/>
      <c r="DY9" s="78">
        <f aca="true" t="shared" si="120" ref="DY9:DY21">C9*2.24029/100</f>
        <v>0</v>
      </c>
      <c r="DZ9" s="78">
        <f t="shared" si="77"/>
        <v>9845.8057152</v>
      </c>
      <c r="EA9" s="78">
        <f t="shared" si="78"/>
        <v>9845.8057152</v>
      </c>
      <c r="EB9" s="78">
        <f t="shared" si="79"/>
        <v>2053.2929937</v>
      </c>
      <c r="EC9" s="77">
        <f t="shared" si="80"/>
        <v>100.4770065</v>
      </c>
      <c r="ED9" s="79"/>
      <c r="EE9" s="78">
        <f aca="true" t="shared" si="121" ref="EE9:EE21">C9*0.63958/100</f>
        <v>0</v>
      </c>
      <c r="EF9" s="78">
        <f t="shared" si="81"/>
        <v>2810.8773504</v>
      </c>
      <c r="EG9" s="78">
        <f t="shared" si="82"/>
        <v>2810.8773504</v>
      </c>
      <c r="EH9" s="78">
        <f t="shared" si="83"/>
        <v>586.1942574</v>
      </c>
      <c r="EI9" s="77">
        <f t="shared" si="84"/>
        <v>28.685163</v>
      </c>
      <c r="EJ9" s="79"/>
      <c r="EK9" s="78">
        <f aca="true" t="shared" si="122" ref="EK9:EK21">C9*0.00642/100</f>
        <v>0</v>
      </c>
      <c r="EL9" s="78">
        <f t="shared" si="85"/>
        <v>28.2151296</v>
      </c>
      <c r="EM9" s="78">
        <f t="shared" si="86"/>
        <v>28.2151296</v>
      </c>
      <c r="EN9" s="78">
        <f t="shared" si="87"/>
        <v>5.8841226</v>
      </c>
      <c r="EO9" s="77">
        <f t="shared" si="88"/>
        <v>0.287937</v>
      </c>
      <c r="EP9" s="79"/>
      <c r="EQ9" s="78">
        <f aca="true" t="shared" si="123" ref="EQ9:EQ21">C9*0.01192/100</f>
        <v>0</v>
      </c>
      <c r="ER9" s="78">
        <f t="shared" si="89"/>
        <v>52.3869696</v>
      </c>
      <c r="ES9" s="78">
        <f t="shared" si="90"/>
        <v>52.3869696</v>
      </c>
      <c r="ET9" s="78">
        <f t="shared" si="91"/>
        <v>10.9250376</v>
      </c>
      <c r="EU9" s="77">
        <f t="shared" si="92"/>
        <v>0.534612</v>
      </c>
      <c r="EV9" s="79"/>
      <c r="EW9" s="78">
        <f aca="true" t="shared" si="124" ref="EW9:EW21">C9*2.15476/100</f>
        <v>0</v>
      </c>
      <c r="EX9" s="78">
        <f t="shared" si="93"/>
        <v>9469.9116288</v>
      </c>
      <c r="EY9" s="78">
        <f t="shared" si="94"/>
        <v>9469.9116288</v>
      </c>
      <c r="EZ9" s="78">
        <f t="shared" si="95"/>
        <v>1974.9021828</v>
      </c>
      <c r="FA9" s="77">
        <f t="shared" si="96"/>
        <v>96.640986</v>
      </c>
      <c r="FB9" s="79"/>
      <c r="FC9" s="78">
        <f aca="true" t="shared" si="125" ref="FC9:FC21">C9*4.00516/100</f>
        <v>0</v>
      </c>
      <c r="FD9" s="78">
        <f t="shared" si="97"/>
        <v>17602.1975808</v>
      </c>
      <c r="FE9" s="78">
        <f t="shared" si="98"/>
        <v>17602.1975808</v>
      </c>
      <c r="FF9" s="78">
        <f t="shared" si="99"/>
        <v>3670.8492948</v>
      </c>
      <c r="FG9" s="77">
        <f t="shared" si="100"/>
        <v>179.631426</v>
      </c>
      <c r="FH9" s="79"/>
      <c r="FI9" s="80"/>
      <c r="FJ9" s="78"/>
      <c r="FK9" s="78"/>
      <c r="FL9" s="78"/>
      <c r="FM9" s="77">
        <f t="shared" si="101"/>
        <v>0</v>
      </c>
    </row>
    <row r="10" spans="1:169" s="52" customFormat="1" ht="12.75">
      <c r="A10" s="51">
        <v>43374</v>
      </c>
      <c r="C10" s="42"/>
      <c r="D10" s="42">
        <v>439488</v>
      </c>
      <c r="E10" s="77">
        <f t="shared" si="0"/>
        <v>439488</v>
      </c>
      <c r="F10" s="77">
        <v>91653</v>
      </c>
      <c r="G10" s="77">
        <v>4485</v>
      </c>
      <c r="H10" s="79"/>
      <c r="I10" s="79">
        <f>'2011B Academic'!I10</f>
        <v>0</v>
      </c>
      <c r="J10" s="79">
        <f>'2011B Academic'!J10</f>
        <v>238565.46913920002</v>
      </c>
      <c r="K10" s="79">
        <f t="shared" si="1"/>
        <v>238565.46913920002</v>
      </c>
      <c r="L10" s="79">
        <f>'2011B Academic'!L10</f>
        <v>49751.6222127</v>
      </c>
      <c r="M10" s="79">
        <f>'2011B Academic'!M10</f>
        <v>2434.5741615</v>
      </c>
      <c r="N10" s="79"/>
      <c r="O10" s="78">
        <f t="shared" si="2"/>
        <v>0</v>
      </c>
      <c r="P10" s="80">
        <f t="shared" si="2"/>
        <v>200922.5308608</v>
      </c>
      <c r="Q10" s="78">
        <f t="shared" si="3"/>
        <v>200922.5308608</v>
      </c>
      <c r="R10" s="78">
        <f t="shared" si="4"/>
        <v>41901.37778729999</v>
      </c>
      <c r="S10" s="78">
        <f t="shared" si="4"/>
        <v>2050.4258385</v>
      </c>
      <c r="T10" s="79"/>
      <c r="U10" s="78"/>
      <c r="V10" s="77">
        <f t="shared" si="5"/>
        <v>35916.717312</v>
      </c>
      <c r="W10" s="78">
        <f t="shared" si="6"/>
        <v>35916.717312</v>
      </c>
      <c r="X10" s="78">
        <f t="shared" si="7"/>
        <v>7490.249772</v>
      </c>
      <c r="Y10" s="77">
        <f t="shared" si="8"/>
        <v>366.53214</v>
      </c>
      <c r="Z10" s="79"/>
      <c r="AA10" s="78"/>
      <c r="AB10" s="78">
        <f t="shared" si="9"/>
        <v>26177.9269248</v>
      </c>
      <c r="AC10" s="78">
        <f t="shared" si="10"/>
        <v>26177.9269248</v>
      </c>
      <c r="AD10" s="78">
        <f t="shared" si="11"/>
        <v>5459.2742838</v>
      </c>
      <c r="AE10" s="77">
        <f t="shared" si="12"/>
        <v>267.14723100000003</v>
      </c>
      <c r="AF10" s="79"/>
      <c r="AG10" s="78"/>
      <c r="AH10" s="78">
        <f t="shared" si="13"/>
        <v>13879.206835200002</v>
      </c>
      <c r="AI10" s="78">
        <f t="shared" si="14"/>
        <v>13879.206835200002</v>
      </c>
      <c r="AJ10" s="78">
        <f t="shared" si="15"/>
        <v>2894.4384012</v>
      </c>
      <c r="AK10" s="77">
        <f t="shared" si="16"/>
        <v>141.638094</v>
      </c>
      <c r="AL10" s="79"/>
      <c r="AM10" s="78"/>
      <c r="AN10" s="78">
        <f t="shared" si="17"/>
        <v>10094.160384</v>
      </c>
      <c r="AO10" s="78">
        <f t="shared" si="18"/>
        <v>10094.160384</v>
      </c>
      <c r="AP10" s="78">
        <f t="shared" si="19"/>
        <v>2105.086104</v>
      </c>
      <c r="AQ10" s="77">
        <f t="shared" si="20"/>
        <v>103.01147999999999</v>
      </c>
      <c r="AR10" s="79"/>
      <c r="AS10" s="78"/>
      <c r="AT10" s="78">
        <f t="shared" si="21"/>
        <v>1156.2489792000001</v>
      </c>
      <c r="AU10" s="78">
        <f t="shared" si="22"/>
        <v>1156.2489792000001</v>
      </c>
      <c r="AV10" s="78">
        <f t="shared" si="23"/>
        <v>241.12987769999998</v>
      </c>
      <c r="AW10" s="77">
        <f t="shared" si="24"/>
        <v>11.799586499999998</v>
      </c>
      <c r="AX10" s="79"/>
      <c r="AY10" s="78"/>
      <c r="AZ10" s="78">
        <f t="shared" si="25"/>
        <v>18292.765075199997</v>
      </c>
      <c r="BA10" s="78">
        <f t="shared" si="26"/>
        <v>18292.765075199997</v>
      </c>
      <c r="BB10" s="78">
        <f t="shared" si="27"/>
        <v>3814.8636536999998</v>
      </c>
      <c r="BC10" s="77">
        <f t="shared" si="28"/>
        <v>186.67870649999998</v>
      </c>
      <c r="BD10" s="79"/>
      <c r="BE10" s="78"/>
      <c r="BF10" s="78">
        <f t="shared" si="29"/>
        <v>1983.0138048</v>
      </c>
      <c r="BG10" s="78">
        <f t="shared" si="30"/>
        <v>1983.0138048</v>
      </c>
      <c r="BH10" s="78">
        <f t="shared" si="31"/>
        <v>413.54750129999996</v>
      </c>
      <c r="BI10" s="77">
        <f t="shared" si="32"/>
        <v>20.2367685</v>
      </c>
      <c r="BJ10" s="79"/>
      <c r="BK10" s="78"/>
      <c r="BL10" s="78">
        <f t="shared" si="33"/>
        <v>6203.241273600001</v>
      </c>
      <c r="BM10" s="78">
        <f t="shared" si="34"/>
        <v>6203.241273600001</v>
      </c>
      <c r="BN10" s="78">
        <f t="shared" si="35"/>
        <v>1293.6545991</v>
      </c>
      <c r="BO10" s="77">
        <f t="shared" si="36"/>
        <v>63.304429500000005</v>
      </c>
      <c r="BP10" s="79"/>
      <c r="BQ10" s="78"/>
      <c r="BR10" s="78">
        <f t="shared" si="37"/>
        <v>3145.8111552</v>
      </c>
      <c r="BS10" s="78">
        <f t="shared" si="38"/>
        <v>3145.8111552</v>
      </c>
      <c r="BT10" s="78">
        <f t="shared" si="39"/>
        <v>656.0430087</v>
      </c>
      <c r="BU10" s="77">
        <f t="shared" si="40"/>
        <v>32.1031815</v>
      </c>
      <c r="BV10" s="79"/>
      <c r="BW10" s="78"/>
      <c r="BX10" s="78">
        <f t="shared" si="41"/>
        <v>610.9322688</v>
      </c>
      <c r="BY10" s="78">
        <f t="shared" si="42"/>
        <v>610.9322688</v>
      </c>
      <c r="BZ10" s="78">
        <f t="shared" si="43"/>
        <v>127.4068353</v>
      </c>
      <c r="CA10" s="77">
        <f t="shared" si="44"/>
        <v>6.2345985</v>
      </c>
      <c r="CB10" s="79"/>
      <c r="CC10" s="78"/>
      <c r="CD10" s="78">
        <f t="shared" si="45"/>
        <v>2427.4680192</v>
      </c>
      <c r="CE10" s="78">
        <f t="shared" si="46"/>
        <v>2427.4680192</v>
      </c>
      <c r="CF10" s="78">
        <f t="shared" si="47"/>
        <v>506.23618020000004</v>
      </c>
      <c r="CG10" s="77">
        <f t="shared" si="48"/>
        <v>24.772449</v>
      </c>
      <c r="CH10" s="79"/>
      <c r="CI10" s="78"/>
      <c r="CJ10" s="78">
        <f t="shared" si="49"/>
        <v>5920.4746944</v>
      </c>
      <c r="CK10" s="78">
        <f t="shared" si="50"/>
        <v>5920.4746944</v>
      </c>
      <c r="CL10" s="78">
        <f t="shared" si="51"/>
        <v>1234.6850589</v>
      </c>
      <c r="CM10" s="77">
        <f t="shared" si="52"/>
        <v>60.418780500000004</v>
      </c>
      <c r="CN10" s="79"/>
      <c r="CO10" s="78"/>
      <c r="CP10" s="78">
        <f t="shared" si="53"/>
        <v>13251.6179712</v>
      </c>
      <c r="CQ10" s="78">
        <f t="shared" si="54"/>
        <v>13251.6179712</v>
      </c>
      <c r="CR10" s="78">
        <f t="shared" si="55"/>
        <v>2763.5579172</v>
      </c>
      <c r="CS10" s="77">
        <f t="shared" si="56"/>
        <v>135.23351399999999</v>
      </c>
      <c r="CT10" s="79"/>
      <c r="CU10" s="78"/>
      <c r="CV10" s="78">
        <f t="shared" si="57"/>
        <v>2004.9003071999998</v>
      </c>
      <c r="CW10" s="78">
        <f t="shared" si="58"/>
        <v>2004.9003071999998</v>
      </c>
      <c r="CX10" s="78">
        <f t="shared" si="59"/>
        <v>418.1118207</v>
      </c>
      <c r="CY10" s="77">
        <f t="shared" si="60"/>
        <v>20.4601215</v>
      </c>
      <c r="CZ10" s="79"/>
      <c r="DA10" s="78"/>
      <c r="DB10" s="78">
        <f t="shared" si="61"/>
        <v>5760.7647552</v>
      </c>
      <c r="DC10" s="78">
        <f t="shared" si="62"/>
        <v>5760.7647552</v>
      </c>
      <c r="DD10" s="78">
        <f t="shared" si="63"/>
        <v>1201.3783587</v>
      </c>
      <c r="DE10" s="77">
        <f t="shared" si="64"/>
        <v>58.788931500000004</v>
      </c>
      <c r="DF10" s="79"/>
      <c r="DG10" s="78"/>
      <c r="DH10" s="78">
        <f t="shared" si="65"/>
        <v>221.9853888</v>
      </c>
      <c r="DI10" s="78">
        <f t="shared" si="66"/>
        <v>221.9853888</v>
      </c>
      <c r="DJ10" s="78">
        <f t="shared" si="67"/>
        <v>46.2939303</v>
      </c>
      <c r="DK10" s="77">
        <f t="shared" si="68"/>
        <v>2.2653735</v>
      </c>
      <c r="DL10" s="79"/>
      <c r="DM10" s="90"/>
      <c r="DN10" s="90">
        <f t="shared" si="69"/>
        <v>12152.6342784</v>
      </c>
      <c r="DO10" s="90">
        <f t="shared" si="70"/>
        <v>12152.6342784</v>
      </c>
      <c r="DP10" s="90">
        <f t="shared" si="71"/>
        <v>2534.3704254</v>
      </c>
      <c r="DQ10" s="94">
        <f t="shared" si="72"/>
        <v>124.01832300000001</v>
      </c>
      <c r="DR10" s="79"/>
      <c r="DS10" s="78"/>
      <c r="DT10" s="78">
        <f t="shared" si="73"/>
        <v>1913.2670592000002</v>
      </c>
      <c r="DU10" s="78">
        <f t="shared" si="74"/>
        <v>1913.2670592000002</v>
      </c>
      <c r="DV10" s="78">
        <f t="shared" si="75"/>
        <v>399.0021702</v>
      </c>
      <c r="DW10" s="77">
        <f t="shared" si="76"/>
        <v>19.524999</v>
      </c>
      <c r="DX10" s="79"/>
      <c r="DY10" s="78"/>
      <c r="DZ10" s="78">
        <f t="shared" si="77"/>
        <v>9845.8057152</v>
      </c>
      <c r="EA10" s="78">
        <f t="shared" si="78"/>
        <v>9845.8057152</v>
      </c>
      <c r="EB10" s="78">
        <f t="shared" si="79"/>
        <v>2053.2929937</v>
      </c>
      <c r="EC10" s="77">
        <f t="shared" si="80"/>
        <v>100.4770065</v>
      </c>
      <c r="ED10" s="79"/>
      <c r="EE10" s="78"/>
      <c r="EF10" s="78">
        <f t="shared" si="81"/>
        <v>2810.8773504</v>
      </c>
      <c r="EG10" s="78">
        <f t="shared" si="82"/>
        <v>2810.8773504</v>
      </c>
      <c r="EH10" s="78">
        <f t="shared" si="83"/>
        <v>586.1942574</v>
      </c>
      <c r="EI10" s="77">
        <f t="shared" si="84"/>
        <v>28.685163</v>
      </c>
      <c r="EJ10" s="79"/>
      <c r="EK10" s="78"/>
      <c r="EL10" s="78">
        <f t="shared" si="85"/>
        <v>28.2151296</v>
      </c>
      <c r="EM10" s="78">
        <f t="shared" si="86"/>
        <v>28.2151296</v>
      </c>
      <c r="EN10" s="78">
        <f t="shared" si="87"/>
        <v>5.8841226</v>
      </c>
      <c r="EO10" s="77">
        <f t="shared" si="88"/>
        <v>0.287937</v>
      </c>
      <c r="EP10" s="79"/>
      <c r="EQ10" s="78"/>
      <c r="ER10" s="78">
        <f t="shared" si="89"/>
        <v>52.3869696</v>
      </c>
      <c r="ES10" s="78">
        <f t="shared" si="90"/>
        <v>52.3869696</v>
      </c>
      <c r="ET10" s="78">
        <f t="shared" si="91"/>
        <v>10.9250376</v>
      </c>
      <c r="EU10" s="77">
        <f t="shared" si="92"/>
        <v>0.534612</v>
      </c>
      <c r="EV10" s="79"/>
      <c r="EW10" s="78"/>
      <c r="EX10" s="78">
        <f t="shared" si="93"/>
        <v>9469.9116288</v>
      </c>
      <c r="EY10" s="78">
        <f t="shared" si="94"/>
        <v>9469.9116288</v>
      </c>
      <c r="EZ10" s="78">
        <f t="shared" si="95"/>
        <v>1974.9021828</v>
      </c>
      <c r="FA10" s="77">
        <f t="shared" si="96"/>
        <v>96.640986</v>
      </c>
      <c r="FB10" s="79"/>
      <c r="FC10" s="78"/>
      <c r="FD10" s="78">
        <f t="shared" si="97"/>
        <v>17602.1975808</v>
      </c>
      <c r="FE10" s="78">
        <f t="shared" si="98"/>
        <v>17602.1975808</v>
      </c>
      <c r="FF10" s="78">
        <f t="shared" si="99"/>
        <v>3670.8492948</v>
      </c>
      <c r="FG10" s="77">
        <f t="shared" si="100"/>
        <v>179.631426</v>
      </c>
      <c r="FH10" s="79"/>
      <c r="FI10" s="80"/>
      <c r="FJ10" s="78"/>
      <c r="FK10" s="78"/>
      <c r="FL10" s="78"/>
      <c r="FM10" s="77">
        <f t="shared" si="101"/>
        <v>0</v>
      </c>
    </row>
    <row r="11" spans="1:169" s="52" customFormat="1" ht="12.75">
      <c r="A11" s="51">
        <v>43556</v>
      </c>
      <c r="C11" s="42">
        <v>5000</v>
      </c>
      <c r="D11" s="42">
        <v>439488</v>
      </c>
      <c r="E11" s="77">
        <f t="shared" si="0"/>
        <v>444488</v>
      </c>
      <c r="F11" s="77">
        <v>91653</v>
      </c>
      <c r="G11" s="77">
        <v>4485</v>
      </c>
      <c r="H11" s="79"/>
      <c r="I11" s="79">
        <f>'2011B Academic'!I11</f>
        <v>2714.1295</v>
      </c>
      <c r="J11" s="79">
        <f>'2011B Academic'!J11</f>
        <v>238565.46913920002</v>
      </c>
      <c r="K11" s="79">
        <f t="shared" si="1"/>
        <v>241279.59863920003</v>
      </c>
      <c r="L11" s="79">
        <f>'2011B Academic'!L11</f>
        <v>49751.6222127</v>
      </c>
      <c r="M11" s="79">
        <f>'2011B Academic'!M11</f>
        <v>2434.5741615</v>
      </c>
      <c r="N11" s="79"/>
      <c r="O11" s="78">
        <f t="shared" si="2"/>
        <v>2285.8705</v>
      </c>
      <c r="P11" s="80">
        <f t="shared" si="2"/>
        <v>200922.5308608</v>
      </c>
      <c r="Q11" s="78">
        <f t="shared" si="3"/>
        <v>203208.4013608</v>
      </c>
      <c r="R11" s="78">
        <f t="shared" si="4"/>
        <v>41901.37778729999</v>
      </c>
      <c r="S11" s="78">
        <f t="shared" si="4"/>
        <v>2050.4258385</v>
      </c>
      <c r="T11" s="79"/>
      <c r="U11" s="78">
        <f t="shared" si="102"/>
        <v>408.62</v>
      </c>
      <c r="V11" s="77">
        <f t="shared" si="5"/>
        <v>35916.717312</v>
      </c>
      <c r="W11" s="78">
        <f t="shared" si="6"/>
        <v>36325.337312</v>
      </c>
      <c r="X11" s="78">
        <f t="shared" si="7"/>
        <v>7490.249772</v>
      </c>
      <c r="Y11" s="77">
        <f t="shared" si="8"/>
        <v>366.53214</v>
      </c>
      <c r="Z11" s="79"/>
      <c r="AA11" s="78">
        <f t="shared" si="103"/>
        <v>297.823</v>
      </c>
      <c r="AB11" s="78">
        <f t="shared" si="9"/>
        <v>26177.9269248</v>
      </c>
      <c r="AC11" s="78">
        <f t="shared" si="10"/>
        <v>26475.7499248</v>
      </c>
      <c r="AD11" s="78">
        <f t="shared" si="11"/>
        <v>5459.2742838</v>
      </c>
      <c r="AE11" s="77">
        <f t="shared" si="12"/>
        <v>267.14723100000003</v>
      </c>
      <c r="AF11" s="79"/>
      <c r="AG11" s="78">
        <f t="shared" si="104"/>
        <v>157.90200000000002</v>
      </c>
      <c r="AH11" s="78">
        <f t="shared" si="13"/>
        <v>13879.206835200002</v>
      </c>
      <c r="AI11" s="78">
        <f t="shared" si="14"/>
        <v>14037.108835200002</v>
      </c>
      <c r="AJ11" s="78">
        <f t="shared" si="15"/>
        <v>2894.4384012</v>
      </c>
      <c r="AK11" s="77">
        <f t="shared" si="16"/>
        <v>141.638094</v>
      </c>
      <c r="AL11" s="79"/>
      <c r="AM11" s="78">
        <f t="shared" si="105"/>
        <v>114.84</v>
      </c>
      <c r="AN11" s="78">
        <f t="shared" si="17"/>
        <v>10094.160384</v>
      </c>
      <c r="AO11" s="78">
        <f t="shared" si="18"/>
        <v>10209.000384</v>
      </c>
      <c r="AP11" s="78">
        <f t="shared" si="19"/>
        <v>2105.086104</v>
      </c>
      <c r="AQ11" s="77">
        <f t="shared" si="20"/>
        <v>103.01147999999999</v>
      </c>
      <c r="AR11" s="79"/>
      <c r="AS11" s="78">
        <f t="shared" si="106"/>
        <v>13.1545</v>
      </c>
      <c r="AT11" s="78">
        <f t="shared" si="21"/>
        <v>1156.2489792000001</v>
      </c>
      <c r="AU11" s="78">
        <f t="shared" si="22"/>
        <v>1169.4034792000002</v>
      </c>
      <c r="AV11" s="78">
        <f t="shared" si="23"/>
        <v>241.12987769999998</v>
      </c>
      <c r="AW11" s="77">
        <f t="shared" si="24"/>
        <v>11.799586499999998</v>
      </c>
      <c r="AX11" s="79"/>
      <c r="AY11" s="78">
        <f t="shared" si="107"/>
        <v>208.11449999999996</v>
      </c>
      <c r="AZ11" s="78">
        <f t="shared" si="25"/>
        <v>18292.765075199997</v>
      </c>
      <c r="BA11" s="78">
        <f t="shared" si="26"/>
        <v>18500.879575199997</v>
      </c>
      <c r="BB11" s="78">
        <f t="shared" si="27"/>
        <v>3814.8636536999998</v>
      </c>
      <c r="BC11" s="77">
        <f t="shared" si="28"/>
        <v>186.67870649999998</v>
      </c>
      <c r="BD11" s="79"/>
      <c r="BE11" s="78">
        <f t="shared" si="108"/>
        <v>22.5605</v>
      </c>
      <c r="BF11" s="78">
        <f t="shared" si="29"/>
        <v>1983.0138048</v>
      </c>
      <c r="BG11" s="78">
        <f t="shared" si="30"/>
        <v>2005.5743048</v>
      </c>
      <c r="BH11" s="78">
        <f t="shared" si="31"/>
        <v>413.54750129999996</v>
      </c>
      <c r="BI11" s="77">
        <f t="shared" si="32"/>
        <v>20.2367685</v>
      </c>
      <c r="BJ11" s="79"/>
      <c r="BK11" s="78">
        <f t="shared" si="109"/>
        <v>70.57350000000001</v>
      </c>
      <c r="BL11" s="78">
        <f t="shared" si="33"/>
        <v>6203.241273600001</v>
      </c>
      <c r="BM11" s="78">
        <f t="shared" si="34"/>
        <v>6273.814773600001</v>
      </c>
      <c r="BN11" s="78">
        <f t="shared" si="35"/>
        <v>1293.6545991</v>
      </c>
      <c r="BO11" s="77">
        <f t="shared" si="36"/>
        <v>63.304429500000005</v>
      </c>
      <c r="BP11" s="79"/>
      <c r="BQ11" s="78">
        <f t="shared" si="110"/>
        <v>35.789500000000004</v>
      </c>
      <c r="BR11" s="78">
        <f t="shared" si="37"/>
        <v>3145.8111552</v>
      </c>
      <c r="BS11" s="78">
        <f t="shared" si="38"/>
        <v>3181.6006552</v>
      </c>
      <c r="BT11" s="78">
        <f t="shared" si="39"/>
        <v>656.0430087</v>
      </c>
      <c r="BU11" s="77">
        <f t="shared" si="40"/>
        <v>32.1031815</v>
      </c>
      <c r="BV11" s="79"/>
      <c r="BW11" s="78">
        <f t="shared" si="111"/>
        <v>6.9505</v>
      </c>
      <c r="BX11" s="78">
        <f t="shared" si="41"/>
        <v>610.9322688</v>
      </c>
      <c r="BY11" s="78">
        <f t="shared" si="42"/>
        <v>617.8827688</v>
      </c>
      <c r="BZ11" s="78">
        <f t="shared" si="43"/>
        <v>127.4068353</v>
      </c>
      <c r="CA11" s="77">
        <f t="shared" si="44"/>
        <v>6.2345985</v>
      </c>
      <c r="CB11" s="79"/>
      <c r="CC11" s="78">
        <f t="shared" si="112"/>
        <v>27.617000000000004</v>
      </c>
      <c r="CD11" s="78">
        <f t="shared" si="45"/>
        <v>2427.4680192</v>
      </c>
      <c r="CE11" s="78">
        <f t="shared" si="46"/>
        <v>2455.0850192000003</v>
      </c>
      <c r="CF11" s="78">
        <f t="shared" si="47"/>
        <v>506.23618020000004</v>
      </c>
      <c r="CG11" s="77">
        <f t="shared" si="48"/>
        <v>24.772449</v>
      </c>
      <c r="CH11" s="79"/>
      <c r="CI11" s="78">
        <f t="shared" si="113"/>
        <v>67.3565</v>
      </c>
      <c r="CJ11" s="78">
        <f t="shared" si="49"/>
        <v>5920.4746944</v>
      </c>
      <c r="CK11" s="78">
        <f t="shared" si="50"/>
        <v>5987.8311944</v>
      </c>
      <c r="CL11" s="78">
        <f t="shared" si="51"/>
        <v>1234.6850589</v>
      </c>
      <c r="CM11" s="77">
        <f t="shared" si="52"/>
        <v>60.418780500000004</v>
      </c>
      <c r="CN11" s="79"/>
      <c r="CO11" s="78">
        <f t="shared" si="114"/>
        <v>150.762</v>
      </c>
      <c r="CP11" s="78">
        <f t="shared" si="53"/>
        <v>13251.6179712</v>
      </c>
      <c r="CQ11" s="78">
        <f t="shared" si="54"/>
        <v>13402.3799712</v>
      </c>
      <c r="CR11" s="78">
        <f t="shared" si="55"/>
        <v>2763.5579172</v>
      </c>
      <c r="CS11" s="77">
        <f t="shared" si="56"/>
        <v>135.23351399999999</v>
      </c>
      <c r="CT11" s="79"/>
      <c r="CU11" s="78">
        <f t="shared" si="115"/>
        <v>22.8095</v>
      </c>
      <c r="CV11" s="78">
        <f t="shared" si="57"/>
        <v>2004.9003071999998</v>
      </c>
      <c r="CW11" s="78">
        <f t="shared" si="58"/>
        <v>2027.7098072</v>
      </c>
      <c r="CX11" s="78">
        <f t="shared" si="59"/>
        <v>418.1118207</v>
      </c>
      <c r="CY11" s="77">
        <f t="shared" si="60"/>
        <v>20.4601215</v>
      </c>
      <c r="CZ11" s="79"/>
      <c r="DA11" s="78">
        <f t="shared" si="116"/>
        <v>65.5395</v>
      </c>
      <c r="DB11" s="78">
        <f t="shared" si="61"/>
        <v>5760.7647552</v>
      </c>
      <c r="DC11" s="78">
        <f t="shared" si="62"/>
        <v>5826.3042552</v>
      </c>
      <c r="DD11" s="78">
        <f t="shared" si="63"/>
        <v>1201.3783587</v>
      </c>
      <c r="DE11" s="77">
        <f t="shared" si="64"/>
        <v>58.788931500000004</v>
      </c>
      <c r="DF11" s="79"/>
      <c r="DG11" s="78">
        <f t="shared" si="117"/>
        <v>2.5254999999999996</v>
      </c>
      <c r="DH11" s="78">
        <f t="shared" si="65"/>
        <v>221.9853888</v>
      </c>
      <c r="DI11" s="78">
        <f t="shared" si="66"/>
        <v>224.5108888</v>
      </c>
      <c r="DJ11" s="78">
        <f t="shared" si="67"/>
        <v>46.2939303</v>
      </c>
      <c r="DK11" s="77">
        <f t="shared" si="68"/>
        <v>2.2653735</v>
      </c>
      <c r="DL11" s="79"/>
      <c r="DM11" s="90">
        <f t="shared" si="118"/>
        <v>138.259</v>
      </c>
      <c r="DN11" s="90">
        <f t="shared" si="69"/>
        <v>12152.6342784</v>
      </c>
      <c r="DO11" s="90">
        <f t="shared" si="70"/>
        <v>12290.8932784</v>
      </c>
      <c r="DP11" s="90">
        <f t="shared" si="71"/>
        <v>2534.3704254</v>
      </c>
      <c r="DQ11" s="94">
        <f t="shared" si="72"/>
        <v>124.01832300000001</v>
      </c>
      <c r="DR11" s="79"/>
      <c r="DS11" s="78">
        <f t="shared" si="119"/>
        <v>21.767</v>
      </c>
      <c r="DT11" s="78">
        <f t="shared" si="73"/>
        <v>1913.2670592000002</v>
      </c>
      <c r="DU11" s="78">
        <f t="shared" si="74"/>
        <v>1935.0340592000002</v>
      </c>
      <c r="DV11" s="78">
        <f t="shared" si="75"/>
        <v>399.0021702</v>
      </c>
      <c r="DW11" s="77">
        <f t="shared" si="76"/>
        <v>19.524999</v>
      </c>
      <c r="DX11" s="79"/>
      <c r="DY11" s="78">
        <f t="shared" si="120"/>
        <v>112.01449999999998</v>
      </c>
      <c r="DZ11" s="78">
        <f t="shared" si="77"/>
        <v>9845.8057152</v>
      </c>
      <c r="EA11" s="78">
        <f t="shared" si="78"/>
        <v>9957.8202152</v>
      </c>
      <c r="EB11" s="78">
        <f t="shared" si="79"/>
        <v>2053.2929937</v>
      </c>
      <c r="EC11" s="77">
        <f t="shared" si="80"/>
        <v>100.4770065</v>
      </c>
      <c r="ED11" s="79"/>
      <c r="EE11" s="78">
        <f t="shared" si="121"/>
        <v>31.979</v>
      </c>
      <c r="EF11" s="78">
        <f t="shared" si="81"/>
        <v>2810.8773504</v>
      </c>
      <c r="EG11" s="78">
        <f t="shared" si="82"/>
        <v>2842.8563504</v>
      </c>
      <c r="EH11" s="78">
        <f t="shared" si="83"/>
        <v>586.1942574</v>
      </c>
      <c r="EI11" s="77">
        <f t="shared" si="84"/>
        <v>28.685163</v>
      </c>
      <c r="EJ11" s="79"/>
      <c r="EK11" s="78">
        <f t="shared" si="122"/>
        <v>0.321</v>
      </c>
      <c r="EL11" s="78">
        <f t="shared" si="85"/>
        <v>28.2151296</v>
      </c>
      <c r="EM11" s="78">
        <f t="shared" si="86"/>
        <v>28.536129600000002</v>
      </c>
      <c r="EN11" s="78">
        <f t="shared" si="87"/>
        <v>5.8841226</v>
      </c>
      <c r="EO11" s="77">
        <f t="shared" si="88"/>
        <v>0.287937</v>
      </c>
      <c r="EP11" s="79"/>
      <c r="EQ11" s="78">
        <f t="shared" si="123"/>
        <v>0.596</v>
      </c>
      <c r="ER11" s="78">
        <f t="shared" si="89"/>
        <v>52.3869696</v>
      </c>
      <c r="ES11" s="78">
        <f t="shared" si="90"/>
        <v>52.9829696</v>
      </c>
      <c r="ET11" s="78">
        <f t="shared" si="91"/>
        <v>10.9250376</v>
      </c>
      <c r="EU11" s="77">
        <f t="shared" si="92"/>
        <v>0.534612</v>
      </c>
      <c r="EV11" s="79"/>
      <c r="EW11" s="78">
        <f t="shared" si="124"/>
        <v>107.738</v>
      </c>
      <c r="EX11" s="78">
        <f t="shared" si="93"/>
        <v>9469.9116288</v>
      </c>
      <c r="EY11" s="78">
        <f t="shared" si="94"/>
        <v>9577.6496288</v>
      </c>
      <c r="EZ11" s="78">
        <f t="shared" si="95"/>
        <v>1974.9021828</v>
      </c>
      <c r="FA11" s="77">
        <f t="shared" si="96"/>
        <v>96.640986</v>
      </c>
      <c r="FB11" s="79"/>
      <c r="FC11" s="78">
        <f t="shared" si="125"/>
        <v>200.25799999999998</v>
      </c>
      <c r="FD11" s="78">
        <f t="shared" si="97"/>
        <v>17602.1975808</v>
      </c>
      <c r="FE11" s="78">
        <f t="shared" si="98"/>
        <v>17802.4555808</v>
      </c>
      <c r="FF11" s="78">
        <f t="shared" si="99"/>
        <v>3670.8492948</v>
      </c>
      <c r="FG11" s="77">
        <f t="shared" si="100"/>
        <v>179.631426</v>
      </c>
      <c r="FH11" s="79"/>
      <c r="FI11" s="80"/>
      <c r="FJ11" s="78"/>
      <c r="FK11" s="78"/>
      <c r="FL11" s="78"/>
      <c r="FM11" s="77">
        <f t="shared" si="101"/>
        <v>0</v>
      </c>
    </row>
    <row r="12" spans="1:169" s="52" customFormat="1" ht="12.75">
      <c r="A12" s="51">
        <v>43739</v>
      </c>
      <c r="C12" s="42"/>
      <c r="D12" s="42">
        <v>439413</v>
      </c>
      <c r="E12" s="77">
        <f t="shared" si="0"/>
        <v>439413</v>
      </c>
      <c r="F12" s="77">
        <v>91653</v>
      </c>
      <c r="G12" s="77">
        <v>4485</v>
      </c>
      <c r="H12" s="79"/>
      <c r="I12" s="79">
        <f>'2011B Academic'!I12</f>
        <v>0</v>
      </c>
      <c r="J12" s="79">
        <f>'2011B Academic'!J12</f>
        <v>238524.7571967001</v>
      </c>
      <c r="K12" s="79">
        <f t="shared" si="1"/>
        <v>238524.7571967001</v>
      </c>
      <c r="L12" s="79">
        <f>'2011B Academic'!L12</f>
        <v>49751.6222127</v>
      </c>
      <c r="M12" s="79">
        <f>'2011B Academic'!M12</f>
        <v>2434.5741615</v>
      </c>
      <c r="N12" s="79"/>
      <c r="O12" s="78">
        <f t="shared" si="2"/>
        <v>0</v>
      </c>
      <c r="P12" s="80">
        <f t="shared" si="2"/>
        <v>200888.24280329997</v>
      </c>
      <c r="Q12" s="78">
        <f t="shared" si="3"/>
        <v>200888.24280329997</v>
      </c>
      <c r="R12" s="78">
        <f t="shared" si="4"/>
        <v>41901.37778729999</v>
      </c>
      <c r="S12" s="78">
        <f t="shared" si="4"/>
        <v>2050.4258385</v>
      </c>
      <c r="T12" s="79"/>
      <c r="U12" s="78"/>
      <c r="V12" s="77">
        <f t="shared" si="5"/>
        <v>35910.58801199999</v>
      </c>
      <c r="W12" s="78">
        <f t="shared" si="6"/>
        <v>35910.58801199999</v>
      </c>
      <c r="X12" s="78">
        <f t="shared" si="7"/>
        <v>7490.249772</v>
      </c>
      <c r="Y12" s="77">
        <f t="shared" si="8"/>
        <v>366.53214</v>
      </c>
      <c r="Z12" s="79"/>
      <c r="AA12" s="78"/>
      <c r="AB12" s="78">
        <f t="shared" si="9"/>
        <v>26173.4595798</v>
      </c>
      <c r="AC12" s="78">
        <f t="shared" si="10"/>
        <v>26173.4595798</v>
      </c>
      <c r="AD12" s="78">
        <f t="shared" si="11"/>
        <v>5459.2742838</v>
      </c>
      <c r="AE12" s="77">
        <f t="shared" si="12"/>
        <v>267.14723100000003</v>
      </c>
      <c r="AF12" s="79"/>
      <c r="AG12" s="78"/>
      <c r="AH12" s="78">
        <f t="shared" si="13"/>
        <v>13876.8383052</v>
      </c>
      <c r="AI12" s="78">
        <f t="shared" si="14"/>
        <v>13876.8383052</v>
      </c>
      <c r="AJ12" s="78">
        <f t="shared" si="15"/>
        <v>2894.4384012</v>
      </c>
      <c r="AK12" s="77">
        <f t="shared" si="16"/>
        <v>141.638094</v>
      </c>
      <c r="AL12" s="79"/>
      <c r="AM12" s="78"/>
      <c r="AN12" s="78">
        <f t="shared" si="17"/>
        <v>10092.437784000002</v>
      </c>
      <c r="AO12" s="78">
        <f t="shared" si="18"/>
        <v>10092.437784000002</v>
      </c>
      <c r="AP12" s="78">
        <f t="shared" si="19"/>
        <v>2105.086104</v>
      </c>
      <c r="AQ12" s="77">
        <f t="shared" si="20"/>
        <v>103.01147999999999</v>
      </c>
      <c r="AR12" s="79"/>
      <c r="AS12" s="78"/>
      <c r="AT12" s="78">
        <f t="shared" si="21"/>
        <v>1156.0516617</v>
      </c>
      <c r="AU12" s="78">
        <f t="shared" si="22"/>
        <v>1156.0516617</v>
      </c>
      <c r="AV12" s="78">
        <f t="shared" si="23"/>
        <v>241.12987769999998</v>
      </c>
      <c r="AW12" s="77">
        <f t="shared" si="24"/>
        <v>11.799586499999998</v>
      </c>
      <c r="AX12" s="79"/>
      <c r="AY12" s="78"/>
      <c r="AZ12" s="78">
        <f t="shared" si="25"/>
        <v>18289.6433577</v>
      </c>
      <c r="BA12" s="78">
        <f t="shared" si="26"/>
        <v>18289.6433577</v>
      </c>
      <c r="BB12" s="78">
        <f t="shared" si="27"/>
        <v>3814.8636536999998</v>
      </c>
      <c r="BC12" s="77">
        <f t="shared" si="28"/>
        <v>186.67870649999998</v>
      </c>
      <c r="BD12" s="79"/>
      <c r="BE12" s="78"/>
      <c r="BF12" s="78">
        <f t="shared" si="29"/>
        <v>1982.6753973</v>
      </c>
      <c r="BG12" s="78">
        <f t="shared" si="30"/>
        <v>1982.6753973</v>
      </c>
      <c r="BH12" s="78">
        <f t="shared" si="31"/>
        <v>413.54750129999996</v>
      </c>
      <c r="BI12" s="77">
        <f t="shared" si="32"/>
        <v>20.2367685</v>
      </c>
      <c r="BJ12" s="79"/>
      <c r="BK12" s="78"/>
      <c r="BL12" s="78">
        <f t="shared" si="33"/>
        <v>6202.1826711</v>
      </c>
      <c r="BM12" s="78">
        <f t="shared" si="34"/>
        <v>6202.1826711</v>
      </c>
      <c r="BN12" s="78">
        <f t="shared" si="35"/>
        <v>1293.6545991</v>
      </c>
      <c r="BO12" s="77">
        <f t="shared" si="36"/>
        <v>63.304429500000005</v>
      </c>
      <c r="BP12" s="79"/>
      <c r="BQ12" s="78"/>
      <c r="BR12" s="78">
        <f t="shared" si="37"/>
        <v>3145.2743127</v>
      </c>
      <c r="BS12" s="78">
        <f t="shared" si="38"/>
        <v>3145.2743127</v>
      </c>
      <c r="BT12" s="78">
        <f t="shared" si="39"/>
        <v>656.0430087</v>
      </c>
      <c r="BU12" s="77">
        <f t="shared" si="40"/>
        <v>32.1031815</v>
      </c>
      <c r="BV12" s="79"/>
      <c r="BW12" s="78"/>
      <c r="BX12" s="78">
        <f t="shared" si="41"/>
        <v>610.8280113</v>
      </c>
      <c r="BY12" s="78">
        <f t="shared" si="42"/>
        <v>610.8280113</v>
      </c>
      <c r="BZ12" s="78">
        <f t="shared" si="43"/>
        <v>127.4068353</v>
      </c>
      <c r="CA12" s="77">
        <f t="shared" si="44"/>
        <v>6.2345985</v>
      </c>
      <c r="CB12" s="79"/>
      <c r="CC12" s="78"/>
      <c r="CD12" s="78">
        <f t="shared" si="45"/>
        <v>2427.0537642</v>
      </c>
      <c r="CE12" s="78">
        <f t="shared" si="46"/>
        <v>2427.0537642</v>
      </c>
      <c r="CF12" s="78">
        <f t="shared" si="47"/>
        <v>506.23618020000004</v>
      </c>
      <c r="CG12" s="77">
        <f t="shared" si="48"/>
        <v>24.772449</v>
      </c>
      <c r="CH12" s="79"/>
      <c r="CI12" s="78"/>
      <c r="CJ12" s="78">
        <f t="shared" si="49"/>
        <v>5919.4643469</v>
      </c>
      <c r="CK12" s="78">
        <f t="shared" si="50"/>
        <v>5919.4643469</v>
      </c>
      <c r="CL12" s="78">
        <f t="shared" si="51"/>
        <v>1234.6850589</v>
      </c>
      <c r="CM12" s="77">
        <f t="shared" si="52"/>
        <v>60.418780500000004</v>
      </c>
      <c r="CN12" s="79"/>
      <c r="CO12" s="78"/>
      <c r="CP12" s="78">
        <f t="shared" si="53"/>
        <v>13249.3565412</v>
      </c>
      <c r="CQ12" s="78">
        <f t="shared" si="54"/>
        <v>13249.3565412</v>
      </c>
      <c r="CR12" s="78">
        <f t="shared" si="55"/>
        <v>2763.5579172</v>
      </c>
      <c r="CS12" s="77">
        <f t="shared" si="56"/>
        <v>135.23351399999999</v>
      </c>
      <c r="CT12" s="79"/>
      <c r="CU12" s="78"/>
      <c r="CV12" s="78">
        <f t="shared" si="57"/>
        <v>2004.5581647</v>
      </c>
      <c r="CW12" s="78">
        <f t="shared" si="58"/>
        <v>2004.5581647</v>
      </c>
      <c r="CX12" s="78">
        <f t="shared" si="59"/>
        <v>418.1118207</v>
      </c>
      <c r="CY12" s="77">
        <f t="shared" si="60"/>
        <v>20.4601215</v>
      </c>
      <c r="CZ12" s="79"/>
      <c r="DA12" s="78"/>
      <c r="DB12" s="78">
        <f t="shared" si="61"/>
        <v>5759.781662699999</v>
      </c>
      <c r="DC12" s="78">
        <f t="shared" si="62"/>
        <v>5759.781662699999</v>
      </c>
      <c r="DD12" s="78">
        <f t="shared" si="63"/>
        <v>1201.3783587</v>
      </c>
      <c r="DE12" s="77">
        <f t="shared" si="64"/>
        <v>58.788931500000004</v>
      </c>
      <c r="DF12" s="79"/>
      <c r="DG12" s="78"/>
      <c r="DH12" s="78">
        <f t="shared" si="65"/>
        <v>221.9475063</v>
      </c>
      <c r="DI12" s="78">
        <f t="shared" si="66"/>
        <v>221.9475063</v>
      </c>
      <c r="DJ12" s="78">
        <f t="shared" si="67"/>
        <v>46.2939303</v>
      </c>
      <c r="DK12" s="77">
        <f t="shared" si="68"/>
        <v>2.2653735</v>
      </c>
      <c r="DL12" s="79"/>
      <c r="DM12" s="90"/>
      <c r="DN12" s="90">
        <f t="shared" si="69"/>
        <v>12150.5603934</v>
      </c>
      <c r="DO12" s="90">
        <f t="shared" si="70"/>
        <v>12150.5603934</v>
      </c>
      <c r="DP12" s="90">
        <f t="shared" si="71"/>
        <v>2534.3704254</v>
      </c>
      <c r="DQ12" s="94">
        <f t="shared" si="72"/>
        <v>124.01832300000001</v>
      </c>
      <c r="DR12" s="79"/>
      <c r="DS12" s="78"/>
      <c r="DT12" s="78">
        <f t="shared" si="73"/>
        <v>1912.9405542</v>
      </c>
      <c r="DU12" s="78">
        <f t="shared" si="74"/>
        <v>1912.9405542</v>
      </c>
      <c r="DV12" s="78">
        <f t="shared" si="75"/>
        <v>399.0021702</v>
      </c>
      <c r="DW12" s="77">
        <f t="shared" si="76"/>
        <v>19.524999</v>
      </c>
      <c r="DX12" s="79"/>
      <c r="DY12" s="78"/>
      <c r="DZ12" s="78">
        <f t="shared" si="77"/>
        <v>9844.125497699999</v>
      </c>
      <c r="EA12" s="78">
        <f t="shared" si="78"/>
        <v>9844.125497699999</v>
      </c>
      <c r="EB12" s="78">
        <f t="shared" si="79"/>
        <v>2053.2929937</v>
      </c>
      <c r="EC12" s="77">
        <f t="shared" si="80"/>
        <v>100.4770065</v>
      </c>
      <c r="ED12" s="79"/>
      <c r="EE12" s="78"/>
      <c r="EF12" s="78">
        <f t="shared" si="81"/>
        <v>2810.3976654000003</v>
      </c>
      <c r="EG12" s="78">
        <f t="shared" si="82"/>
        <v>2810.3976654000003</v>
      </c>
      <c r="EH12" s="78">
        <f t="shared" si="83"/>
        <v>586.1942574</v>
      </c>
      <c r="EI12" s="77">
        <f t="shared" si="84"/>
        <v>28.685163</v>
      </c>
      <c r="EJ12" s="79"/>
      <c r="EK12" s="78"/>
      <c r="EL12" s="78">
        <f t="shared" si="85"/>
        <v>28.2103146</v>
      </c>
      <c r="EM12" s="78">
        <f t="shared" si="86"/>
        <v>28.2103146</v>
      </c>
      <c r="EN12" s="78">
        <f t="shared" si="87"/>
        <v>5.8841226</v>
      </c>
      <c r="EO12" s="77">
        <f t="shared" si="88"/>
        <v>0.287937</v>
      </c>
      <c r="EP12" s="79"/>
      <c r="EQ12" s="78"/>
      <c r="ER12" s="78">
        <f t="shared" si="89"/>
        <v>52.3780296</v>
      </c>
      <c r="ES12" s="78">
        <f t="shared" si="90"/>
        <v>52.3780296</v>
      </c>
      <c r="ET12" s="78">
        <f t="shared" si="91"/>
        <v>10.9250376</v>
      </c>
      <c r="EU12" s="77">
        <f t="shared" si="92"/>
        <v>0.534612</v>
      </c>
      <c r="EV12" s="79"/>
      <c r="EW12" s="78"/>
      <c r="EX12" s="78">
        <f t="shared" si="93"/>
        <v>9468.2955588</v>
      </c>
      <c r="EY12" s="78">
        <f t="shared" si="94"/>
        <v>9468.2955588</v>
      </c>
      <c r="EZ12" s="78">
        <f t="shared" si="95"/>
        <v>1974.9021828</v>
      </c>
      <c r="FA12" s="77">
        <f t="shared" si="96"/>
        <v>96.640986</v>
      </c>
      <c r="FB12" s="79"/>
      <c r="FC12" s="78"/>
      <c r="FD12" s="78">
        <f t="shared" si="97"/>
        <v>17599.1937108</v>
      </c>
      <c r="FE12" s="78">
        <f t="shared" si="98"/>
        <v>17599.1937108</v>
      </c>
      <c r="FF12" s="78">
        <f t="shared" si="99"/>
        <v>3670.8492948</v>
      </c>
      <c r="FG12" s="77">
        <f t="shared" si="100"/>
        <v>179.631426</v>
      </c>
      <c r="FH12" s="79"/>
      <c r="FI12" s="80"/>
      <c r="FJ12" s="78"/>
      <c r="FK12" s="78"/>
      <c r="FL12" s="78"/>
      <c r="FM12" s="77">
        <f t="shared" si="101"/>
        <v>0</v>
      </c>
    </row>
    <row r="13" spans="1:169" s="52" customFormat="1" ht="12.75">
      <c r="A13" s="51">
        <v>43922</v>
      </c>
      <c r="C13" s="42">
        <v>5000</v>
      </c>
      <c r="D13" s="42">
        <v>439413</v>
      </c>
      <c r="E13" s="77">
        <f t="shared" si="0"/>
        <v>444413</v>
      </c>
      <c r="F13" s="77">
        <v>91653</v>
      </c>
      <c r="G13" s="77">
        <v>4485</v>
      </c>
      <c r="H13" s="79"/>
      <c r="I13" s="79">
        <f>'2011B Academic'!I13</f>
        <v>2714.1295</v>
      </c>
      <c r="J13" s="79">
        <f>'2011B Academic'!J13</f>
        <v>238524.7571967001</v>
      </c>
      <c r="K13" s="79">
        <f t="shared" si="1"/>
        <v>241238.88669670012</v>
      </c>
      <c r="L13" s="79">
        <f>'2011B Academic'!L13</f>
        <v>49751.6222127</v>
      </c>
      <c r="M13" s="79">
        <f>'2011B Academic'!M13</f>
        <v>2434.5741615</v>
      </c>
      <c r="N13" s="79"/>
      <c r="O13" s="78">
        <f t="shared" si="2"/>
        <v>2285.8705</v>
      </c>
      <c r="P13" s="80">
        <f t="shared" si="2"/>
        <v>200888.24280329997</v>
      </c>
      <c r="Q13" s="78">
        <f t="shared" si="3"/>
        <v>203174.11330329996</v>
      </c>
      <c r="R13" s="78">
        <f t="shared" si="4"/>
        <v>41901.37778729999</v>
      </c>
      <c r="S13" s="78">
        <f t="shared" si="4"/>
        <v>2050.4258385</v>
      </c>
      <c r="T13" s="79"/>
      <c r="U13" s="78">
        <f t="shared" si="102"/>
        <v>408.62</v>
      </c>
      <c r="V13" s="77">
        <f t="shared" si="5"/>
        <v>35910.58801199999</v>
      </c>
      <c r="W13" s="78">
        <f t="shared" si="6"/>
        <v>36319.208011999996</v>
      </c>
      <c r="X13" s="78">
        <f t="shared" si="7"/>
        <v>7490.249772</v>
      </c>
      <c r="Y13" s="77">
        <f t="shared" si="8"/>
        <v>366.53214</v>
      </c>
      <c r="Z13" s="79"/>
      <c r="AA13" s="78">
        <f t="shared" si="103"/>
        <v>297.823</v>
      </c>
      <c r="AB13" s="78">
        <f t="shared" si="9"/>
        <v>26173.4595798</v>
      </c>
      <c r="AC13" s="78">
        <f t="shared" si="10"/>
        <v>26471.2825798</v>
      </c>
      <c r="AD13" s="78">
        <f t="shared" si="11"/>
        <v>5459.2742838</v>
      </c>
      <c r="AE13" s="77">
        <f t="shared" si="12"/>
        <v>267.14723100000003</v>
      </c>
      <c r="AF13" s="79"/>
      <c r="AG13" s="78">
        <f t="shared" si="104"/>
        <v>157.90200000000002</v>
      </c>
      <c r="AH13" s="78">
        <f t="shared" si="13"/>
        <v>13876.8383052</v>
      </c>
      <c r="AI13" s="78">
        <f t="shared" si="14"/>
        <v>14034.7403052</v>
      </c>
      <c r="AJ13" s="78">
        <f t="shared" si="15"/>
        <v>2894.4384012</v>
      </c>
      <c r="AK13" s="77">
        <f t="shared" si="16"/>
        <v>141.638094</v>
      </c>
      <c r="AL13" s="79"/>
      <c r="AM13" s="78">
        <f t="shared" si="105"/>
        <v>114.84</v>
      </c>
      <c r="AN13" s="78">
        <f t="shared" si="17"/>
        <v>10092.437784000002</v>
      </c>
      <c r="AO13" s="78">
        <f t="shared" si="18"/>
        <v>10207.277784000002</v>
      </c>
      <c r="AP13" s="78">
        <f t="shared" si="19"/>
        <v>2105.086104</v>
      </c>
      <c r="AQ13" s="77">
        <f t="shared" si="20"/>
        <v>103.01147999999999</v>
      </c>
      <c r="AR13" s="79"/>
      <c r="AS13" s="78">
        <f t="shared" si="106"/>
        <v>13.1545</v>
      </c>
      <c r="AT13" s="78">
        <f t="shared" si="21"/>
        <v>1156.0516617</v>
      </c>
      <c r="AU13" s="78">
        <f t="shared" si="22"/>
        <v>1169.2061617000002</v>
      </c>
      <c r="AV13" s="78">
        <f t="shared" si="23"/>
        <v>241.12987769999998</v>
      </c>
      <c r="AW13" s="77">
        <f t="shared" si="24"/>
        <v>11.799586499999998</v>
      </c>
      <c r="AX13" s="79"/>
      <c r="AY13" s="78">
        <f t="shared" si="107"/>
        <v>208.11449999999996</v>
      </c>
      <c r="AZ13" s="78">
        <f t="shared" si="25"/>
        <v>18289.6433577</v>
      </c>
      <c r="BA13" s="78">
        <f t="shared" si="26"/>
        <v>18497.7578577</v>
      </c>
      <c r="BB13" s="78">
        <f t="shared" si="27"/>
        <v>3814.8636536999998</v>
      </c>
      <c r="BC13" s="77">
        <f t="shared" si="28"/>
        <v>186.67870649999998</v>
      </c>
      <c r="BD13" s="79"/>
      <c r="BE13" s="78">
        <f t="shared" si="108"/>
        <v>22.5605</v>
      </c>
      <c r="BF13" s="78">
        <f t="shared" si="29"/>
        <v>1982.6753973</v>
      </c>
      <c r="BG13" s="78">
        <f t="shared" si="30"/>
        <v>2005.2358973</v>
      </c>
      <c r="BH13" s="78">
        <f t="shared" si="31"/>
        <v>413.54750129999996</v>
      </c>
      <c r="BI13" s="77">
        <f t="shared" si="32"/>
        <v>20.2367685</v>
      </c>
      <c r="BJ13" s="79"/>
      <c r="BK13" s="78">
        <f t="shared" si="109"/>
        <v>70.57350000000001</v>
      </c>
      <c r="BL13" s="78">
        <f t="shared" si="33"/>
        <v>6202.1826711</v>
      </c>
      <c r="BM13" s="78">
        <f t="shared" si="34"/>
        <v>6272.756171100001</v>
      </c>
      <c r="BN13" s="78">
        <f t="shared" si="35"/>
        <v>1293.6545991</v>
      </c>
      <c r="BO13" s="77">
        <f t="shared" si="36"/>
        <v>63.304429500000005</v>
      </c>
      <c r="BP13" s="79"/>
      <c r="BQ13" s="78">
        <f t="shared" si="110"/>
        <v>35.789500000000004</v>
      </c>
      <c r="BR13" s="78">
        <f t="shared" si="37"/>
        <v>3145.2743127</v>
      </c>
      <c r="BS13" s="78">
        <f t="shared" si="38"/>
        <v>3181.0638126999997</v>
      </c>
      <c r="BT13" s="78">
        <f t="shared" si="39"/>
        <v>656.0430087</v>
      </c>
      <c r="BU13" s="77">
        <f t="shared" si="40"/>
        <v>32.1031815</v>
      </c>
      <c r="BV13" s="79"/>
      <c r="BW13" s="78">
        <f t="shared" si="111"/>
        <v>6.9505</v>
      </c>
      <c r="BX13" s="78">
        <f t="shared" si="41"/>
        <v>610.8280113</v>
      </c>
      <c r="BY13" s="78">
        <f t="shared" si="42"/>
        <v>617.7785113</v>
      </c>
      <c r="BZ13" s="78">
        <f t="shared" si="43"/>
        <v>127.4068353</v>
      </c>
      <c r="CA13" s="77">
        <f t="shared" si="44"/>
        <v>6.2345985</v>
      </c>
      <c r="CB13" s="79"/>
      <c r="CC13" s="78">
        <f t="shared" si="112"/>
        <v>27.617000000000004</v>
      </c>
      <c r="CD13" s="78">
        <f t="shared" si="45"/>
        <v>2427.0537642</v>
      </c>
      <c r="CE13" s="78">
        <f t="shared" si="46"/>
        <v>2454.6707642</v>
      </c>
      <c r="CF13" s="78">
        <f t="shared" si="47"/>
        <v>506.23618020000004</v>
      </c>
      <c r="CG13" s="77">
        <f t="shared" si="48"/>
        <v>24.772449</v>
      </c>
      <c r="CH13" s="79"/>
      <c r="CI13" s="78">
        <f t="shared" si="113"/>
        <v>67.3565</v>
      </c>
      <c r="CJ13" s="78">
        <f t="shared" si="49"/>
        <v>5919.4643469</v>
      </c>
      <c r="CK13" s="78">
        <f t="shared" si="50"/>
        <v>5986.8208469</v>
      </c>
      <c r="CL13" s="78">
        <f t="shared" si="51"/>
        <v>1234.6850589</v>
      </c>
      <c r="CM13" s="77">
        <f t="shared" si="52"/>
        <v>60.418780500000004</v>
      </c>
      <c r="CN13" s="79"/>
      <c r="CO13" s="78">
        <f t="shared" si="114"/>
        <v>150.762</v>
      </c>
      <c r="CP13" s="78">
        <f t="shared" si="53"/>
        <v>13249.3565412</v>
      </c>
      <c r="CQ13" s="78">
        <f t="shared" si="54"/>
        <v>13400.118541200001</v>
      </c>
      <c r="CR13" s="78">
        <f t="shared" si="55"/>
        <v>2763.5579172</v>
      </c>
      <c r="CS13" s="77">
        <f t="shared" si="56"/>
        <v>135.23351399999999</v>
      </c>
      <c r="CT13" s="79"/>
      <c r="CU13" s="78">
        <f t="shared" si="115"/>
        <v>22.8095</v>
      </c>
      <c r="CV13" s="78">
        <f t="shared" si="57"/>
        <v>2004.5581647</v>
      </c>
      <c r="CW13" s="78">
        <f t="shared" si="58"/>
        <v>2027.3676647</v>
      </c>
      <c r="CX13" s="78">
        <f t="shared" si="59"/>
        <v>418.1118207</v>
      </c>
      <c r="CY13" s="77">
        <f t="shared" si="60"/>
        <v>20.4601215</v>
      </c>
      <c r="CZ13" s="79"/>
      <c r="DA13" s="78">
        <f t="shared" si="116"/>
        <v>65.5395</v>
      </c>
      <c r="DB13" s="78">
        <f t="shared" si="61"/>
        <v>5759.781662699999</v>
      </c>
      <c r="DC13" s="78">
        <f t="shared" si="62"/>
        <v>5825.321162699999</v>
      </c>
      <c r="DD13" s="78">
        <f t="shared" si="63"/>
        <v>1201.3783587</v>
      </c>
      <c r="DE13" s="77">
        <f t="shared" si="64"/>
        <v>58.788931500000004</v>
      </c>
      <c r="DF13" s="79"/>
      <c r="DG13" s="78">
        <f t="shared" si="117"/>
        <v>2.5254999999999996</v>
      </c>
      <c r="DH13" s="78">
        <f t="shared" si="65"/>
        <v>221.9475063</v>
      </c>
      <c r="DI13" s="78">
        <f t="shared" si="66"/>
        <v>224.47300629999998</v>
      </c>
      <c r="DJ13" s="78">
        <f t="shared" si="67"/>
        <v>46.2939303</v>
      </c>
      <c r="DK13" s="77">
        <f t="shared" si="68"/>
        <v>2.2653735</v>
      </c>
      <c r="DL13" s="79"/>
      <c r="DM13" s="90">
        <f t="shared" si="118"/>
        <v>138.259</v>
      </c>
      <c r="DN13" s="90">
        <f t="shared" si="69"/>
        <v>12150.5603934</v>
      </c>
      <c r="DO13" s="90">
        <f t="shared" si="70"/>
        <v>12288.8193934</v>
      </c>
      <c r="DP13" s="90">
        <f t="shared" si="71"/>
        <v>2534.3704254</v>
      </c>
      <c r="DQ13" s="94">
        <f t="shared" si="72"/>
        <v>124.01832300000001</v>
      </c>
      <c r="DR13" s="79"/>
      <c r="DS13" s="78">
        <f t="shared" si="119"/>
        <v>21.767</v>
      </c>
      <c r="DT13" s="78">
        <f t="shared" si="73"/>
        <v>1912.9405542</v>
      </c>
      <c r="DU13" s="78">
        <f t="shared" si="74"/>
        <v>1934.7075542</v>
      </c>
      <c r="DV13" s="78">
        <f t="shared" si="75"/>
        <v>399.0021702</v>
      </c>
      <c r="DW13" s="77">
        <f t="shared" si="76"/>
        <v>19.524999</v>
      </c>
      <c r="DX13" s="79"/>
      <c r="DY13" s="78">
        <f t="shared" si="120"/>
        <v>112.01449999999998</v>
      </c>
      <c r="DZ13" s="78">
        <f t="shared" si="77"/>
        <v>9844.125497699999</v>
      </c>
      <c r="EA13" s="78">
        <f t="shared" si="78"/>
        <v>9956.139997699998</v>
      </c>
      <c r="EB13" s="78">
        <f t="shared" si="79"/>
        <v>2053.2929937</v>
      </c>
      <c r="EC13" s="77">
        <f t="shared" si="80"/>
        <v>100.4770065</v>
      </c>
      <c r="ED13" s="79"/>
      <c r="EE13" s="78">
        <f t="shared" si="121"/>
        <v>31.979</v>
      </c>
      <c r="EF13" s="78">
        <f t="shared" si="81"/>
        <v>2810.3976654000003</v>
      </c>
      <c r="EG13" s="78">
        <f t="shared" si="82"/>
        <v>2842.3766654</v>
      </c>
      <c r="EH13" s="78">
        <f t="shared" si="83"/>
        <v>586.1942574</v>
      </c>
      <c r="EI13" s="77">
        <f t="shared" si="84"/>
        <v>28.685163</v>
      </c>
      <c r="EJ13" s="79"/>
      <c r="EK13" s="78">
        <f t="shared" si="122"/>
        <v>0.321</v>
      </c>
      <c r="EL13" s="78">
        <f t="shared" si="85"/>
        <v>28.2103146</v>
      </c>
      <c r="EM13" s="78">
        <f t="shared" si="86"/>
        <v>28.5313146</v>
      </c>
      <c r="EN13" s="78">
        <f t="shared" si="87"/>
        <v>5.8841226</v>
      </c>
      <c r="EO13" s="77">
        <f t="shared" si="88"/>
        <v>0.287937</v>
      </c>
      <c r="EP13" s="79"/>
      <c r="EQ13" s="78">
        <f t="shared" si="123"/>
        <v>0.596</v>
      </c>
      <c r="ER13" s="78">
        <f t="shared" si="89"/>
        <v>52.3780296</v>
      </c>
      <c r="ES13" s="78">
        <f t="shared" si="90"/>
        <v>52.974029599999994</v>
      </c>
      <c r="ET13" s="78">
        <f t="shared" si="91"/>
        <v>10.9250376</v>
      </c>
      <c r="EU13" s="77">
        <f t="shared" si="92"/>
        <v>0.534612</v>
      </c>
      <c r="EV13" s="79"/>
      <c r="EW13" s="78">
        <f t="shared" si="124"/>
        <v>107.738</v>
      </c>
      <c r="EX13" s="78">
        <f t="shared" si="93"/>
        <v>9468.2955588</v>
      </c>
      <c r="EY13" s="78">
        <f t="shared" si="94"/>
        <v>9576.0335588</v>
      </c>
      <c r="EZ13" s="78">
        <f t="shared" si="95"/>
        <v>1974.9021828</v>
      </c>
      <c r="FA13" s="77">
        <f t="shared" si="96"/>
        <v>96.640986</v>
      </c>
      <c r="FB13" s="79"/>
      <c r="FC13" s="78">
        <f t="shared" si="125"/>
        <v>200.25799999999998</v>
      </c>
      <c r="FD13" s="78">
        <f t="shared" si="97"/>
        <v>17599.1937108</v>
      </c>
      <c r="FE13" s="78">
        <f t="shared" si="98"/>
        <v>17799.4517108</v>
      </c>
      <c r="FF13" s="78">
        <f t="shared" si="99"/>
        <v>3670.8492948</v>
      </c>
      <c r="FG13" s="77">
        <f t="shared" si="100"/>
        <v>179.631426</v>
      </c>
      <c r="FH13" s="79"/>
      <c r="FI13" s="80"/>
      <c r="FJ13" s="78"/>
      <c r="FK13" s="78"/>
      <c r="FL13" s="78"/>
      <c r="FM13" s="77">
        <f t="shared" si="101"/>
        <v>0</v>
      </c>
    </row>
    <row r="14" spans="1:169" s="52" customFormat="1" ht="12.75">
      <c r="A14" s="51">
        <v>44105</v>
      </c>
      <c r="C14" s="42"/>
      <c r="D14" s="42">
        <v>439338</v>
      </c>
      <c r="E14" s="77">
        <f t="shared" si="0"/>
        <v>439338</v>
      </c>
      <c r="F14" s="77">
        <v>91653</v>
      </c>
      <c r="G14" s="77">
        <v>4485</v>
      </c>
      <c r="H14" s="79"/>
      <c r="I14" s="79">
        <f>'2011B Academic'!I14</f>
        <v>0</v>
      </c>
      <c r="J14" s="79">
        <f>'2011B Academic'!J14</f>
        <v>238484.04525420006</v>
      </c>
      <c r="K14" s="79">
        <f t="shared" si="1"/>
        <v>238484.04525420006</v>
      </c>
      <c r="L14" s="79">
        <f>'2011B Academic'!L14</f>
        <v>49751.6222127</v>
      </c>
      <c r="M14" s="79">
        <f>'2011B Academic'!M14</f>
        <v>2434.5741615</v>
      </c>
      <c r="N14" s="79"/>
      <c r="O14" s="78">
        <f t="shared" si="2"/>
        <v>0</v>
      </c>
      <c r="P14" s="80">
        <f t="shared" si="2"/>
        <v>200853.95474579997</v>
      </c>
      <c r="Q14" s="78">
        <f t="shared" si="3"/>
        <v>200853.95474579997</v>
      </c>
      <c r="R14" s="78">
        <f t="shared" si="4"/>
        <v>41901.37778729999</v>
      </c>
      <c r="S14" s="78">
        <f t="shared" si="4"/>
        <v>2050.4258385</v>
      </c>
      <c r="T14" s="79"/>
      <c r="U14" s="78"/>
      <c r="V14" s="77">
        <f t="shared" si="5"/>
        <v>35904.458712</v>
      </c>
      <c r="W14" s="78">
        <f t="shared" si="6"/>
        <v>35904.458712</v>
      </c>
      <c r="X14" s="78">
        <f t="shared" si="7"/>
        <v>7490.249772</v>
      </c>
      <c r="Y14" s="77">
        <f t="shared" si="8"/>
        <v>366.53214</v>
      </c>
      <c r="Z14" s="79"/>
      <c r="AA14" s="78"/>
      <c r="AB14" s="78">
        <f t="shared" si="9"/>
        <v>26168.9922348</v>
      </c>
      <c r="AC14" s="78">
        <f t="shared" si="10"/>
        <v>26168.9922348</v>
      </c>
      <c r="AD14" s="78">
        <f t="shared" si="11"/>
        <v>5459.2742838</v>
      </c>
      <c r="AE14" s="77">
        <f t="shared" si="12"/>
        <v>267.14723100000003</v>
      </c>
      <c r="AF14" s="79"/>
      <c r="AG14" s="78"/>
      <c r="AH14" s="78">
        <f t="shared" si="13"/>
        <v>13874.469775200001</v>
      </c>
      <c r="AI14" s="78">
        <f t="shared" si="14"/>
        <v>13874.469775200001</v>
      </c>
      <c r="AJ14" s="78">
        <f t="shared" si="15"/>
        <v>2894.4384012</v>
      </c>
      <c r="AK14" s="77">
        <f t="shared" si="16"/>
        <v>141.638094</v>
      </c>
      <c r="AL14" s="79"/>
      <c r="AM14" s="78"/>
      <c r="AN14" s="78">
        <f t="shared" si="17"/>
        <v>10090.715184</v>
      </c>
      <c r="AO14" s="78">
        <f t="shared" si="18"/>
        <v>10090.715184</v>
      </c>
      <c r="AP14" s="78">
        <f t="shared" si="19"/>
        <v>2105.086104</v>
      </c>
      <c r="AQ14" s="77">
        <f t="shared" si="20"/>
        <v>103.01147999999999</v>
      </c>
      <c r="AR14" s="79"/>
      <c r="AS14" s="78"/>
      <c r="AT14" s="78">
        <f t="shared" si="21"/>
        <v>1155.8543442</v>
      </c>
      <c r="AU14" s="78">
        <f t="shared" si="22"/>
        <v>1155.8543442</v>
      </c>
      <c r="AV14" s="78">
        <f t="shared" si="23"/>
        <v>241.12987769999998</v>
      </c>
      <c r="AW14" s="77">
        <f t="shared" si="24"/>
        <v>11.799586499999998</v>
      </c>
      <c r="AX14" s="79"/>
      <c r="AY14" s="78"/>
      <c r="AZ14" s="78">
        <f t="shared" si="25"/>
        <v>18286.521640199997</v>
      </c>
      <c r="BA14" s="78">
        <f t="shared" si="26"/>
        <v>18286.521640199997</v>
      </c>
      <c r="BB14" s="78">
        <f t="shared" si="27"/>
        <v>3814.8636536999998</v>
      </c>
      <c r="BC14" s="77">
        <f t="shared" si="28"/>
        <v>186.67870649999998</v>
      </c>
      <c r="BD14" s="79"/>
      <c r="BE14" s="78"/>
      <c r="BF14" s="78">
        <f t="shared" si="29"/>
        <v>1982.3369897999999</v>
      </c>
      <c r="BG14" s="78">
        <f t="shared" si="30"/>
        <v>1982.3369897999999</v>
      </c>
      <c r="BH14" s="78">
        <f t="shared" si="31"/>
        <v>413.54750129999996</v>
      </c>
      <c r="BI14" s="77">
        <f t="shared" si="32"/>
        <v>20.2367685</v>
      </c>
      <c r="BJ14" s="79"/>
      <c r="BK14" s="78"/>
      <c r="BL14" s="78">
        <f t="shared" si="33"/>
        <v>6201.1240686</v>
      </c>
      <c r="BM14" s="78">
        <f t="shared" si="34"/>
        <v>6201.1240686</v>
      </c>
      <c r="BN14" s="78">
        <f t="shared" si="35"/>
        <v>1293.6545991</v>
      </c>
      <c r="BO14" s="77">
        <f t="shared" si="36"/>
        <v>63.304429500000005</v>
      </c>
      <c r="BP14" s="79"/>
      <c r="BQ14" s="78"/>
      <c r="BR14" s="78">
        <f t="shared" si="37"/>
        <v>3144.7374702</v>
      </c>
      <c r="BS14" s="78">
        <f t="shared" si="38"/>
        <v>3144.7374702</v>
      </c>
      <c r="BT14" s="78">
        <f t="shared" si="39"/>
        <v>656.0430087</v>
      </c>
      <c r="BU14" s="77">
        <f t="shared" si="40"/>
        <v>32.1031815</v>
      </c>
      <c r="BV14" s="79"/>
      <c r="BW14" s="78"/>
      <c r="BX14" s="78">
        <f t="shared" si="41"/>
        <v>610.7237537999999</v>
      </c>
      <c r="BY14" s="78">
        <f t="shared" si="42"/>
        <v>610.7237537999999</v>
      </c>
      <c r="BZ14" s="78">
        <f t="shared" si="43"/>
        <v>127.4068353</v>
      </c>
      <c r="CA14" s="77">
        <f t="shared" si="44"/>
        <v>6.2345985</v>
      </c>
      <c r="CB14" s="79"/>
      <c r="CC14" s="78"/>
      <c r="CD14" s="78">
        <f t="shared" si="45"/>
        <v>2426.6395092000002</v>
      </c>
      <c r="CE14" s="78">
        <f t="shared" si="46"/>
        <v>2426.6395092000002</v>
      </c>
      <c r="CF14" s="78">
        <f t="shared" si="47"/>
        <v>506.23618020000004</v>
      </c>
      <c r="CG14" s="77">
        <f t="shared" si="48"/>
        <v>24.772449</v>
      </c>
      <c r="CH14" s="79"/>
      <c r="CI14" s="78"/>
      <c r="CJ14" s="78">
        <f t="shared" si="49"/>
        <v>5918.453999399999</v>
      </c>
      <c r="CK14" s="78">
        <f t="shared" si="50"/>
        <v>5918.453999399999</v>
      </c>
      <c r="CL14" s="78">
        <f t="shared" si="51"/>
        <v>1234.6850589</v>
      </c>
      <c r="CM14" s="77">
        <f t="shared" si="52"/>
        <v>60.418780500000004</v>
      </c>
      <c r="CN14" s="79"/>
      <c r="CO14" s="78"/>
      <c r="CP14" s="78">
        <f t="shared" si="53"/>
        <v>13247.095111199998</v>
      </c>
      <c r="CQ14" s="78">
        <f t="shared" si="54"/>
        <v>13247.095111199998</v>
      </c>
      <c r="CR14" s="78">
        <f t="shared" si="55"/>
        <v>2763.5579172</v>
      </c>
      <c r="CS14" s="77">
        <f t="shared" si="56"/>
        <v>135.23351399999999</v>
      </c>
      <c r="CT14" s="79"/>
      <c r="CU14" s="78"/>
      <c r="CV14" s="78">
        <f t="shared" si="57"/>
        <v>2004.2160222</v>
      </c>
      <c r="CW14" s="78">
        <f t="shared" si="58"/>
        <v>2004.2160222</v>
      </c>
      <c r="CX14" s="78">
        <f t="shared" si="59"/>
        <v>418.1118207</v>
      </c>
      <c r="CY14" s="77">
        <f t="shared" si="60"/>
        <v>20.4601215</v>
      </c>
      <c r="CZ14" s="79"/>
      <c r="DA14" s="78"/>
      <c r="DB14" s="78">
        <f t="shared" si="61"/>
        <v>5758.7985702</v>
      </c>
      <c r="DC14" s="78">
        <f t="shared" si="62"/>
        <v>5758.7985702</v>
      </c>
      <c r="DD14" s="78">
        <f t="shared" si="63"/>
        <v>1201.3783587</v>
      </c>
      <c r="DE14" s="77">
        <f t="shared" si="64"/>
        <v>58.788931500000004</v>
      </c>
      <c r="DF14" s="79"/>
      <c r="DG14" s="78"/>
      <c r="DH14" s="78">
        <f t="shared" si="65"/>
        <v>221.90962380000002</v>
      </c>
      <c r="DI14" s="78">
        <f t="shared" si="66"/>
        <v>221.90962380000002</v>
      </c>
      <c r="DJ14" s="78">
        <f t="shared" si="67"/>
        <v>46.2939303</v>
      </c>
      <c r="DK14" s="77">
        <f t="shared" si="68"/>
        <v>2.2653735</v>
      </c>
      <c r="DL14" s="79"/>
      <c r="DM14" s="90"/>
      <c r="DN14" s="90">
        <f t="shared" si="69"/>
        <v>12148.4865084</v>
      </c>
      <c r="DO14" s="90">
        <f t="shared" si="70"/>
        <v>12148.4865084</v>
      </c>
      <c r="DP14" s="90">
        <f t="shared" si="71"/>
        <v>2534.3704254</v>
      </c>
      <c r="DQ14" s="94">
        <f t="shared" si="72"/>
        <v>124.01832300000001</v>
      </c>
      <c r="DR14" s="79"/>
      <c r="DS14" s="78"/>
      <c r="DT14" s="78">
        <f t="shared" si="73"/>
        <v>1912.6140492</v>
      </c>
      <c r="DU14" s="78">
        <f t="shared" si="74"/>
        <v>1912.6140492</v>
      </c>
      <c r="DV14" s="78">
        <f t="shared" si="75"/>
        <v>399.0021702</v>
      </c>
      <c r="DW14" s="77">
        <f t="shared" si="76"/>
        <v>19.524999</v>
      </c>
      <c r="DX14" s="79"/>
      <c r="DY14" s="78"/>
      <c r="DZ14" s="78">
        <f t="shared" si="77"/>
        <v>9842.4452802</v>
      </c>
      <c r="EA14" s="78">
        <f t="shared" si="78"/>
        <v>9842.4452802</v>
      </c>
      <c r="EB14" s="78">
        <f t="shared" si="79"/>
        <v>2053.2929937</v>
      </c>
      <c r="EC14" s="77">
        <f t="shared" si="80"/>
        <v>100.4770065</v>
      </c>
      <c r="ED14" s="79"/>
      <c r="EE14" s="78"/>
      <c r="EF14" s="78">
        <f t="shared" si="81"/>
        <v>2809.9179804</v>
      </c>
      <c r="EG14" s="78">
        <f t="shared" si="82"/>
        <v>2809.9179804</v>
      </c>
      <c r="EH14" s="78">
        <f t="shared" si="83"/>
        <v>586.1942574</v>
      </c>
      <c r="EI14" s="77">
        <f t="shared" si="84"/>
        <v>28.685163</v>
      </c>
      <c r="EJ14" s="79"/>
      <c r="EK14" s="78"/>
      <c r="EL14" s="78">
        <f t="shared" si="85"/>
        <v>28.205499600000003</v>
      </c>
      <c r="EM14" s="78">
        <f t="shared" si="86"/>
        <v>28.205499600000003</v>
      </c>
      <c r="EN14" s="78">
        <f t="shared" si="87"/>
        <v>5.8841226</v>
      </c>
      <c r="EO14" s="77">
        <f t="shared" si="88"/>
        <v>0.287937</v>
      </c>
      <c r="EP14" s="79"/>
      <c r="EQ14" s="78"/>
      <c r="ER14" s="78">
        <f t="shared" si="89"/>
        <v>52.369089599999995</v>
      </c>
      <c r="ES14" s="78">
        <f t="shared" si="90"/>
        <v>52.369089599999995</v>
      </c>
      <c r="ET14" s="78">
        <f t="shared" si="91"/>
        <v>10.9250376</v>
      </c>
      <c r="EU14" s="77">
        <f t="shared" si="92"/>
        <v>0.534612</v>
      </c>
      <c r="EV14" s="79"/>
      <c r="EW14" s="78"/>
      <c r="EX14" s="78">
        <f t="shared" si="93"/>
        <v>9466.6794888</v>
      </c>
      <c r="EY14" s="78">
        <f t="shared" si="94"/>
        <v>9466.6794888</v>
      </c>
      <c r="EZ14" s="78">
        <f t="shared" si="95"/>
        <v>1974.9021828</v>
      </c>
      <c r="FA14" s="77">
        <f t="shared" si="96"/>
        <v>96.640986</v>
      </c>
      <c r="FB14" s="79"/>
      <c r="FC14" s="78"/>
      <c r="FD14" s="78">
        <f t="shared" si="97"/>
        <v>17596.1898408</v>
      </c>
      <c r="FE14" s="78">
        <f t="shared" si="98"/>
        <v>17596.1898408</v>
      </c>
      <c r="FF14" s="78">
        <f t="shared" si="99"/>
        <v>3670.8492948</v>
      </c>
      <c r="FG14" s="77">
        <f t="shared" si="100"/>
        <v>179.631426</v>
      </c>
      <c r="FH14" s="79"/>
      <c r="FI14" s="80"/>
      <c r="FJ14" s="78"/>
      <c r="FK14" s="78"/>
      <c r="FL14" s="78"/>
      <c r="FM14" s="77">
        <f t="shared" si="101"/>
        <v>0</v>
      </c>
    </row>
    <row r="15" spans="1:169" s="52" customFormat="1" ht="12.75">
      <c r="A15" s="51">
        <v>44287</v>
      </c>
      <c r="C15" s="42">
        <v>5000</v>
      </c>
      <c r="D15" s="42">
        <v>439338</v>
      </c>
      <c r="E15" s="77">
        <f t="shared" si="0"/>
        <v>444338</v>
      </c>
      <c r="F15" s="77">
        <v>91653</v>
      </c>
      <c r="G15" s="77">
        <v>4485</v>
      </c>
      <c r="H15" s="79"/>
      <c r="I15" s="79">
        <f>'2011B Academic'!I15</f>
        <v>2714.1295</v>
      </c>
      <c r="J15" s="79">
        <f>'2011B Academic'!J15</f>
        <v>238484.04525420006</v>
      </c>
      <c r="K15" s="79">
        <f t="shared" si="1"/>
        <v>241198.17475420007</v>
      </c>
      <c r="L15" s="79">
        <f>'2011B Academic'!L15</f>
        <v>49751.6222127</v>
      </c>
      <c r="M15" s="79">
        <f>'2011B Academic'!M15</f>
        <v>2434.5741615</v>
      </c>
      <c r="N15" s="79"/>
      <c r="O15" s="78">
        <f t="shared" si="2"/>
        <v>2285.8705</v>
      </c>
      <c r="P15" s="80">
        <f t="shared" si="2"/>
        <v>200853.95474579997</v>
      </c>
      <c r="Q15" s="78">
        <f t="shared" si="3"/>
        <v>203139.82524579996</v>
      </c>
      <c r="R15" s="78">
        <f t="shared" si="4"/>
        <v>41901.37778729999</v>
      </c>
      <c r="S15" s="78">
        <f t="shared" si="4"/>
        <v>2050.4258385</v>
      </c>
      <c r="T15" s="79"/>
      <c r="U15" s="78">
        <f t="shared" si="102"/>
        <v>408.62</v>
      </c>
      <c r="V15" s="77">
        <f t="shared" si="5"/>
        <v>35904.458712</v>
      </c>
      <c r="W15" s="78">
        <f t="shared" si="6"/>
        <v>36313.078712</v>
      </c>
      <c r="X15" s="78">
        <f t="shared" si="7"/>
        <v>7490.249772</v>
      </c>
      <c r="Y15" s="77">
        <f t="shared" si="8"/>
        <v>366.53214</v>
      </c>
      <c r="Z15" s="79"/>
      <c r="AA15" s="78">
        <f t="shared" si="103"/>
        <v>297.823</v>
      </c>
      <c r="AB15" s="78">
        <f t="shared" si="9"/>
        <v>26168.9922348</v>
      </c>
      <c r="AC15" s="78">
        <f t="shared" si="10"/>
        <v>26466.8152348</v>
      </c>
      <c r="AD15" s="78">
        <f t="shared" si="11"/>
        <v>5459.2742838</v>
      </c>
      <c r="AE15" s="77">
        <f t="shared" si="12"/>
        <v>267.14723100000003</v>
      </c>
      <c r="AF15" s="79"/>
      <c r="AG15" s="78">
        <f t="shared" si="104"/>
        <v>157.90200000000002</v>
      </c>
      <c r="AH15" s="78">
        <f t="shared" si="13"/>
        <v>13874.469775200001</v>
      </c>
      <c r="AI15" s="78">
        <f t="shared" si="14"/>
        <v>14032.371775200001</v>
      </c>
      <c r="AJ15" s="78">
        <f t="shared" si="15"/>
        <v>2894.4384012</v>
      </c>
      <c r="AK15" s="77">
        <f t="shared" si="16"/>
        <v>141.638094</v>
      </c>
      <c r="AL15" s="79"/>
      <c r="AM15" s="78">
        <f t="shared" si="105"/>
        <v>114.84</v>
      </c>
      <c r="AN15" s="78">
        <f t="shared" si="17"/>
        <v>10090.715184</v>
      </c>
      <c r="AO15" s="78">
        <f t="shared" si="18"/>
        <v>10205.555184</v>
      </c>
      <c r="AP15" s="78">
        <f t="shared" si="19"/>
        <v>2105.086104</v>
      </c>
      <c r="AQ15" s="77">
        <f t="shared" si="20"/>
        <v>103.01147999999999</v>
      </c>
      <c r="AR15" s="79"/>
      <c r="AS15" s="78">
        <f t="shared" si="106"/>
        <v>13.1545</v>
      </c>
      <c r="AT15" s="78">
        <f t="shared" si="21"/>
        <v>1155.8543442</v>
      </c>
      <c r="AU15" s="78">
        <f t="shared" si="22"/>
        <v>1169.0088442</v>
      </c>
      <c r="AV15" s="78">
        <f t="shared" si="23"/>
        <v>241.12987769999998</v>
      </c>
      <c r="AW15" s="77">
        <f t="shared" si="24"/>
        <v>11.799586499999998</v>
      </c>
      <c r="AX15" s="79"/>
      <c r="AY15" s="78">
        <f t="shared" si="107"/>
        <v>208.11449999999996</v>
      </c>
      <c r="AZ15" s="78">
        <f t="shared" si="25"/>
        <v>18286.521640199997</v>
      </c>
      <c r="BA15" s="78">
        <f t="shared" si="26"/>
        <v>18494.636140199997</v>
      </c>
      <c r="BB15" s="78">
        <f t="shared" si="27"/>
        <v>3814.8636536999998</v>
      </c>
      <c r="BC15" s="77">
        <f t="shared" si="28"/>
        <v>186.67870649999998</v>
      </c>
      <c r="BD15" s="79"/>
      <c r="BE15" s="78">
        <f t="shared" si="108"/>
        <v>22.5605</v>
      </c>
      <c r="BF15" s="78">
        <f t="shared" si="29"/>
        <v>1982.3369897999999</v>
      </c>
      <c r="BG15" s="78">
        <f t="shared" si="30"/>
        <v>2004.8974898</v>
      </c>
      <c r="BH15" s="78">
        <f t="shared" si="31"/>
        <v>413.54750129999996</v>
      </c>
      <c r="BI15" s="77">
        <f t="shared" si="32"/>
        <v>20.2367685</v>
      </c>
      <c r="BJ15" s="79"/>
      <c r="BK15" s="78">
        <f t="shared" si="109"/>
        <v>70.57350000000001</v>
      </c>
      <c r="BL15" s="78">
        <f t="shared" si="33"/>
        <v>6201.1240686</v>
      </c>
      <c r="BM15" s="78">
        <f t="shared" si="34"/>
        <v>6271.6975686000005</v>
      </c>
      <c r="BN15" s="78">
        <f t="shared" si="35"/>
        <v>1293.6545991</v>
      </c>
      <c r="BO15" s="77">
        <f t="shared" si="36"/>
        <v>63.304429500000005</v>
      </c>
      <c r="BP15" s="79"/>
      <c r="BQ15" s="78">
        <f t="shared" si="110"/>
        <v>35.789500000000004</v>
      </c>
      <c r="BR15" s="78">
        <f t="shared" si="37"/>
        <v>3144.7374702</v>
      </c>
      <c r="BS15" s="78">
        <f t="shared" si="38"/>
        <v>3180.5269702</v>
      </c>
      <c r="BT15" s="78">
        <f t="shared" si="39"/>
        <v>656.0430087</v>
      </c>
      <c r="BU15" s="77">
        <f t="shared" si="40"/>
        <v>32.1031815</v>
      </c>
      <c r="BV15" s="79"/>
      <c r="BW15" s="78">
        <f t="shared" si="111"/>
        <v>6.9505</v>
      </c>
      <c r="BX15" s="78">
        <f t="shared" si="41"/>
        <v>610.7237537999999</v>
      </c>
      <c r="BY15" s="78">
        <f t="shared" si="42"/>
        <v>617.6742538</v>
      </c>
      <c r="BZ15" s="78">
        <f t="shared" si="43"/>
        <v>127.4068353</v>
      </c>
      <c r="CA15" s="77">
        <f t="shared" si="44"/>
        <v>6.2345985</v>
      </c>
      <c r="CB15" s="79"/>
      <c r="CC15" s="78">
        <f t="shared" si="112"/>
        <v>27.617000000000004</v>
      </c>
      <c r="CD15" s="78">
        <f t="shared" si="45"/>
        <v>2426.6395092000002</v>
      </c>
      <c r="CE15" s="78">
        <f t="shared" si="46"/>
        <v>2454.2565092000004</v>
      </c>
      <c r="CF15" s="78">
        <f t="shared" si="47"/>
        <v>506.23618020000004</v>
      </c>
      <c r="CG15" s="77">
        <f t="shared" si="48"/>
        <v>24.772449</v>
      </c>
      <c r="CH15" s="79"/>
      <c r="CI15" s="78">
        <f t="shared" si="113"/>
        <v>67.3565</v>
      </c>
      <c r="CJ15" s="78">
        <f t="shared" si="49"/>
        <v>5918.453999399999</v>
      </c>
      <c r="CK15" s="78">
        <f t="shared" si="50"/>
        <v>5985.810499399999</v>
      </c>
      <c r="CL15" s="78">
        <f t="shared" si="51"/>
        <v>1234.6850589</v>
      </c>
      <c r="CM15" s="77">
        <f t="shared" si="52"/>
        <v>60.418780500000004</v>
      </c>
      <c r="CN15" s="79"/>
      <c r="CO15" s="78">
        <f t="shared" si="114"/>
        <v>150.762</v>
      </c>
      <c r="CP15" s="78">
        <f t="shared" si="53"/>
        <v>13247.095111199998</v>
      </c>
      <c r="CQ15" s="78">
        <f t="shared" si="54"/>
        <v>13397.857111199999</v>
      </c>
      <c r="CR15" s="78">
        <f t="shared" si="55"/>
        <v>2763.5579172</v>
      </c>
      <c r="CS15" s="77">
        <f t="shared" si="56"/>
        <v>135.23351399999999</v>
      </c>
      <c r="CT15" s="79"/>
      <c r="CU15" s="78">
        <f t="shared" si="115"/>
        <v>22.8095</v>
      </c>
      <c r="CV15" s="78">
        <f t="shared" si="57"/>
        <v>2004.2160222</v>
      </c>
      <c r="CW15" s="78">
        <f t="shared" si="58"/>
        <v>2027.0255222</v>
      </c>
      <c r="CX15" s="78">
        <f t="shared" si="59"/>
        <v>418.1118207</v>
      </c>
      <c r="CY15" s="77">
        <f t="shared" si="60"/>
        <v>20.4601215</v>
      </c>
      <c r="CZ15" s="79"/>
      <c r="DA15" s="78">
        <f t="shared" si="116"/>
        <v>65.5395</v>
      </c>
      <c r="DB15" s="78">
        <f t="shared" si="61"/>
        <v>5758.7985702</v>
      </c>
      <c r="DC15" s="78">
        <f t="shared" si="62"/>
        <v>5824.3380701999995</v>
      </c>
      <c r="DD15" s="78">
        <f t="shared" si="63"/>
        <v>1201.3783587</v>
      </c>
      <c r="DE15" s="77">
        <f t="shared" si="64"/>
        <v>58.788931500000004</v>
      </c>
      <c r="DF15" s="79"/>
      <c r="DG15" s="78">
        <f t="shared" si="117"/>
        <v>2.5254999999999996</v>
      </c>
      <c r="DH15" s="78">
        <f t="shared" si="65"/>
        <v>221.90962380000002</v>
      </c>
      <c r="DI15" s="78">
        <f t="shared" si="66"/>
        <v>224.4351238</v>
      </c>
      <c r="DJ15" s="78">
        <f t="shared" si="67"/>
        <v>46.2939303</v>
      </c>
      <c r="DK15" s="77">
        <f t="shared" si="68"/>
        <v>2.2653735</v>
      </c>
      <c r="DL15" s="79"/>
      <c r="DM15" s="90">
        <f t="shared" si="118"/>
        <v>138.259</v>
      </c>
      <c r="DN15" s="90">
        <f t="shared" si="69"/>
        <v>12148.4865084</v>
      </c>
      <c r="DO15" s="90">
        <f t="shared" si="70"/>
        <v>12286.7455084</v>
      </c>
      <c r="DP15" s="90">
        <f t="shared" si="71"/>
        <v>2534.3704254</v>
      </c>
      <c r="DQ15" s="94">
        <f t="shared" si="72"/>
        <v>124.01832300000001</v>
      </c>
      <c r="DR15" s="79"/>
      <c r="DS15" s="78">
        <f t="shared" si="119"/>
        <v>21.767</v>
      </c>
      <c r="DT15" s="78">
        <f t="shared" si="73"/>
        <v>1912.6140492</v>
      </c>
      <c r="DU15" s="78">
        <f t="shared" si="74"/>
        <v>1934.3810492</v>
      </c>
      <c r="DV15" s="78">
        <f t="shared" si="75"/>
        <v>399.0021702</v>
      </c>
      <c r="DW15" s="77">
        <f t="shared" si="76"/>
        <v>19.524999</v>
      </c>
      <c r="DX15" s="79"/>
      <c r="DY15" s="78">
        <f t="shared" si="120"/>
        <v>112.01449999999998</v>
      </c>
      <c r="DZ15" s="78">
        <f t="shared" si="77"/>
        <v>9842.4452802</v>
      </c>
      <c r="EA15" s="78">
        <f t="shared" si="78"/>
        <v>9954.459780199999</v>
      </c>
      <c r="EB15" s="78">
        <f t="shared" si="79"/>
        <v>2053.2929937</v>
      </c>
      <c r="EC15" s="77">
        <f t="shared" si="80"/>
        <v>100.4770065</v>
      </c>
      <c r="ED15" s="79"/>
      <c r="EE15" s="78">
        <f t="shared" si="121"/>
        <v>31.979</v>
      </c>
      <c r="EF15" s="78">
        <f t="shared" si="81"/>
        <v>2809.9179804</v>
      </c>
      <c r="EG15" s="78">
        <f t="shared" si="82"/>
        <v>2841.8969804</v>
      </c>
      <c r="EH15" s="78">
        <f t="shared" si="83"/>
        <v>586.1942574</v>
      </c>
      <c r="EI15" s="77">
        <f t="shared" si="84"/>
        <v>28.685163</v>
      </c>
      <c r="EJ15" s="79"/>
      <c r="EK15" s="78">
        <f t="shared" si="122"/>
        <v>0.321</v>
      </c>
      <c r="EL15" s="78">
        <f t="shared" si="85"/>
        <v>28.205499600000003</v>
      </c>
      <c r="EM15" s="78">
        <f t="shared" si="86"/>
        <v>28.526499600000005</v>
      </c>
      <c r="EN15" s="78">
        <f t="shared" si="87"/>
        <v>5.8841226</v>
      </c>
      <c r="EO15" s="77">
        <f t="shared" si="88"/>
        <v>0.287937</v>
      </c>
      <c r="EP15" s="79"/>
      <c r="EQ15" s="78">
        <f t="shared" si="123"/>
        <v>0.596</v>
      </c>
      <c r="ER15" s="78">
        <f t="shared" si="89"/>
        <v>52.369089599999995</v>
      </c>
      <c r="ES15" s="78">
        <f t="shared" si="90"/>
        <v>52.96508959999999</v>
      </c>
      <c r="ET15" s="78">
        <f t="shared" si="91"/>
        <v>10.9250376</v>
      </c>
      <c r="EU15" s="77">
        <f t="shared" si="92"/>
        <v>0.534612</v>
      </c>
      <c r="EV15" s="79"/>
      <c r="EW15" s="78">
        <f t="shared" si="124"/>
        <v>107.738</v>
      </c>
      <c r="EX15" s="78">
        <f t="shared" si="93"/>
        <v>9466.6794888</v>
      </c>
      <c r="EY15" s="78">
        <f t="shared" si="94"/>
        <v>9574.4174888</v>
      </c>
      <c r="EZ15" s="78">
        <f t="shared" si="95"/>
        <v>1974.9021828</v>
      </c>
      <c r="FA15" s="77">
        <f t="shared" si="96"/>
        <v>96.640986</v>
      </c>
      <c r="FB15" s="79"/>
      <c r="FC15" s="78">
        <f t="shared" si="125"/>
        <v>200.25799999999998</v>
      </c>
      <c r="FD15" s="78">
        <f t="shared" si="97"/>
        <v>17596.1898408</v>
      </c>
      <c r="FE15" s="78">
        <f t="shared" si="98"/>
        <v>17796.447840800003</v>
      </c>
      <c r="FF15" s="78">
        <f t="shared" si="99"/>
        <v>3670.8492948</v>
      </c>
      <c r="FG15" s="77">
        <f t="shared" si="100"/>
        <v>179.631426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.75">
      <c r="A16" s="51">
        <v>44470</v>
      </c>
      <c r="C16" s="42"/>
      <c r="D16" s="42">
        <v>439263</v>
      </c>
      <c r="E16" s="77">
        <f t="shared" si="0"/>
        <v>439263</v>
      </c>
      <c r="F16" s="77">
        <v>91653</v>
      </c>
      <c r="G16" s="77">
        <v>4485</v>
      </c>
      <c r="H16" s="79"/>
      <c r="I16" s="79">
        <f>'2011B Academic'!I16</f>
        <v>0</v>
      </c>
      <c r="J16" s="79">
        <f>'2011B Academic'!J16</f>
        <v>238443.33331170003</v>
      </c>
      <c r="K16" s="79">
        <f t="shared" si="1"/>
        <v>238443.33331170003</v>
      </c>
      <c r="L16" s="79">
        <f>'2011B Academic'!L16</f>
        <v>49751.6222127</v>
      </c>
      <c r="M16" s="79">
        <f>'2011B Academic'!M16</f>
        <v>2434.5741615</v>
      </c>
      <c r="N16" s="79"/>
      <c r="O16" s="78">
        <f t="shared" si="2"/>
        <v>0</v>
      </c>
      <c r="P16" s="80">
        <f t="shared" si="2"/>
        <v>200819.6666883</v>
      </c>
      <c r="Q16" s="78">
        <f t="shared" si="3"/>
        <v>200819.6666883</v>
      </c>
      <c r="R16" s="78">
        <f t="shared" si="4"/>
        <v>41901.37778729999</v>
      </c>
      <c r="S16" s="78">
        <f t="shared" si="4"/>
        <v>2050.4258385</v>
      </c>
      <c r="T16" s="79"/>
      <c r="U16" s="78"/>
      <c r="V16" s="77">
        <f t="shared" si="5"/>
        <v>35898.329412</v>
      </c>
      <c r="W16" s="78">
        <f t="shared" si="6"/>
        <v>35898.329412</v>
      </c>
      <c r="X16" s="78">
        <f t="shared" si="7"/>
        <v>7490.249772</v>
      </c>
      <c r="Y16" s="77">
        <f t="shared" si="8"/>
        <v>366.53214</v>
      </c>
      <c r="Z16" s="79"/>
      <c r="AA16" s="78"/>
      <c r="AB16" s="78">
        <f t="shared" si="9"/>
        <v>26164.5248898</v>
      </c>
      <c r="AC16" s="78">
        <f t="shared" si="10"/>
        <v>26164.5248898</v>
      </c>
      <c r="AD16" s="78">
        <f t="shared" si="11"/>
        <v>5459.2742838</v>
      </c>
      <c r="AE16" s="77">
        <f t="shared" si="12"/>
        <v>267.14723100000003</v>
      </c>
      <c r="AF16" s="79"/>
      <c r="AG16" s="78"/>
      <c r="AH16" s="78">
        <f t="shared" si="13"/>
        <v>13872.101245200001</v>
      </c>
      <c r="AI16" s="78">
        <f t="shared" si="14"/>
        <v>13872.101245200001</v>
      </c>
      <c r="AJ16" s="78">
        <f t="shared" si="15"/>
        <v>2894.4384012</v>
      </c>
      <c r="AK16" s="77">
        <f t="shared" si="16"/>
        <v>141.638094</v>
      </c>
      <c r="AL16" s="79"/>
      <c r="AM16" s="78"/>
      <c r="AN16" s="78">
        <f t="shared" si="17"/>
        <v>10088.992584</v>
      </c>
      <c r="AO16" s="78">
        <f t="shared" si="18"/>
        <v>10088.992584</v>
      </c>
      <c r="AP16" s="78">
        <f t="shared" si="19"/>
        <v>2105.086104</v>
      </c>
      <c r="AQ16" s="77">
        <f t="shared" si="20"/>
        <v>103.01147999999999</v>
      </c>
      <c r="AR16" s="79"/>
      <c r="AS16" s="78"/>
      <c r="AT16" s="78">
        <f t="shared" si="21"/>
        <v>1155.6570267</v>
      </c>
      <c r="AU16" s="78">
        <f t="shared" si="22"/>
        <v>1155.6570267</v>
      </c>
      <c r="AV16" s="78">
        <f t="shared" si="23"/>
        <v>241.12987769999998</v>
      </c>
      <c r="AW16" s="77">
        <f t="shared" si="24"/>
        <v>11.799586499999998</v>
      </c>
      <c r="AX16" s="79"/>
      <c r="AY16" s="78"/>
      <c r="AZ16" s="78">
        <f t="shared" si="25"/>
        <v>18283.3999227</v>
      </c>
      <c r="BA16" s="78">
        <f t="shared" si="26"/>
        <v>18283.3999227</v>
      </c>
      <c r="BB16" s="78">
        <f t="shared" si="27"/>
        <v>3814.8636536999998</v>
      </c>
      <c r="BC16" s="77">
        <f t="shared" si="28"/>
        <v>186.67870649999998</v>
      </c>
      <c r="BD16" s="79"/>
      <c r="BE16" s="78"/>
      <c r="BF16" s="78">
        <f t="shared" si="29"/>
        <v>1981.9985823000002</v>
      </c>
      <c r="BG16" s="78">
        <f t="shared" si="30"/>
        <v>1981.9985823000002</v>
      </c>
      <c r="BH16" s="78">
        <f t="shared" si="31"/>
        <v>413.54750129999996</v>
      </c>
      <c r="BI16" s="77">
        <f t="shared" si="32"/>
        <v>20.2367685</v>
      </c>
      <c r="BJ16" s="79"/>
      <c r="BK16" s="78"/>
      <c r="BL16" s="78">
        <f t="shared" si="33"/>
        <v>6200.0654661</v>
      </c>
      <c r="BM16" s="78">
        <f t="shared" si="34"/>
        <v>6200.0654661</v>
      </c>
      <c r="BN16" s="78">
        <f t="shared" si="35"/>
        <v>1293.6545991</v>
      </c>
      <c r="BO16" s="77">
        <f t="shared" si="36"/>
        <v>63.304429500000005</v>
      </c>
      <c r="BP16" s="79"/>
      <c r="BQ16" s="78"/>
      <c r="BR16" s="78">
        <f t="shared" si="37"/>
        <v>3144.2006277</v>
      </c>
      <c r="BS16" s="78">
        <f t="shared" si="38"/>
        <v>3144.2006277</v>
      </c>
      <c r="BT16" s="78">
        <f t="shared" si="39"/>
        <v>656.0430087</v>
      </c>
      <c r="BU16" s="77">
        <f t="shared" si="40"/>
        <v>32.1031815</v>
      </c>
      <c r="BV16" s="79"/>
      <c r="BW16" s="78"/>
      <c r="BX16" s="78">
        <f t="shared" si="41"/>
        <v>610.6194962999999</v>
      </c>
      <c r="BY16" s="78">
        <f t="shared" si="42"/>
        <v>610.6194962999999</v>
      </c>
      <c r="BZ16" s="78">
        <f t="shared" si="43"/>
        <v>127.4068353</v>
      </c>
      <c r="CA16" s="77">
        <f t="shared" si="44"/>
        <v>6.2345985</v>
      </c>
      <c r="CB16" s="79"/>
      <c r="CC16" s="78"/>
      <c r="CD16" s="78">
        <f t="shared" si="45"/>
        <v>2426.2252542</v>
      </c>
      <c r="CE16" s="78">
        <f t="shared" si="46"/>
        <v>2426.2252542</v>
      </c>
      <c r="CF16" s="78">
        <f t="shared" si="47"/>
        <v>506.23618020000004</v>
      </c>
      <c r="CG16" s="77">
        <f t="shared" si="48"/>
        <v>24.772449</v>
      </c>
      <c r="CH16" s="79"/>
      <c r="CI16" s="78"/>
      <c r="CJ16" s="78">
        <f t="shared" si="49"/>
        <v>5917.443651899999</v>
      </c>
      <c r="CK16" s="78">
        <f t="shared" si="50"/>
        <v>5917.443651899999</v>
      </c>
      <c r="CL16" s="78">
        <f t="shared" si="51"/>
        <v>1234.6850589</v>
      </c>
      <c r="CM16" s="77">
        <f t="shared" si="52"/>
        <v>60.418780500000004</v>
      </c>
      <c r="CN16" s="79"/>
      <c r="CO16" s="78"/>
      <c r="CP16" s="78">
        <f t="shared" si="53"/>
        <v>13244.8336812</v>
      </c>
      <c r="CQ16" s="78">
        <f t="shared" si="54"/>
        <v>13244.8336812</v>
      </c>
      <c r="CR16" s="78">
        <f t="shared" si="55"/>
        <v>2763.5579172</v>
      </c>
      <c r="CS16" s="77">
        <f t="shared" si="56"/>
        <v>135.23351399999999</v>
      </c>
      <c r="CT16" s="79"/>
      <c r="CU16" s="78"/>
      <c r="CV16" s="78">
        <f t="shared" si="57"/>
        <v>2003.8738796999999</v>
      </c>
      <c r="CW16" s="78">
        <f t="shared" si="58"/>
        <v>2003.8738796999999</v>
      </c>
      <c r="CX16" s="78">
        <f t="shared" si="59"/>
        <v>418.1118207</v>
      </c>
      <c r="CY16" s="77">
        <f t="shared" si="60"/>
        <v>20.4601215</v>
      </c>
      <c r="CZ16" s="79"/>
      <c r="DA16" s="78"/>
      <c r="DB16" s="78">
        <f t="shared" si="61"/>
        <v>5757.815477699999</v>
      </c>
      <c r="DC16" s="78">
        <f t="shared" si="62"/>
        <v>5757.815477699999</v>
      </c>
      <c r="DD16" s="78">
        <f t="shared" si="63"/>
        <v>1201.3783587</v>
      </c>
      <c r="DE16" s="77">
        <f t="shared" si="64"/>
        <v>58.788931500000004</v>
      </c>
      <c r="DF16" s="79"/>
      <c r="DG16" s="78"/>
      <c r="DH16" s="78">
        <f t="shared" si="65"/>
        <v>221.8717413</v>
      </c>
      <c r="DI16" s="78">
        <f t="shared" si="66"/>
        <v>221.8717413</v>
      </c>
      <c r="DJ16" s="78">
        <f t="shared" si="67"/>
        <v>46.2939303</v>
      </c>
      <c r="DK16" s="77">
        <f t="shared" si="68"/>
        <v>2.2653735</v>
      </c>
      <c r="DL16" s="79"/>
      <c r="DM16" s="90"/>
      <c r="DN16" s="90">
        <f t="shared" si="69"/>
        <v>12146.4126234</v>
      </c>
      <c r="DO16" s="90">
        <f t="shared" si="70"/>
        <v>12146.4126234</v>
      </c>
      <c r="DP16" s="90">
        <f t="shared" si="71"/>
        <v>2534.3704254</v>
      </c>
      <c r="DQ16" s="94">
        <f t="shared" si="72"/>
        <v>124.01832300000001</v>
      </c>
      <c r="DR16" s="79"/>
      <c r="DS16" s="78"/>
      <c r="DT16" s="78">
        <f t="shared" si="73"/>
        <v>1912.2875442000002</v>
      </c>
      <c r="DU16" s="78">
        <f t="shared" si="74"/>
        <v>1912.2875442000002</v>
      </c>
      <c r="DV16" s="78">
        <f t="shared" si="75"/>
        <v>399.0021702</v>
      </c>
      <c r="DW16" s="77">
        <f t="shared" si="76"/>
        <v>19.524999</v>
      </c>
      <c r="DX16" s="79"/>
      <c r="DY16" s="78"/>
      <c r="DZ16" s="78">
        <f t="shared" si="77"/>
        <v>9840.765062699998</v>
      </c>
      <c r="EA16" s="78">
        <f t="shared" si="78"/>
        <v>9840.765062699998</v>
      </c>
      <c r="EB16" s="78">
        <f t="shared" si="79"/>
        <v>2053.2929937</v>
      </c>
      <c r="EC16" s="77">
        <f t="shared" si="80"/>
        <v>100.4770065</v>
      </c>
      <c r="ED16" s="79"/>
      <c r="EE16" s="78"/>
      <c r="EF16" s="78">
        <f t="shared" si="81"/>
        <v>2809.4382954000002</v>
      </c>
      <c r="EG16" s="78">
        <f t="shared" si="82"/>
        <v>2809.4382954000002</v>
      </c>
      <c r="EH16" s="78">
        <f t="shared" si="83"/>
        <v>586.1942574</v>
      </c>
      <c r="EI16" s="77">
        <f t="shared" si="84"/>
        <v>28.685163</v>
      </c>
      <c r="EJ16" s="79"/>
      <c r="EK16" s="78"/>
      <c r="EL16" s="78">
        <f t="shared" si="85"/>
        <v>28.2006846</v>
      </c>
      <c r="EM16" s="78">
        <f t="shared" si="86"/>
        <v>28.2006846</v>
      </c>
      <c r="EN16" s="78">
        <f t="shared" si="87"/>
        <v>5.8841226</v>
      </c>
      <c r="EO16" s="77">
        <f t="shared" si="88"/>
        <v>0.287937</v>
      </c>
      <c r="EP16" s="79"/>
      <c r="EQ16" s="78"/>
      <c r="ER16" s="78">
        <f t="shared" si="89"/>
        <v>52.36014960000001</v>
      </c>
      <c r="ES16" s="78">
        <f t="shared" si="90"/>
        <v>52.36014960000001</v>
      </c>
      <c r="ET16" s="78">
        <f t="shared" si="91"/>
        <v>10.9250376</v>
      </c>
      <c r="EU16" s="77">
        <f t="shared" si="92"/>
        <v>0.534612</v>
      </c>
      <c r="EV16" s="79"/>
      <c r="EW16" s="78"/>
      <c r="EX16" s="78">
        <f t="shared" si="93"/>
        <v>9465.0634188</v>
      </c>
      <c r="EY16" s="78">
        <f t="shared" si="94"/>
        <v>9465.0634188</v>
      </c>
      <c r="EZ16" s="78">
        <f t="shared" si="95"/>
        <v>1974.9021828</v>
      </c>
      <c r="FA16" s="77">
        <f t="shared" si="96"/>
        <v>96.640986</v>
      </c>
      <c r="FB16" s="79"/>
      <c r="FC16" s="78"/>
      <c r="FD16" s="78">
        <f t="shared" si="97"/>
        <v>17593.1859708</v>
      </c>
      <c r="FE16" s="78">
        <f t="shared" si="98"/>
        <v>17593.1859708</v>
      </c>
      <c r="FF16" s="78">
        <f t="shared" si="99"/>
        <v>3670.8492948</v>
      </c>
      <c r="FG16" s="77">
        <f t="shared" si="100"/>
        <v>179.631426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.75">
      <c r="A17" s="51">
        <v>44652</v>
      </c>
      <c r="C17" s="42">
        <v>6225000</v>
      </c>
      <c r="D17" s="42">
        <v>439263</v>
      </c>
      <c r="E17" s="77">
        <f t="shared" si="0"/>
        <v>6664263</v>
      </c>
      <c r="F17" s="77">
        <v>91653</v>
      </c>
      <c r="G17" s="77">
        <v>4485</v>
      </c>
      <c r="H17" s="79"/>
      <c r="I17" s="79">
        <f>'2011B Academic'!I17</f>
        <v>3379091.2275</v>
      </c>
      <c r="J17" s="79">
        <f>'2011B Academic'!J17</f>
        <v>238443.33331170003</v>
      </c>
      <c r="K17" s="79">
        <f t="shared" si="1"/>
        <v>3617534.5608117003</v>
      </c>
      <c r="L17" s="79">
        <f>'2011B Academic'!L17</f>
        <v>49751.6222127</v>
      </c>
      <c r="M17" s="79">
        <f>'2011B Academic'!M17</f>
        <v>2434.5741615</v>
      </c>
      <c r="N17" s="79"/>
      <c r="O17" s="78">
        <f t="shared" si="2"/>
        <v>2845908.7725</v>
      </c>
      <c r="P17" s="80">
        <f t="shared" si="2"/>
        <v>200819.6666883</v>
      </c>
      <c r="Q17" s="78">
        <f t="shared" si="3"/>
        <v>3046728.4391883</v>
      </c>
      <c r="R17" s="78">
        <f t="shared" si="4"/>
        <v>41901.37778729999</v>
      </c>
      <c r="S17" s="78">
        <f t="shared" si="4"/>
        <v>2050.4258385</v>
      </c>
      <c r="T17" s="79"/>
      <c r="U17" s="78">
        <f t="shared" si="102"/>
        <v>508731.9</v>
      </c>
      <c r="V17" s="77">
        <f t="shared" si="5"/>
        <v>35898.329412</v>
      </c>
      <c r="W17" s="78">
        <f t="shared" si="6"/>
        <v>544630.229412</v>
      </c>
      <c r="X17" s="78">
        <f t="shared" si="7"/>
        <v>7490.249772</v>
      </c>
      <c r="Y17" s="77">
        <f t="shared" si="8"/>
        <v>366.53214</v>
      </c>
      <c r="Z17" s="79"/>
      <c r="AA17" s="78">
        <f t="shared" si="103"/>
        <v>370789.635</v>
      </c>
      <c r="AB17" s="78">
        <f t="shared" si="9"/>
        <v>26164.5248898</v>
      </c>
      <c r="AC17" s="78">
        <f t="shared" si="10"/>
        <v>396954.1598898</v>
      </c>
      <c r="AD17" s="78">
        <f t="shared" si="11"/>
        <v>5459.2742838</v>
      </c>
      <c r="AE17" s="77">
        <f t="shared" si="12"/>
        <v>267.14723100000003</v>
      </c>
      <c r="AF17" s="79"/>
      <c r="AG17" s="78">
        <f t="shared" si="104"/>
        <v>196587.99</v>
      </c>
      <c r="AH17" s="78">
        <f t="shared" si="13"/>
        <v>13872.101245200001</v>
      </c>
      <c r="AI17" s="78">
        <f t="shared" si="14"/>
        <v>210460.0912452</v>
      </c>
      <c r="AJ17" s="78">
        <f t="shared" si="15"/>
        <v>2894.4384012</v>
      </c>
      <c r="AK17" s="77">
        <f t="shared" si="16"/>
        <v>141.638094</v>
      </c>
      <c r="AL17" s="79"/>
      <c r="AM17" s="78">
        <f t="shared" si="105"/>
        <v>142975.80000000002</v>
      </c>
      <c r="AN17" s="78">
        <f t="shared" si="17"/>
        <v>10088.992584</v>
      </c>
      <c r="AO17" s="78">
        <f t="shared" si="18"/>
        <v>153064.792584</v>
      </c>
      <c r="AP17" s="78">
        <f t="shared" si="19"/>
        <v>2105.086104</v>
      </c>
      <c r="AQ17" s="77">
        <f t="shared" si="20"/>
        <v>103.01147999999999</v>
      </c>
      <c r="AR17" s="79"/>
      <c r="AS17" s="78">
        <f t="shared" si="106"/>
        <v>16377.3525</v>
      </c>
      <c r="AT17" s="78">
        <f t="shared" si="21"/>
        <v>1155.6570267</v>
      </c>
      <c r="AU17" s="78">
        <f t="shared" si="22"/>
        <v>17533.0095267</v>
      </c>
      <c r="AV17" s="78">
        <f t="shared" si="23"/>
        <v>241.12987769999998</v>
      </c>
      <c r="AW17" s="77">
        <f t="shared" si="24"/>
        <v>11.799586499999998</v>
      </c>
      <c r="AX17" s="79"/>
      <c r="AY17" s="78">
        <f t="shared" si="107"/>
        <v>259102.55249999996</v>
      </c>
      <c r="AZ17" s="78">
        <f t="shared" si="25"/>
        <v>18283.3999227</v>
      </c>
      <c r="BA17" s="78">
        <f t="shared" si="26"/>
        <v>277385.95242269995</v>
      </c>
      <c r="BB17" s="78">
        <f t="shared" si="27"/>
        <v>3814.8636536999998</v>
      </c>
      <c r="BC17" s="77">
        <f t="shared" si="28"/>
        <v>186.67870649999998</v>
      </c>
      <c r="BD17" s="79"/>
      <c r="BE17" s="78">
        <f t="shared" si="108"/>
        <v>28087.8225</v>
      </c>
      <c r="BF17" s="78">
        <f t="shared" si="29"/>
        <v>1981.9985823000002</v>
      </c>
      <c r="BG17" s="78">
        <f t="shared" si="30"/>
        <v>30069.821082299997</v>
      </c>
      <c r="BH17" s="78">
        <f t="shared" si="31"/>
        <v>413.54750129999996</v>
      </c>
      <c r="BI17" s="77">
        <f t="shared" si="32"/>
        <v>20.2367685</v>
      </c>
      <c r="BJ17" s="79"/>
      <c r="BK17" s="78">
        <f t="shared" si="109"/>
        <v>87864.0075</v>
      </c>
      <c r="BL17" s="78">
        <f t="shared" si="33"/>
        <v>6200.0654661</v>
      </c>
      <c r="BM17" s="78">
        <f t="shared" si="34"/>
        <v>94064.07296610001</v>
      </c>
      <c r="BN17" s="78">
        <f t="shared" si="35"/>
        <v>1293.6545991</v>
      </c>
      <c r="BO17" s="77">
        <f t="shared" si="36"/>
        <v>63.304429500000005</v>
      </c>
      <c r="BP17" s="79"/>
      <c r="BQ17" s="78">
        <f t="shared" si="110"/>
        <v>44557.9275</v>
      </c>
      <c r="BR17" s="78">
        <f t="shared" si="37"/>
        <v>3144.2006277</v>
      </c>
      <c r="BS17" s="78">
        <f t="shared" si="38"/>
        <v>47702.128127699994</v>
      </c>
      <c r="BT17" s="78">
        <f t="shared" si="39"/>
        <v>656.0430087</v>
      </c>
      <c r="BU17" s="77">
        <f t="shared" si="40"/>
        <v>32.1031815</v>
      </c>
      <c r="BV17" s="79"/>
      <c r="BW17" s="78">
        <f t="shared" si="111"/>
        <v>8653.3725</v>
      </c>
      <c r="BX17" s="78">
        <f t="shared" si="41"/>
        <v>610.6194962999999</v>
      </c>
      <c r="BY17" s="78">
        <f t="shared" si="42"/>
        <v>9263.9919963</v>
      </c>
      <c r="BZ17" s="78">
        <f t="shared" si="43"/>
        <v>127.4068353</v>
      </c>
      <c r="CA17" s="77">
        <f t="shared" si="44"/>
        <v>6.2345985</v>
      </c>
      <c r="CB17" s="79"/>
      <c r="CC17" s="78">
        <f t="shared" si="112"/>
        <v>34383.16500000001</v>
      </c>
      <c r="CD17" s="78">
        <f t="shared" si="45"/>
        <v>2426.2252542</v>
      </c>
      <c r="CE17" s="78">
        <f t="shared" si="46"/>
        <v>36809.39025420001</v>
      </c>
      <c r="CF17" s="78">
        <f t="shared" si="47"/>
        <v>506.23618020000004</v>
      </c>
      <c r="CG17" s="77">
        <f t="shared" si="48"/>
        <v>24.772449</v>
      </c>
      <c r="CH17" s="79"/>
      <c r="CI17" s="78">
        <f t="shared" si="113"/>
        <v>83858.8425</v>
      </c>
      <c r="CJ17" s="78">
        <f t="shared" si="49"/>
        <v>5917.443651899999</v>
      </c>
      <c r="CK17" s="78">
        <f t="shared" si="50"/>
        <v>89776.2861519</v>
      </c>
      <c r="CL17" s="78">
        <f t="shared" si="51"/>
        <v>1234.6850589</v>
      </c>
      <c r="CM17" s="77">
        <f t="shared" si="52"/>
        <v>60.418780500000004</v>
      </c>
      <c r="CN17" s="79"/>
      <c r="CO17" s="78">
        <f t="shared" si="114"/>
        <v>187698.69</v>
      </c>
      <c r="CP17" s="78">
        <f t="shared" si="53"/>
        <v>13244.8336812</v>
      </c>
      <c r="CQ17" s="78">
        <f t="shared" si="54"/>
        <v>200943.5236812</v>
      </c>
      <c r="CR17" s="78">
        <f t="shared" si="55"/>
        <v>2763.5579172</v>
      </c>
      <c r="CS17" s="77">
        <f t="shared" si="56"/>
        <v>135.23351399999999</v>
      </c>
      <c r="CT17" s="79"/>
      <c r="CU17" s="78">
        <f t="shared" si="115"/>
        <v>28397.8275</v>
      </c>
      <c r="CV17" s="78">
        <f t="shared" si="57"/>
        <v>2003.8738796999999</v>
      </c>
      <c r="CW17" s="78">
        <f t="shared" si="58"/>
        <v>30401.7013797</v>
      </c>
      <c r="CX17" s="78">
        <f t="shared" si="59"/>
        <v>418.1118207</v>
      </c>
      <c r="CY17" s="77">
        <f t="shared" si="60"/>
        <v>20.4601215</v>
      </c>
      <c r="CZ17" s="79"/>
      <c r="DA17" s="78">
        <f t="shared" si="116"/>
        <v>81596.67749999999</v>
      </c>
      <c r="DB17" s="78">
        <f t="shared" si="61"/>
        <v>5757.815477699999</v>
      </c>
      <c r="DC17" s="78">
        <f t="shared" si="62"/>
        <v>87354.49297769999</v>
      </c>
      <c r="DD17" s="78">
        <f t="shared" si="63"/>
        <v>1201.3783587</v>
      </c>
      <c r="DE17" s="77">
        <f t="shared" si="64"/>
        <v>58.788931500000004</v>
      </c>
      <c r="DF17" s="79"/>
      <c r="DG17" s="78">
        <f t="shared" si="117"/>
        <v>3144.2475</v>
      </c>
      <c r="DH17" s="78">
        <f t="shared" si="65"/>
        <v>221.8717413</v>
      </c>
      <c r="DI17" s="78">
        <f t="shared" si="66"/>
        <v>3366.1192413</v>
      </c>
      <c r="DJ17" s="78">
        <f t="shared" si="67"/>
        <v>46.2939303</v>
      </c>
      <c r="DK17" s="77">
        <f t="shared" si="68"/>
        <v>2.2653735</v>
      </c>
      <c r="DL17" s="79"/>
      <c r="DM17" s="90">
        <f t="shared" si="118"/>
        <v>172132.455</v>
      </c>
      <c r="DN17" s="90">
        <f t="shared" si="69"/>
        <v>12146.4126234</v>
      </c>
      <c r="DO17" s="90">
        <f t="shared" si="70"/>
        <v>184278.8676234</v>
      </c>
      <c r="DP17" s="90">
        <f t="shared" si="71"/>
        <v>2534.3704254</v>
      </c>
      <c r="DQ17" s="94">
        <f t="shared" si="72"/>
        <v>124.01832300000001</v>
      </c>
      <c r="DR17" s="79"/>
      <c r="DS17" s="78">
        <f t="shared" si="119"/>
        <v>27099.915</v>
      </c>
      <c r="DT17" s="78">
        <f t="shared" si="73"/>
        <v>1912.2875442000002</v>
      </c>
      <c r="DU17" s="78">
        <f t="shared" si="74"/>
        <v>29012.2025442</v>
      </c>
      <c r="DV17" s="78">
        <f t="shared" si="75"/>
        <v>399.0021702</v>
      </c>
      <c r="DW17" s="77">
        <f t="shared" si="76"/>
        <v>19.524999</v>
      </c>
      <c r="DX17" s="79"/>
      <c r="DY17" s="78">
        <f t="shared" si="120"/>
        <v>139458.0525</v>
      </c>
      <c r="DZ17" s="78">
        <f t="shared" si="77"/>
        <v>9840.765062699998</v>
      </c>
      <c r="EA17" s="78">
        <f t="shared" si="78"/>
        <v>149298.8175627</v>
      </c>
      <c r="EB17" s="78">
        <f t="shared" si="79"/>
        <v>2053.2929937</v>
      </c>
      <c r="EC17" s="77">
        <f t="shared" si="80"/>
        <v>100.4770065</v>
      </c>
      <c r="ED17" s="79"/>
      <c r="EE17" s="78">
        <f t="shared" si="121"/>
        <v>39813.855</v>
      </c>
      <c r="EF17" s="78">
        <f t="shared" si="81"/>
        <v>2809.4382954000002</v>
      </c>
      <c r="EG17" s="78">
        <f t="shared" si="82"/>
        <v>42623.293295400006</v>
      </c>
      <c r="EH17" s="78">
        <f t="shared" si="83"/>
        <v>586.1942574</v>
      </c>
      <c r="EI17" s="77">
        <f t="shared" si="84"/>
        <v>28.685163</v>
      </c>
      <c r="EJ17" s="79"/>
      <c r="EK17" s="78">
        <f t="shared" si="122"/>
        <v>399.645</v>
      </c>
      <c r="EL17" s="78">
        <f t="shared" si="85"/>
        <v>28.2006846</v>
      </c>
      <c r="EM17" s="78">
        <f t="shared" si="86"/>
        <v>427.84568459999997</v>
      </c>
      <c r="EN17" s="78">
        <f t="shared" si="87"/>
        <v>5.8841226</v>
      </c>
      <c r="EO17" s="77">
        <f t="shared" si="88"/>
        <v>0.287937</v>
      </c>
      <c r="EP17" s="79"/>
      <c r="EQ17" s="78">
        <f t="shared" si="123"/>
        <v>742.02</v>
      </c>
      <c r="ER17" s="78">
        <f t="shared" si="89"/>
        <v>52.36014960000001</v>
      </c>
      <c r="ES17" s="78">
        <f t="shared" si="90"/>
        <v>794.3801496</v>
      </c>
      <c r="ET17" s="78">
        <f t="shared" si="91"/>
        <v>10.9250376</v>
      </c>
      <c r="EU17" s="77">
        <f t="shared" si="92"/>
        <v>0.534612</v>
      </c>
      <c r="EV17" s="79"/>
      <c r="EW17" s="78">
        <f t="shared" si="124"/>
        <v>134133.81</v>
      </c>
      <c r="EX17" s="78">
        <f t="shared" si="93"/>
        <v>9465.0634188</v>
      </c>
      <c r="EY17" s="78">
        <f t="shared" si="94"/>
        <v>143598.8734188</v>
      </c>
      <c r="EZ17" s="78">
        <f t="shared" si="95"/>
        <v>1974.9021828</v>
      </c>
      <c r="FA17" s="77">
        <f t="shared" si="96"/>
        <v>96.640986</v>
      </c>
      <c r="FB17" s="79"/>
      <c r="FC17" s="78">
        <f t="shared" si="125"/>
        <v>249321.21</v>
      </c>
      <c r="FD17" s="78">
        <f t="shared" si="97"/>
        <v>17593.1859708</v>
      </c>
      <c r="FE17" s="78">
        <f t="shared" si="98"/>
        <v>266914.3959708</v>
      </c>
      <c r="FF17" s="78">
        <f t="shared" si="99"/>
        <v>3670.8492948</v>
      </c>
      <c r="FG17" s="77">
        <f t="shared" si="100"/>
        <v>179.631426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.75">
      <c r="A18" s="51">
        <v>44835</v>
      </c>
      <c r="C18" s="42"/>
      <c r="D18" s="42">
        <v>283638</v>
      </c>
      <c r="E18" s="77">
        <f t="shared" si="0"/>
        <v>283638</v>
      </c>
      <c r="F18" s="77">
        <v>91653</v>
      </c>
      <c r="G18" s="77">
        <v>4485</v>
      </c>
      <c r="H18" s="79"/>
      <c r="I18" s="79">
        <f>'2011B Academic'!I18</f>
        <v>0</v>
      </c>
      <c r="J18" s="79">
        <f>'2011B Academic'!J18</f>
        <v>153966.0526242</v>
      </c>
      <c r="K18" s="79">
        <f t="shared" si="1"/>
        <v>153966.0526242</v>
      </c>
      <c r="L18" s="79">
        <f>'2011B Academic'!L18</f>
        <v>49751.6222127</v>
      </c>
      <c r="M18" s="79">
        <f>'2011B Academic'!M18</f>
        <v>2434.5741615</v>
      </c>
      <c r="N18" s="79"/>
      <c r="O18" s="78">
        <f t="shared" si="2"/>
        <v>0</v>
      </c>
      <c r="P18" s="80">
        <f t="shared" si="2"/>
        <v>129671.94737580001</v>
      </c>
      <c r="Q18" s="78">
        <f t="shared" si="3"/>
        <v>129671.94737580001</v>
      </c>
      <c r="R18" s="78">
        <f t="shared" si="4"/>
        <v>41901.37778729999</v>
      </c>
      <c r="S18" s="78">
        <f t="shared" si="4"/>
        <v>2050.4258385</v>
      </c>
      <c r="T18" s="79"/>
      <c r="U18" s="78"/>
      <c r="V18" s="77">
        <f t="shared" si="5"/>
        <v>23180.031912</v>
      </c>
      <c r="W18" s="78">
        <f t="shared" si="6"/>
        <v>23180.031912</v>
      </c>
      <c r="X18" s="78">
        <f t="shared" si="7"/>
        <v>7490.249772</v>
      </c>
      <c r="Y18" s="77">
        <f t="shared" si="8"/>
        <v>366.53214</v>
      </c>
      <c r="Z18" s="79"/>
      <c r="AA18" s="78"/>
      <c r="AB18" s="78">
        <f t="shared" si="9"/>
        <v>16894.7840148</v>
      </c>
      <c r="AC18" s="78">
        <f t="shared" si="10"/>
        <v>16894.7840148</v>
      </c>
      <c r="AD18" s="78">
        <f t="shared" si="11"/>
        <v>5459.2742838</v>
      </c>
      <c r="AE18" s="77">
        <f t="shared" si="12"/>
        <v>267.14723100000003</v>
      </c>
      <c r="AF18" s="79"/>
      <c r="AG18" s="78"/>
      <c r="AH18" s="78">
        <f t="shared" si="13"/>
        <v>8957.401495200002</v>
      </c>
      <c r="AI18" s="78">
        <f t="shared" si="14"/>
        <v>8957.401495200002</v>
      </c>
      <c r="AJ18" s="78">
        <f t="shared" si="15"/>
        <v>2894.4384012</v>
      </c>
      <c r="AK18" s="77">
        <f t="shared" si="16"/>
        <v>141.638094</v>
      </c>
      <c r="AL18" s="79"/>
      <c r="AM18" s="78"/>
      <c r="AN18" s="78">
        <f t="shared" si="17"/>
        <v>6514.597584</v>
      </c>
      <c r="AO18" s="78">
        <f t="shared" si="18"/>
        <v>6514.597584</v>
      </c>
      <c r="AP18" s="78">
        <f t="shared" si="19"/>
        <v>2105.086104</v>
      </c>
      <c r="AQ18" s="77">
        <f t="shared" si="20"/>
        <v>103.01147999999999</v>
      </c>
      <c r="AR18" s="79"/>
      <c r="AS18" s="78"/>
      <c r="AT18" s="78">
        <f t="shared" si="21"/>
        <v>746.2232141999999</v>
      </c>
      <c r="AU18" s="78">
        <f t="shared" si="22"/>
        <v>746.2232141999999</v>
      </c>
      <c r="AV18" s="78">
        <f t="shared" si="23"/>
        <v>241.12987769999998</v>
      </c>
      <c r="AW18" s="77">
        <f t="shared" si="24"/>
        <v>11.799586499999998</v>
      </c>
      <c r="AX18" s="79"/>
      <c r="AY18" s="78"/>
      <c r="AZ18" s="78">
        <f t="shared" si="25"/>
        <v>11805.8361102</v>
      </c>
      <c r="BA18" s="78">
        <f t="shared" si="26"/>
        <v>11805.8361102</v>
      </c>
      <c r="BB18" s="78">
        <f t="shared" si="27"/>
        <v>3814.8636536999998</v>
      </c>
      <c r="BC18" s="77">
        <f t="shared" si="28"/>
        <v>186.67870649999998</v>
      </c>
      <c r="BD18" s="79"/>
      <c r="BE18" s="78"/>
      <c r="BF18" s="78">
        <f t="shared" si="29"/>
        <v>1279.8030198000001</v>
      </c>
      <c r="BG18" s="78">
        <f t="shared" si="30"/>
        <v>1279.8030198000001</v>
      </c>
      <c r="BH18" s="78">
        <f t="shared" si="31"/>
        <v>413.54750129999996</v>
      </c>
      <c r="BI18" s="77">
        <f t="shared" si="32"/>
        <v>20.2367685</v>
      </c>
      <c r="BJ18" s="79"/>
      <c r="BK18" s="78"/>
      <c r="BL18" s="78">
        <f t="shared" si="33"/>
        <v>4003.4652785999997</v>
      </c>
      <c r="BM18" s="78">
        <f t="shared" si="34"/>
        <v>4003.4652785999997</v>
      </c>
      <c r="BN18" s="78">
        <f t="shared" si="35"/>
        <v>1293.6545991</v>
      </c>
      <c r="BO18" s="77">
        <f t="shared" si="36"/>
        <v>63.304429500000005</v>
      </c>
      <c r="BP18" s="79"/>
      <c r="BQ18" s="78"/>
      <c r="BR18" s="78">
        <f t="shared" si="37"/>
        <v>2030.2524402000001</v>
      </c>
      <c r="BS18" s="78">
        <f t="shared" si="38"/>
        <v>2030.2524402000001</v>
      </c>
      <c r="BT18" s="78">
        <f t="shared" si="39"/>
        <v>656.0430087</v>
      </c>
      <c r="BU18" s="77">
        <f t="shared" si="40"/>
        <v>32.1031815</v>
      </c>
      <c r="BV18" s="79"/>
      <c r="BW18" s="78"/>
      <c r="BX18" s="78">
        <f t="shared" si="41"/>
        <v>394.2851838</v>
      </c>
      <c r="BY18" s="78">
        <f t="shared" si="42"/>
        <v>394.2851838</v>
      </c>
      <c r="BZ18" s="78">
        <f t="shared" si="43"/>
        <v>127.4068353</v>
      </c>
      <c r="CA18" s="77">
        <f t="shared" si="44"/>
        <v>6.2345985</v>
      </c>
      <c r="CB18" s="79"/>
      <c r="CC18" s="78"/>
      <c r="CD18" s="78">
        <f t="shared" si="45"/>
        <v>1566.6461292000001</v>
      </c>
      <c r="CE18" s="78">
        <f t="shared" si="46"/>
        <v>1566.6461292000001</v>
      </c>
      <c r="CF18" s="78">
        <f t="shared" si="47"/>
        <v>506.23618020000004</v>
      </c>
      <c r="CG18" s="77">
        <f t="shared" si="48"/>
        <v>24.772449</v>
      </c>
      <c r="CH18" s="79"/>
      <c r="CI18" s="78"/>
      <c r="CJ18" s="78">
        <f t="shared" si="49"/>
        <v>3820.9725894</v>
      </c>
      <c r="CK18" s="78">
        <f t="shared" si="50"/>
        <v>3820.9725894</v>
      </c>
      <c r="CL18" s="78">
        <f t="shared" si="51"/>
        <v>1234.6850589</v>
      </c>
      <c r="CM18" s="77">
        <f t="shared" si="52"/>
        <v>60.418780500000004</v>
      </c>
      <c r="CN18" s="79"/>
      <c r="CO18" s="78"/>
      <c r="CP18" s="78">
        <f t="shared" si="53"/>
        <v>8552.3664312</v>
      </c>
      <c r="CQ18" s="78">
        <f t="shared" si="54"/>
        <v>8552.3664312</v>
      </c>
      <c r="CR18" s="78">
        <f t="shared" si="55"/>
        <v>2763.5579172</v>
      </c>
      <c r="CS18" s="77">
        <f t="shared" si="56"/>
        <v>135.23351399999999</v>
      </c>
      <c r="CT18" s="79"/>
      <c r="CU18" s="78"/>
      <c r="CV18" s="78">
        <f t="shared" si="57"/>
        <v>1293.9281922</v>
      </c>
      <c r="CW18" s="78">
        <f t="shared" si="58"/>
        <v>1293.9281922</v>
      </c>
      <c r="CX18" s="78">
        <f t="shared" si="59"/>
        <v>418.1118207</v>
      </c>
      <c r="CY18" s="77">
        <f t="shared" si="60"/>
        <v>20.4601215</v>
      </c>
      <c r="CZ18" s="79"/>
      <c r="DA18" s="78"/>
      <c r="DB18" s="78">
        <f t="shared" si="61"/>
        <v>3717.8985402</v>
      </c>
      <c r="DC18" s="78">
        <f t="shared" si="62"/>
        <v>3717.8985402</v>
      </c>
      <c r="DD18" s="78">
        <f t="shared" si="63"/>
        <v>1201.3783587</v>
      </c>
      <c r="DE18" s="77">
        <f t="shared" si="64"/>
        <v>58.788931500000004</v>
      </c>
      <c r="DF18" s="79"/>
      <c r="DG18" s="78"/>
      <c r="DH18" s="78">
        <f t="shared" si="65"/>
        <v>143.2655538</v>
      </c>
      <c r="DI18" s="78">
        <f t="shared" si="66"/>
        <v>143.2655538</v>
      </c>
      <c r="DJ18" s="78">
        <f t="shared" si="67"/>
        <v>46.2939303</v>
      </c>
      <c r="DK18" s="77">
        <f t="shared" si="68"/>
        <v>2.2653735</v>
      </c>
      <c r="DL18" s="79"/>
      <c r="DM18" s="90"/>
      <c r="DN18" s="90">
        <f t="shared" si="69"/>
        <v>7843.101248399999</v>
      </c>
      <c r="DO18" s="90">
        <f t="shared" si="70"/>
        <v>7843.101248399999</v>
      </c>
      <c r="DP18" s="90">
        <f t="shared" si="71"/>
        <v>2534.3704254</v>
      </c>
      <c r="DQ18" s="94">
        <f t="shared" si="72"/>
        <v>124.01832300000001</v>
      </c>
      <c r="DR18" s="79"/>
      <c r="DS18" s="78"/>
      <c r="DT18" s="78">
        <f t="shared" si="73"/>
        <v>1234.7896692000002</v>
      </c>
      <c r="DU18" s="78">
        <f t="shared" si="74"/>
        <v>1234.7896692000002</v>
      </c>
      <c r="DV18" s="78">
        <f t="shared" si="75"/>
        <v>399.0021702</v>
      </c>
      <c r="DW18" s="77">
        <f t="shared" si="76"/>
        <v>19.524999</v>
      </c>
      <c r="DX18" s="79"/>
      <c r="DY18" s="78"/>
      <c r="DZ18" s="78">
        <f t="shared" si="77"/>
        <v>6354.313750199999</v>
      </c>
      <c r="EA18" s="78">
        <f t="shared" si="78"/>
        <v>6354.313750199999</v>
      </c>
      <c r="EB18" s="78">
        <f t="shared" si="79"/>
        <v>2053.2929937</v>
      </c>
      <c r="EC18" s="77">
        <f t="shared" si="80"/>
        <v>100.4770065</v>
      </c>
      <c r="ED18" s="79"/>
      <c r="EE18" s="78"/>
      <c r="EF18" s="78">
        <f t="shared" si="81"/>
        <v>1814.0919204000002</v>
      </c>
      <c r="EG18" s="78">
        <f t="shared" si="82"/>
        <v>1814.0919204000002</v>
      </c>
      <c r="EH18" s="78">
        <f t="shared" si="83"/>
        <v>586.1942574</v>
      </c>
      <c r="EI18" s="77">
        <f t="shared" si="84"/>
        <v>28.685163</v>
      </c>
      <c r="EJ18" s="79"/>
      <c r="EK18" s="78"/>
      <c r="EL18" s="78">
        <f t="shared" si="85"/>
        <v>18.2095596</v>
      </c>
      <c r="EM18" s="78">
        <f t="shared" si="86"/>
        <v>18.2095596</v>
      </c>
      <c r="EN18" s="78">
        <f t="shared" si="87"/>
        <v>5.8841226</v>
      </c>
      <c r="EO18" s="77">
        <f t="shared" si="88"/>
        <v>0.287937</v>
      </c>
      <c r="EP18" s="79"/>
      <c r="EQ18" s="78"/>
      <c r="ER18" s="78">
        <f t="shared" si="89"/>
        <v>33.8096496</v>
      </c>
      <c r="ES18" s="78">
        <f t="shared" si="90"/>
        <v>33.8096496</v>
      </c>
      <c r="ET18" s="78">
        <f t="shared" si="91"/>
        <v>10.9250376</v>
      </c>
      <c r="EU18" s="77">
        <f t="shared" si="92"/>
        <v>0.534612</v>
      </c>
      <c r="EV18" s="79"/>
      <c r="EW18" s="78"/>
      <c r="EX18" s="78">
        <f t="shared" si="93"/>
        <v>6111.718168800001</v>
      </c>
      <c r="EY18" s="78">
        <f t="shared" si="94"/>
        <v>6111.718168800001</v>
      </c>
      <c r="EZ18" s="78">
        <f t="shared" si="95"/>
        <v>1974.9021828</v>
      </c>
      <c r="FA18" s="77">
        <f t="shared" si="96"/>
        <v>96.640986</v>
      </c>
      <c r="FB18" s="79"/>
      <c r="FC18" s="78"/>
      <c r="FD18" s="78">
        <f t="shared" si="97"/>
        <v>11360.155720800001</v>
      </c>
      <c r="FE18" s="78">
        <f t="shared" si="98"/>
        <v>11360.155720800001</v>
      </c>
      <c r="FF18" s="78">
        <f t="shared" si="99"/>
        <v>3670.8492948</v>
      </c>
      <c r="FG18" s="77">
        <f t="shared" si="100"/>
        <v>179.631426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.75">
      <c r="A19" s="51">
        <v>45017</v>
      </c>
      <c r="C19" s="42">
        <v>6540000</v>
      </c>
      <c r="D19" s="42">
        <v>283638</v>
      </c>
      <c r="E19" s="77">
        <f t="shared" si="0"/>
        <v>6823638</v>
      </c>
      <c r="F19" s="77">
        <v>91653</v>
      </c>
      <c r="G19" s="77">
        <v>4485</v>
      </c>
      <c r="H19" s="79"/>
      <c r="I19" s="79">
        <f>'2011B Academic'!I19</f>
        <v>3550081.3860000004</v>
      </c>
      <c r="J19" s="79">
        <f>'2011B Academic'!J19</f>
        <v>153966.0526242</v>
      </c>
      <c r="K19" s="79">
        <f t="shared" si="1"/>
        <v>3704047.4386242004</v>
      </c>
      <c r="L19" s="79">
        <f>'2011B Academic'!L19</f>
        <v>49751.6222127</v>
      </c>
      <c r="M19" s="79">
        <f>'2011B Academic'!M19</f>
        <v>2434.5741615</v>
      </c>
      <c r="N19" s="79"/>
      <c r="O19" s="78">
        <f t="shared" si="2"/>
        <v>2989918.614</v>
      </c>
      <c r="P19" s="80">
        <f t="shared" si="2"/>
        <v>129671.94737580001</v>
      </c>
      <c r="Q19" s="78">
        <f t="shared" si="3"/>
        <v>3119590.5613758</v>
      </c>
      <c r="R19" s="78">
        <f t="shared" si="4"/>
        <v>41901.37778729999</v>
      </c>
      <c r="S19" s="78">
        <f t="shared" si="4"/>
        <v>2050.4258385</v>
      </c>
      <c r="T19" s="79"/>
      <c r="U19" s="78">
        <f t="shared" si="102"/>
        <v>534474.96</v>
      </c>
      <c r="V19" s="77">
        <f t="shared" si="5"/>
        <v>23180.031912</v>
      </c>
      <c r="W19" s="78">
        <f t="shared" si="6"/>
        <v>557654.991912</v>
      </c>
      <c r="X19" s="78">
        <f t="shared" si="7"/>
        <v>7490.249772</v>
      </c>
      <c r="Y19" s="77">
        <f t="shared" si="8"/>
        <v>366.53214</v>
      </c>
      <c r="Z19" s="79"/>
      <c r="AA19" s="78">
        <f t="shared" si="103"/>
        <v>389552.484</v>
      </c>
      <c r="AB19" s="78">
        <f t="shared" si="9"/>
        <v>16894.7840148</v>
      </c>
      <c r="AC19" s="78">
        <f t="shared" si="10"/>
        <v>406447.2680148</v>
      </c>
      <c r="AD19" s="78">
        <f t="shared" si="11"/>
        <v>5459.2742838</v>
      </c>
      <c r="AE19" s="77">
        <f t="shared" si="12"/>
        <v>267.14723100000003</v>
      </c>
      <c r="AF19" s="79"/>
      <c r="AG19" s="78">
        <f t="shared" si="104"/>
        <v>206535.81600000002</v>
      </c>
      <c r="AH19" s="78">
        <f t="shared" si="13"/>
        <v>8957.401495200002</v>
      </c>
      <c r="AI19" s="78">
        <f t="shared" si="14"/>
        <v>215493.21749520002</v>
      </c>
      <c r="AJ19" s="78">
        <f t="shared" si="15"/>
        <v>2894.4384012</v>
      </c>
      <c r="AK19" s="77">
        <f t="shared" si="16"/>
        <v>141.638094</v>
      </c>
      <c r="AL19" s="79"/>
      <c r="AM19" s="78">
        <f t="shared" si="105"/>
        <v>150210.72000000003</v>
      </c>
      <c r="AN19" s="78">
        <f t="shared" si="17"/>
        <v>6514.597584</v>
      </c>
      <c r="AO19" s="78">
        <f t="shared" si="18"/>
        <v>156725.31758400003</v>
      </c>
      <c r="AP19" s="78">
        <f t="shared" si="19"/>
        <v>2105.086104</v>
      </c>
      <c r="AQ19" s="77">
        <f t="shared" si="20"/>
        <v>103.01147999999999</v>
      </c>
      <c r="AR19" s="79"/>
      <c r="AS19" s="78">
        <f t="shared" si="106"/>
        <v>17206.086</v>
      </c>
      <c r="AT19" s="78">
        <f t="shared" si="21"/>
        <v>746.2232141999999</v>
      </c>
      <c r="AU19" s="78">
        <f t="shared" si="22"/>
        <v>17952.3092142</v>
      </c>
      <c r="AV19" s="78">
        <f t="shared" si="23"/>
        <v>241.12987769999998</v>
      </c>
      <c r="AW19" s="77">
        <f t="shared" si="24"/>
        <v>11.799586499999998</v>
      </c>
      <c r="AX19" s="79"/>
      <c r="AY19" s="78">
        <f t="shared" si="107"/>
        <v>272213.766</v>
      </c>
      <c r="AZ19" s="78">
        <f t="shared" si="25"/>
        <v>11805.8361102</v>
      </c>
      <c r="BA19" s="78">
        <f t="shared" si="26"/>
        <v>284019.6021102</v>
      </c>
      <c r="BB19" s="78">
        <f t="shared" si="27"/>
        <v>3814.8636536999998</v>
      </c>
      <c r="BC19" s="77">
        <f t="shared" si="28"/>
        <v>186.67870649999998</v>
      </c>
      <c r="BD19" s="79"/>
      <c r="BE19" s="78">
        <f t="shared" si="108"/>
        <v>29509.134</v>
      </c>
      <c r="BF19" s="78">
        <f t="shared" si="29"/>
        <v>1279.8030198000001</v>
      </c>
      <c r="BG19" s="78">
        <f t="shared" si="30"/>
        <v>30788.9370198</v>
      </c>
      <c r="BH19" s="78">
        <f t="shared" si="31"/>
        <v>413.54750129999996</v>
      </c>
      <c r="BI19" s="77">
        <f t="shared" si="32"/>
        <v>20.2367685</v>
      </c>
      <c r="BJ19" s="79"/>
      <c r="BK19" s="78">
        <f t="shared" si="109"/>
        <v>92310.138</v>
      </c>
      <c r="BL19" s="78">
        <f t="shared" si="33"/>
        <v>4003.4652785999997</v>
      </c>
      <c r="BM19" s="78">
        <f t="shared" si="34"/>
        <v>96313.6032786</v>
      </c>
      <c r="BN19" s="78">
        <f t="shared" si="35"/>
        <v>1293.6545991</v>
      </c>
      <c r="BO19" s="77">
        <f t="shared" si="36"/>
        <v>63.304429500000005</v>
      </c>
      <c r="BP19" s="79"/>
      <c r="BQ19" s="78">
        <f t="shared" si="110"/>
        <v>46812.666000000005</v>
      </c>
      <c r="BR19" s="78">
        <f t="shared" si="37"/>
        <v>2030.2524402000001</v>
      </c>
      <c r="BS19" s="78">
        <f t="shared" si="38"/>
        <v>48842.9184402</v>
      </c>
      <c r="BT19" s="78">
        <f t="shared" si="39"/>
        <v>656.0430087</v>
      </c>
      <c r="BU19" s="77">
        <f t="shared" si="40"/>
        <v>32.1031815</v>
      </c>
      <c r="BV19" s="79"/>
      <c r="BW19" s="78">
        <f t="shared" si="111"/>
        <v>9091.254</v>
      </c>
      <c r="BX19" s="78">
        <f t="shared" si="41"/>
        <v>394.2851838</v>
      </c>
      <c r="BY19" s="78">
        <f t="shared" si="42"/>
        <v>9485.539183800001</v>
      </c>
      <c r="BZ19" s="78">
        <f t="shared" si="43"/>
        <v>127.4068353</v>
      </c>
      <c r="CA19" s="77">
        <f t="shared" si="44"/>
        <v>6.2345985</v>
      </c>
      <c r="CB19" s="79"/>
      <c r="CC19" s="78">
        <f t="shared" si="112"/>
        <v>36123.03600000001</v>
      </c>
      <c r="CD19" s="78">
        <f t="shared" si="45"/>
        <v>1566.6461292000001</v>
      </c>
      <c r="CE19" s="78">
        <f t="shared" si="46"/>
        <v>37689.68212920001</v>
      </c>
      <c r="CF19" s="78">
        <f t="shared" si="47"/>
        <v>506.23618020000004</v>
      </c>
      <c r="CG19" s="77">
        <f t="shared" si="48"/>
        <v>24.772449</v>
      </c>
      <c r="CH19" s="79"/>
      <c r="CI19" s="78">
        <f t="shared" si="113"/>
        <v>88102.302</v>
      </c>
      <c r="CJ19" s="78">
        <f t="shared" si="49"/>
        <v>3820.9725894</v>
      </c>
      <c r="CK19" s="78">
        <f t="shared" si="50"/>
        <v>91923.2745894</v>
      </c>
      <c r="CL19" s="78">
        <f t="shared" si="51"/>
        <v>1234.6850589</v>
      </c>
      <c r="CM19" s="77">
        <f t="shared" si="52"/>
        <v>60.418780500000004</v>
      </c>
      <c r="CN19" s="79"/>
      <c r="CO19" s="78">
        <f t="shared" si="114"/>
        <v>197196.69599999997</v>
      </c>
      <c r="CP19" s="78">
        <f t="shared" si="53"/>
        <v>8552.3664312</v>
      </c>
      <c r="CQ19" s="78">
        <f t="shared" si="54"/>
        <v>205749.06243119997</v>
      </c>
      <c r="CR19" s="78">
        <f t="shared" si="55"/>
        <v>2763.5579172</v>
      </c>
      <c r="CS19" s="77">
        <f t="shared" si="56"/>
        <v>135.23351399999999</v>
      </c>
      <c r="CT19" s="79"/>
      <c r="CU19" s="78">
        <f t="shared" si="115"/>
        <v>29834.826</v>
      </c>
      <c r="CV19" s="78">
        <f t="shared" si="57"/>
        <v>1293.9281922</v>
      </c>
      <c r="CW19" s="78">
        <f t="shared" si="58"/>
        <v>31128.754192200002</v>
      </c>
      <c r="CX19" s="78">
        <f t="shared" si="59"/>
        <v>418.1118207</v>
      </c>
      <c r="CY19" s="77">
        <f t="shared" si="60"/>
        <v>20.4601215</v>
      </c>
      <c r="CZ19" s="79"/>
      <c r="DA19" s="78">
        <f t="shared" si="116"/>
        <v>85725.666</v>
      </c>
      <c r="DB19" s="78">
        <f t="shared" si="61"/>
        <v>3717.8985402</v>
      </c>
      <c r="DC19" s="78">
        <f t="shared" si="62"/>
        <v>89443.5645402</v>
      </c>
      <c r="DD19" s="78">
        <f t="shared" si="63"/>
        <v>1201.3783587</v>
      </c>
      <c r="DE19" s="77">
        <f t="shared" si="64"/>
        <v>58.788931500000004</v>
      </c>
      <c r="DF19" s="79"/>
      <c r="DG19" s="78">
        <f t="shared" si="117"/>
        <v>3303.3540000000003</v>
      </c>
      <c r="DH19" s="78">
        <f t="shared" si="65"/>
        <v>143.2655538</v>
      </c>
      <c r="DI19" s="78">
        <f t="shared" si="66"/>
        <v>3446.6195538</v>
      </c>
      <c r="DJ19" s="78">
        <f t="shared" si="67"/>
        <v>46.2939303</v>
      </c>
      <c r="DK19" s="77">
        <f t="shared" si="68"/>
        <v>2.2653735</v>
      </c>
      <c r="DL19" s="79"/>
      <c r="DM19" s="90">
        <f t="shared" si="118"/>
        <v>180842.772</v>
      </c>
      <c r="DN19" s="90">
        <f t="shared" si="69"/>
        <v>7843.101248399999</v>
      </c>
      <c r="DO19" s="90">
        <f t="shared" si="70"/>
        <v>188685.8732484</v>
      </c>
      <c r="DP19" s="90">
        <f t="shared" si="71"/>
        <v>2534.3704254</v>
      </c>
      <c r="DQ19" s="94">
        <f t="shared" si="72"/>
        <v>124.01832300000001</v>
      </c>
      <c r="DR19" s="79"/>
      <c r="DS19" s="78">
        <f t="shared" si="119"/>
        <v>28471.236</v>
      </c>
      <c r="DT19" s="78">
        <f t="shared" si="73"/>
        <v>1234.7896692000002</v>
      </c>
      <c r="DU19" s="78">
        <f t="shared" si="74"/>
        <v>29706.0256692</v>
      </c>
      <c r="DV19" s="78">
        <f t="shared" si="75"/>
        <v>399.0021702</v>
      </c>
      <c r="DW19" s="77">
        <f t="shared" si="76"/>
        <v>19.524999</v>
      </c>
      <c r="DX19" s="79"/>
      <c r="DY19" s="78">
        <f t="shared" si="120"/>
        <v>146514.966</v>
      </c>
      <c r="DZ19" s="78">
        <f t="shared" si="77"/>
        <v>6354.313750199999</v>
      </c>
      <c r="EA19" s="78">
        <f t="shared" si="78"/>
        <v>152869.2797502</v>
      </c>
      <c r="EB19" s="78">
        <f t="shared" si="79"/>
        <v>2053.2929937</v>
      </c>
      <c r="EC19" s="77">
        <f t="shared" si="80"/>
        <v>100.4770065</v>
      </c>
      <c r="ED19" s="79"/>
      <c r="EE19" s="78">
        <f t="shared" si="121"/>
        <v>41828.532</v>
      </c>
      <c r="EF19" s="78">
        <f t="shared" si="81"/>
        <v>1814.0919204000002</v>
      </c>
      <c r="EG19" s="78">
        <f t="shared" si="82"/>
        <v>43642.6239204</v>
      </c>
      <c r="EH19" s="78">
        <f t="shared" si="83"/>
        <v>586.1942574</v>
      </c>
      <c r="EI19" s="77">
        <f t="shared" si="84"/>
        <v>28.685163</v>
      </c>
      <c r="EJ19" s="79"/>
      <c r="EK19" s="78">
        <f t="shared" si="122"/>
        <v>419.86800000000005</v>
      </c>
      <c r="EL19" s="78">
        <f t="shared" si="85"/>
        <v>18.2095596</v>
      </c>
      <c r="EM19" s="78">
        <f t="shared" si="86"/>
        <v>438.07755960000003</v>
      </c>
      <c r="EN19" s="78">
        <f t="shared" si="87"/>
        <v>5.8841226</v>
      </c>
      <c r="EO19" s="77">
        <f t="shared" si="88"/>
        <v>0.287937</v>
      </c>
      <c r="EP19" s="79"/>
      <c r="EQ19" s="78">
        <f t="shared" si="123"/>
        <v>779.568</v>
      </c>
      <c r="ER19" s="78">
        <f t="shared" si="89"/>
        <v>33.8096496</v>
      </c>
      <c r="ES19" s="78">
        <f t="shared" si="90"/>
        <v>813.3776496</v>
      </c>
      <c r="ET19" s="78">
        <f t="shared" si="91"/>
        <v>10.9250376</v>
      </c>
      <c r="EU19" s="77">
        <f t="shared" si="92"/>
        <v>0.534612</v>
      </c>
      <c r="EV19" s="79"/>
      <c r="EW19" s="78">
        <f t="shared" si="124"/>
        <v>140921.304</v>
      </c>
      <c r="EX19" s="78">
        <f t="shared" si="93"/>
        <v>6111.718168800001</v>
      </c>
      <c r="EY19" s="78">
        <f t="shared" si="94"/>
        <v>147033.0221688</v>
      </c>
      <c r="EZ19" s="78">
        <f t="shared" si="95"/>
        <v>1974.9021828</v>
      </c>
      <c r="FA19" s="77">
        <f t="shared" si="96"/>
        <v>96.640986</v>
      </c>
      <c r="FB19" s="79"/>
      <c r="FC19" s="78">
        <f t="shared" si="125"/>
        <v>261937.46399999998</v>
      </c>
      <c r="FD19" s="78">
        <f t="shared" si="97"/>
        <v>11360.155720800001</v>
      </c>
      <c r="FE19" s="78">
        <f t="shared" si="98"/>
        <v>273297.61972079996</v>
      </c>
      <c r="FF19" s="78">
        <f t="shared" si="99"/>
        <v>3670.8492948</v>
      </c>
      <c r="FG19" s="77">
        <f t="shared" si="100"/>
        <v>179.631426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.75">
      <c r="A20" s="51">
        <v>45200</v>
      </c>
      <c r="C20" s="42"/>
      <c r="D20" s="42">
        <v>120138</v>
      </c>
      <c r="E20" s="77">
        <f t="shared" si="0"/>
        <v>120138</v>
      </c>
      <c r="F20" s="77">
        <v>91653</v>
      </c>
      <c r="G20" s="77">
        <v>4485</v>
      </c>
      <c r="H20" s="79"/>
      <c r="I20" s="79">
        <f>'2011B Academic'!I20</f>
        <v>0</v>
      </c>
      <c r="J20" s="79">
        <f>'2011B Academic'!J20</f>
        <v>65214.0179742</v>
      </c>
      <c r="K20" s="79">
        <f t="shared" si="1"/>
        <v>65214.0179742</v>
      </c>
      <c r="L20" s="79">
        <f>'2011B Academic'!L20</f>
        <v>49751.6222127</v>
      </c>
      <c r="M20" s="79">
        <f>'2011B Academic'!M20</f>
        <v>2434.5741615</v>
      </c>
      <c r="N20" s="79"/>
      <c r="O20" s="78">
        <f t="shared" si="2"/>
        <v>0</v>
      </c>
      <c r="P20" s="80">
        <f t="shared" si="2"/>
        <v>54923.9820258</v>
      </c>
      <c r="Q20" s="78">
        <f t="shared" si="3"/>
        <v>54923.9820258</v>
      </c>
      <c r="R20" s="78">
        <f t="shared" si="4"/>
        <v>41901.37778729999</v>
      </c>
      <c r="S20" s="78">
        <f t="shared" si="4"/>
        <v>2050.4258385</v>
      </c>
      <c r="T20" s="79"/>
      <c r="U20" s="78"/>
      <c r="V20" s="77">
        <f t="shared" si="5"/>
        <v>9818.157912</v>
      </c>
      <c r="W20" s="78">
        <f t="shared" si="6"/>
        <v>9818.157912</v>
      </c>
      <c r="X20" s="78">
        <f t="shared" si="7"/>
        <v>7490.249772</v>
      </c>
      <c r="Y20" s="77">
        <f t="shared" si="8"/>
        <v>366.53214</v>
      </c>
      <c r="Z20" s="79"/>
      <c r="AA20" s="78"/>
      <c r="AB20" s="78">
        <f t="shared" si="9"/>
        <v>7155.9719148</v>
      </c>
      <c r="AC20" s="78">
        <f t="shared" si="10"/>
        <v>7155.9719148</v>
      </c>
      <c r="AD20" s="78">
        <f t="shared" si="11"/>
        <v>5459.2742838</v>
      </c>
      <c r="AE20" s="77">
        <f t="shared" si="12"/>
        <v>267.14723100000003</v>
      </c>
      <c r="AF20" s="79"/>
      <c r="AG20" s="78"/>
      <c r="AH20" s="78">
        <f t="shared" si="13"/>
        <v>3794.0060952</v>
      </c>
      <c r="AI20" s="78">
        <f t="shared" si="14"/>
        <v>3794.0060952</v>
      </c>
      <c r="AJ20" s="78">
        <f t="shared" si="15"/>
        <v>2894.4384012</v>
      </c>
      <c r="AK20" s="77">
        <f t="shared" si="16"/>
        <v>141.638094</v>
      </c>
      <c r="AL20" s="79"/>
      <c r="AM20" s="78"/>
      <c r="AN20" s="78">
        <f t="shared" si="17"/>
        <v>2759.329584</v>
      </c>
      <c r="AO20" s="78">
        <f t="shared" si="18"/>
        <v>2759.329584</v>
      </c>
      <c r="AP20" s="78">
        <f t="shared" si="19"/>
        <v>2105.086104</v>
      </c>
      <c r="AQ20" s="77">
        <f t="shared" si="20"/>
        <v>103.01147999999999</v>
      </c>
      <c r="AR20" s="79"/>
      <c r="AS20" s="78"/>
      <c r="AT20" s="78">
        <f t="shared" si="21"/>
        <v>316.0710642</v>
      </c>
      <c r="AU20" s="78">
        <f t="shared" si="22"/>
        <v>316.0710642</v>
      </c>
      <c r="AV20" s="78">
        <f t="shared" si="23"/>
        <v>241.12987769999998</v>
      </c>
      <c r="AW20" s="77">
        <f t="shared" si="24"/>
        <v>11.799586499999998</v>
      </c>
      <c r="AX20" s="79"/>
      <c r="AY20" s="78"/>
      <c r="AZ20" s="78">
        <f t="shared" si="25"/>
        <v>5000.4919602</v>
      </c>
      <c r="BA20" s="78">
        <f t="shared" si="26"/>
        <v>5000.4919602</v>
      </c>
      <c r="BB20" s="78">
        <f t="shared" si="27"/>
        <v>3814.8636536999998</v>
      </c>
      <c r="BC20" s="77">
        <f t="shared" si="28"/>
        <v>186.67870649999998</v>
      </c>
      <c r="BD20" s="79"/>
      <c r="BE20" s="78"/>
      <c r="BF20" s="78">
        <f t="shared" si="29"/>
        <v>542.0746697999999</v>
      </c>
      <c r="BG20" s="78">
        <f t="shared" si="30"/>
        <v>542.0746697999999</v>
      </c>
      <c r="BH20" s="78">
        <f t="shared" si="31"/>
        <v>413.54750129999996</v>
      </c>
      <c r="BI20" s="77">
        <f t="shared" si="32"/>
        <v>20.2367685</v>
      </c>
      <c r="BJ20" s="79"/>
      <c r="BK20" s="78"/>
      <c r="BL20" s="78">
        <f t="shared" si="33"/>
        <v>1695.7118286</v>
      </c>
      <c r="BM20" s="78">
        <f t="shared" si="34"/>
        <v>1695.7118286</v>
      </c>
      <c r="BN20" s="78">
        <f t="shared" si="35"/>
        <v>1293.6545991</v>
      </c>
      <c r="BO20" s="77">
        <f t="shared" si="36"/>
        <v>63.304429500000005</v>
      </c>
      <c r="BP20" s="79"/>
      <c r="BQ20" s="78"/>
      <c r="BR20" s="78">
        <f t="shared" si="37"/>
        <v>859.9357902</v>
      </c>
      <c r="BS20" s="78">
        <f t="shared" si="38"/>
        <v>859.9357902</v>
      </c>
      <c r="BT20" s="78">
        <f t="shared" si="39"/>
        <v>656.0430087</v>
      </c>
      <c r="BU20" s="77">
        <f t="shared" si="40"/>
        <v>32.1031815</v>
      </c>
      <c r="BV20" s="79"/>
      <c r="BW20" s="78"/>
      <c r="BX20" s="78">
        <f t="shared" si="41"/>
        <v>167.0038338</v>
      </c>
      <c r="BY20" s="78">
        <f t="shared" si="42"/>
        <v>167.0038338</v>
      </c>
      <c r="BZ20" s="78">
        <f t="shared" si="43"/>
        <v>127.4068353</v>
      </c>
      <c r="CA20" s="77">
        <f t="shared" si="44"/>
        <v>6.2345985</v>
      </c>
      <c r="CB20" s="79"/>
      <c r="CC20" s="78"/>
      <c r="CD20" s="78">
        <f t="shared" si="45"/>
        <v>663.5702292000001</v>
      </c>
      <c r="CE20" s="78">
        <f t="shared" si="46"/>
        <v>663.5702292000001</v>
      </c>
      <c r="CF20" s="78">
        <f t="shared" si="47"/>
        <v>506.23618020000004</v>
      </c>
      <c r="CG20" s="77">
        <f t="shared" si="48"/>
        <v>24.772449</v>
      </c>
      <c r="CH20" s="79"/>
      <c r="CI20" s="78"/>
      <c r="CJ20" s="78">
        <f t="shared" si="49"/>
        <v>1618.4150393999998</v>
      </c>
      <c r="CK20" s="78">
        <f t="shared" si="50"/>
        <v>1618.4150393999998</v>
      </c>
      <c r="CL20" s="78">
        <f t="shared" si="51"/>
        <v>1234.6850589</v>
      </c>
      <c r="CM20" s="77">
        <f t="shared" si="52"/>
        <v>60.418780500000004</v>
      </c>
      <c r="CN20" s="79"/>
      <c r="CO20" s="78"/>
      <c r="CP20" s="78">
        <f t="shared" si="53"/>
        <v>3622.4490312</v>
      </c>
      <c r="CQ20" s="78">
        <f t="shared" si="54"/>
        <v>3622.4490312</v>
      </c>
      <c r="CR20" s="78">
        <f t="shared" si="55"/>
        <v>2763.5579172</v>
      </c>
      <c r="CS20" s="77">
        <f t="shared" si="56"/>
        <v>135.23351399999999</v>
      </c>
      <c r="CT20" s="79"/>
      <c r="CU20" s="78"/>
      <c r="CV20" s="78">
        <f t="shared" si="57"/>
        <v>548.0575422</v>
      </c>
      <c r="CW20" s="78">
        <f t="shared" si="58"/>
        <v>548.0575422</v>
      </c>
      <c r="CX20" s="78">
        <f t="shared" si="59"/>
        <v>418.1118207</v>
      </c>
      <c r="CY20" s="77">
        <f t="shared" si="60"/>
        <v>20.4601215</v>
      </c>
      <c r="CZ20" s="79"/>
      <c r="DA20" s="78"/>
      <c r="DB20" s="78">
        <f t="shared" si="61"/>
        <v>1574.7568901999998</v>
      </c>
      <c r="DC20" s="78">
        <f t="shared" si="62"/>
        <v>1574.7568901999998</v>
      </c>
      <c r="DD20" s="78">
        <f t="shared" si="63"/>
        <v>1201.3783587</v>
      </c>
      <c r="DE20" s="77">
        <f t="shared" si="64"/>
        <v>58.788931500000004</v>
      </c>
      <c r="DF20" s="79"/>
      <c r="DG20" s="78"/>
      <c r="DH20" s="78">
        <f t="shared" si="65"/>
        <v>60.681703799999994</v>
      </c>
      <c r="DI20" s="78">
        <f t="shared" si="66"/>
        <v>60.681703799999994</v>
      </c>
      <c r="DJ20" s="78">
        <f t="shared" si="67"/>
        <v>46.2939303</v>
      </c>
      <c r="DK20" s="77">
        <f t="shared" si="68"/>
        <v>2.2653735</v>
      </c>
      <c r="DL20" s="79"/>
      <c r="DM20" s="90"/>
      <c r="DN20" s="90">
        <f t="shared" si="69"/>
        <v>3322.0319484</v>
      </c>
      <c r="DO20" s="90">
        <f t="shared" si="70"/>
        <v>3322.0319484</v>
      </c>
      <c r="DP20" s="90">
        <f t="shared" si="71"/>
        <v>2534.3704254</v>
      </c>
      <c r="DQ20" s="94">
        <f t="shared" si="72"/>
        <v>124.01832300000001</v>
      </c>
      <c r="DR20" s="79"/>
      <c r="DS20" s="78"/>
      <c r="DT20" s="78">
        <f t="shared" si="73"/>
        <v>523.0087692000001</v>
      </c>
      <c r="DU20" s="78">
        <f t="shared" si="74"/>
        <v>523.0087692000001</v>
      </c>
      <c r="DV20" s="78">
        <f t="shared" si="75"/>
        <v>399.0021702</v>
      </c>
      <c r="DW20" s="77">
        <f t="shared" si="76"/>
        <v>19.524999</v>
      </c>
      <c r="DX20" s="79"/>
      <c r="DY20" s="78"/>
      <c r="DZ20" s="78">
        <f t="shared" si="77"/>
        <v>2691.4396002</v>
      </c>
      <c r="EA20" s="78">
        <f t="shared" si="78"/>
        <v>2691.4396002</v>
      </c>
      <c r="EB20" s="78">
        <f t="shared" si="79"/>
        <v>2053.2929937</v>
      </c>
      <c r="EC20" s="77">
        <f t="shared" si="80"/>
        <v>100.4770065</v>
      </c>
      <c r="ED20" s="79"/>
      <c r="EE20" s="78"/>
      <c r="EF20" s="78">
        <f t="shared" si="81"/>
        <v>768.3786204</v>
      </c>
      <c r="EG20" s="78">
        <f t="shared" si="82"/>
        <v>768.3786204</v>
      </c>
      <c r="EH20" s="78">
        <f t="shared" si="83"/>
        <v>586.1942574</v>
      </c>
      <c r="EI20" s="77">
        <f t="shared" si="84"/>
        <v>28.685163</v>
      </c>
      <c r="EJ20" s="79"/>
      <c r="EK20" s="78"/>
      <c r="EL20" s="78">
        <f t="shared" si="85"/>
        <v>7.712859600000001</v>
      </c>
      <c r="EM20" s="78">
        <f t="shared" si="86"/>
        <v>7.712859600000001</v>
      </c>
      <c r="EN20" s="78">
        <f t="shared" si="87"/>
        <v>5.8841226</v>
      </c>
      <c r="EO20" s="77">
        <f t="shared" si="88"/>
        <v>0.287937</v>
      </c>
      <c r="EP20" s="79"/>
      <c r="EQ20" s="78"/>
      <c r="ER20" s="78">
        <f t="shared" si="89"/>
        <v>14.3204496</v>
      </c>
      <c r="ES20" s="78">
        <f t="shared" si="90"/>
        <v>14.3204496</v>
      </c>
      <c r="ET20" s="78">
        <f t="shared" si="91"/>
        <v>10.9250376</v>
      </c>
      <c r="EU20" s="77">
        <f t="shared" si="92"/>
        <v>0.534612</v>
      </c>
      <c r="EV20" s="79"/>
      <c r="EW20" s="78"/>
      <c r="EX20" s="78">
        <f t="shared" si="93"/>
        <v>2588.6855688</v>
      </c>
      <c r="EY20" s="78">
        <f t="shared" si="94"/>
        <v>2588.6855688</v>
      </c>
      <c r="EZ20" s="78">
        <f t="shared" si="95"/>
        <v>1974.9021828</v>
      </c>
      <c r="FA20" s="77">
        <f t="shared" si="96"/>
        <v>96.640986</v>
      </c>
      <c r="FB20" s="79"/>
      <c r="FC20" s="78"/>
      <c r="FD20" s="78">
        <f t="shared" si="97"/>
        <v>4811.7191207999995</v>
      </c>
      <c r="FE20" s="78">
        <f t="shared" si="98"/>
        <v>4811.7191207999995</v>
      </c>
      <c r="FF20" s="78">
        <f t="shared" si="99"/>
        <v>3670.8492948</v>
      </c>
      <c r="FG20" s="77">
        <f t="shared" si="100"/>
        <v>179.631426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.75">
      <c r="A21" s="51">
        <v>45383</v>
      </c>
      <c r="C21" s="42">
        <v>6865000</v>
      </c>
      <c r="D21" s="42">
        <v>120138</v>
      </c>
      <c r="E21" s="77">
        <f t="shared" si="0"/>
        <v>6985138</v>
      </c>
      <c r="F21" s="77">
        <v>91653</v>
      </c>
      <c r="G21" s="77">
        <v>4485</v>
      </c>
      <c r="H21" s="79"/>
      <c r="I21" s="79">
        <f>'2011B Academic'!I21</f>
        <v>3726499.8035</v>
      </c>
      <c r="J21" s="79">
        <f>'2011B Academic'!J21</f>
        <v>65214.0179742</v>
      </c>
      <c r="K21" s="79">
        <f t="shared" si="1"/>
        <v>3791713.8214742</v>
      </c>
      <c r="L21" s="79">
        <f>'2011B Academic'!L21</f>
        <v>49751.6222127</v>
      </c>
      <c r="M21" s="79">
        <f>'2011B Academic'!M21</f>
        <v>2434.5741615</v>
      </c>
      <c r="N21" s="79"/>
      <c r="O21" s="78">
        <f t="shared" si="2"/>
        <v>3138500.1965000005</v>
      </c>
      <c r="P21" s="80">
        <f t="shared" si="2"/>
        <v>54923.9820258</v>
      </c>
      <c r="Q21" s="78">
        <f t="shared" si="3"/>
        <v>3193424.1785258004</v>
      </c>
      <c r="R21" s="78">
        <f t="shared" si="4"/>
        <v>41901.37778729999</v>
      </c>
      <c r="S21" s="78">
        <f t="shared" si="4"/>
        <v>2050.4258385</v>
      </c>
      <c r="T21" s="79"/>
      <c r="U21" s="78">
        <f t="shared" si="102"/>
        <v>561035.26</v>
      </c>
      <c r="V21" s="77">
        <f t="shared" si="5"/>
        <v>9818.157912</v>
      </c>
      <c r="W21" s="78">
        <f t="shared" si="6"/>
        <v>570853.417912</v>
      </c>
      <c r="X21" s="78">
        <f t="shared" si="7"/>
        <v>7490.249772</v>
      </c>
      <c r="Y21" s="77">
        <f t="shared" si="8"/>
        <v>366.53214</v>
      </c>
      <c r="Z21" s="79"/>
      <c r="AA21" s="78">
        <f t="shared" si="103"/>
        <v>408910.979</v>
      </c>
      <c r="AB21" s="78">
        <f t="shared" si="9"/>
        <v>7155.9719148</v>
      </c>
      <c r="AC21" s="78">
        <f t="shared" si="10"/>
        <v>416066.9509148</v>
      </c>
      <c r="AD21" s="78">
        <f t="shared" si="11"/>
        <v>5459.2742838</v>
      </c>
      <c r="AE21" s="77">
        <f t="shared" si="12"/>
        <v>267.14723100000003</v>
      </c>
      <c r="AF21" s="79"/>
      <c r="AG21" s="78">
        <f t="shared" si="104"/>
        <v>216799.44600000003</v>
      </c>
      <c r="AH21" s="78">
        <f t="shared" si="13"/>
        <v>3794.0060952</v>
      </c>
      <c r="AI21" s="78">
        <f t="shared" si="14"/>
        <v>220593.45209520002</v>
      </c>
      <c r="AJ21" s="78">
        <f t="shared" si="15"/>
        <v>2894.4384012</v>
      </c>
      <c r="AK21" s="77">
        <f t="shared" si="16"/>
        <v>141.638094</v>
      </c>
      <c r="AL21" s="79"/>
      <c r="AM21" s="78">
        <f t="shared" si="105"/>
        <v>157675.32</v>
      </c>
      <c r="AN21" s="78">
        <f t="shared" si="17"/>
        <v>2759.329584</v>
      </c>
      <c r="AO21" s="78">
        <f t="shared" si="18"/>
        <v>160434.649584</v>
      </c>
      <c r="AP21" s="78">
        <f t="shared" si="19"/>
        <v>2105.086104</v>
      </c>
      <c r="AQ21" s="77">
        <f t="shared" si="20"/>
        <v>103.01147999999999</v>
      </c>
      <c r="AR21" s="79"/>
      <c r="AS21" s="78">
        <f t="shared" si="106"/>
        <v>18061.1285</v>
      </c>
      <c r="AT21" s="78">
        <f t="shared" si="21"/>
        <v>316.0710642</v>
      </c>
      <c r="AU21" s="78">
        <f t="shared" si="22"/>
        <v>18377.1995642</v>
      </c>
      <c r="AV21" s="78">
        <f t="shared" si="23"/>
        <v>241.12987769999998</v>
      </c>
      <c r="AW21" s="77">
        <f t="shared" si="24"/>
        <v>11.799586499999998</v>
      </c>
      <c r="AX21" s="79"/>
      <c r="AY21" s="78">
        <f t="shared" si="107"/>
        <v>285741.20849999995</v>
      </c>
      <c r="AZ21" s="78">
        <f t="shared" si="25"/>
        <v>5000.4919602</v>
      </c>
      <c r="BA21" s="78">
        <f t="shared" si="26"/>
        <v>290741.70046019997</v>
      </c>
      <c r="BB21" s="78">
        <f t="shared" si="27"/>
        <v>3814.8636536999998</v>
      </c>
      <c r="BC21" s="77">
        <f t="shared" si="28"/>
        <v>186.67870649999998</v>
      </c>
      <c r="BD21" s="79"/>
      <c r="BE21" s="78">
        <f t="shared" si="108"/>
        <v>30975.5665</v>
      </c>
      <c r="BF21" s="78">
        <f t="shared" si="29"/>
        <v>542.0746697999999</v>
      </c>
      <c r="BG21" s="78">
        <f t="shared" si="30"/>
        <v>31517.6411698</v>
      </c>
      <c r="BH21" s="78">
        <f t="shared" si="31"/>
        <v>413.54750129999996</v>
      </c>
      <c r="BI21" s="77">
        <f t="shared" si="32"/>
        <v>20.2367685</v>
      </c>
      <c r="BJ21" s="79"/>
      <c r="BK21" s="78">
        <f t="shared" si="109"/>
        <v>96897.4155</v>
      </c>
      <c r="BL21" s="78">
        <f t="shared" si="33"/>
        <v>1695.7118286</v>
      </c>
      <c r="BM21" s="78">
        <f t="shared" si="34"/>
        <v>98593.1273286</v>
      </c>
      <c r="BN21" s="78">
        <f t="shared" si="35"/>
        <v>1293.6545991</v>
      </c>
      <c r="BO21" s="77">
        <f t="shared" si="36"/>
        <v>63.304429500000005</v>
      </c>
      <c r="BP21" s="79"/>
      <c r="BQ21" s="78">
        <f t="shared" si="110"/>
        <v>49138.9835</v>
      </c>
      <c r="BR21" s="78">
        <f t="shared" si="37"/>
        <v>859.9357902</v>
      </c>
      <c r="BS21" s="78">
        <f t="shared" si="38"/>
        <v>49998.9192902</v>
      </c>
      <c r="BT21" s="78">
        <f t="shared" si="39"/>
        <v>656.0430087</v>
      </c>
      <c r="BU21" s="77">
        <f t="shared" si="40"/>
        <v>32.1031815</v>
      </c>
      <c r="BV21" s="79"/>
      <c r="BW21" s="78">
        <f t="shared" si="111"/>
        <v>9543.036499999998</v>
      </c>
      <c r="BX21" s="78">
        <f t="shared" si="41"/>
        <v>167.0038338</v>
      </c>
      <c r="BY21" s="78">
        <f t="shared" si="42"/>
        <v>9710.040333799998</v>
      </c>
      <c r="BZ21" s="78">
        <f t="shared" si="43"/>
        <v>127.4068353</v>
      </c>
      <c r="CA21" s="77">
        <f t="shared" si="44"/>
        <v>6.2345985</v>
      </c>
      <c r="CB21" s="79"/>
      <c r="CC21" s="78">
        <f t="shared" si="112"/>
        <v>37918.141</v>
      </c>
      <c r="CD21" s="78">
        <f t="shared" si="45"/>
        <v>663.5702292000001</v>
      </c>
      <c r="CE21" s="78">
        <f t="shared" si="46"/>
        <v>38581.7112292</v>
      </c>
      <c r="CF21" s="78">
        <f t="shared" si="47"/>
        <v>506.23618020000004</v>
      </c>
      <c r="CG21" s="77">
        <f t="shared" si="48"/>
        <v>24.772449</v>
      </c>
      <c r="CH21" s="79"/>
      <c r="CI21" s="78">
        <f t="shared" si="113"/>
        <v>92480.4745</v>
      </c>
      <c r="CJ21" s="78">
        <f t="shared" si="49"/>
        <v>1618.4150393999998</v>
      </c>
      <c r="CK21" s="78">
        <f t="shared" si="50"/>
        <v>94098.8895394</v>
      </c>
      <c r="CL21" s="78">
        <f t="shared" si="51"/>
        <v>1234.6850589</v>
      </c>
      <c r="CM21" s="77">
        <f t="shared" si="52"/>
        <v>60.418780500000004</v>
      </c>
      <c r="CN21" s="79"/>
      <c r="CO21" s="78">
        <f t="shared" si="114"/>
        <v>206996.22599999997</v>
      </c>
      <c r="CP21" s="78">
        <f t="shared" si="53"/>
        <v>3622.4490312</v>
      </c>
      <c r="CQ21" s="78">
        <f t="shared" si="54"/>
        <v>210618.67503119996</v>
      </c>
      <c r="CR21" s="78">
        <f t="shared" si="55"/>
        <v>2763.5579172</v>
      </c>
      <c r="CS21" s="77">
        <f t="shared" si="56"/>
        <v>135.23351399999999</v>
      </c>
      <c r="CT21" s="79"/>
      <c r="CU21" s="78">
        <f t="shared" si="115"/>
        <v>31317.4435</v>
      </c>
      <c r="CV21" s="78">
        <f t="shared" si="57"/>
        <v>548.0575422</v>
      </c>
      <c r="CW21" s="78">
        <f t="shared" si="58"/>
        <v>31865.5010422</v>
      </c>
      <c r="CX21" s="78">
        <f t="shared" si="59"/>
        <v>418.1118207</v>
      </c>
      <c r="CY21" s="77">
        <f t="shared" si="60"/>
        <v>20.4601215</v>
      </c>
      <c r="CZ21" s="79"/>
      <c r="DA21" s="78">
        <f t="shared" si="116"/>
        <v>89985.7335</v>
      </c>
      <c r="DB21" s="78">
        <f t="shared" si="61"/>
        <v>1574.7568901999998</v>
      </c>
      <c r="DC21" s="78">
        <f t="shared" si="62"/>
        <v>91560.49039020001</v>
      </c>
      <c r="DD21" s="78">
        <f t="shared" si="63"/>
        <v>1201.3783587</v>
      </c>
      <c r="DE21" s="77">
        <f t="shared" si="64"/>
        <v>58.788931500000004</v>
      </c>
      <c r="DF21" s="79"/>
      <c r="DG21" s="78">
        <f t="shared" si="117"/>
        <v>3467.5115</v>
      </c>
      <c r="DH21" s="78">
        <f t="shared" si="65"/>
        <v>60.681703799999994</v>
      </c>
      <c r="DI21" s="78">
        <f t="shared" si="66"/>
        <v>3528.1932038</v>
      </c>
      <c r="DJ21" s="78">
        <f t="shared" si="67"/>
        <v>46.2939303</v>
      </c>
      <c r="DK21" s="77">
        <f t="shared" si="68"/>
        <v>2.2653735</v>
      </c>
      <c r="DL21" s="79"/>
      <c r="DM21" s="90">
        <f t="shared" si="118"/>
        <v>189829.607</v>
      </c>
      <c r="DN21" s="90">
        <f t="shared" si="69"/>
        <v>3322.0319484</v>
      </c>
      <c r="DO21" s="90">
        <f t="shared" si="70"/>
        <v>193151.63894839998</v>
      </c>
      <c r="DP21" s="90">
        <f t="shared" si="71"/>
        <v>2534.3704254</v>
      </c>
      <c r="DQ21" s="94">
        <f t="shared" si="72"/>
        <v>124.01832300000001</v>
      </c>
      <c r="DR21" s="79"/>
      <c r="DS21" s="78">
        <f t="shared" si="119"/>
        <v>29886.091</v>
      </c>
      <c r="DT21" s="78">
        <f t="shared" si="73"/>
        <v>523.0087692000001</v>
      </c>
      <c r="DU21" s="78">
        <f t="shared" si="74"/>
        <v>30409.099769200002</v>
      </c>
      <c r="DV21" s="78">
        <f t="shared" si="75"/>
        <v>399.0021702</v>
      </c>
      <c r="DW21" s="77">
        <f t="shared" si="76"/>
        <v>19.524999</v>
      </c>
      <c r="DX21" s="79"/>
      <c r="DY21" s="78">
        <f t="shared" si="120"/>
        <v>153795.9085</v>
      </c>
      <c r="DZ21" s="78">
        <f t="shared" si="77"/>
        <v>2691.4396002</v>
      </c>
      <c r="EA21" s="78">
        <f t="shared" si="78"/>
        <v>156487.3481002</v>
      </c>
      <c r="EB21" s="78">
        <f t="shared" si="79"/>
        <v>2053.2929937</v>
      </c>
      <c r="EC21" s="77">
        <f t="shared" si="80"/>
        <v>100.4770065</v>
      </c>
      <c r="ED21" s="79"/>
      <c r="EE21" s="78">
        <f t="shared" si="121"/>
        <v>43907.167</v>
      </c>
      <c r="EF21" s="78">
        <f t="shared" si="81"/>
        <v>768.3786204</v>
      </c>
      <c r="EG21" s="78">
        <f t="shared" si="82"/>
        <v>44675.5456204</v>
      </c>
      <c r="EH21" s="78">
        <f t="shared" si="83"/>
        <v>586.1942574</v>
      </c>
      <c r="EI21" s="77">
        <f t="shared" si="84"/>
        <v>28.685163</v>
      </c>
      <c r="EJ21" s="79"/>
      <c r="EK21" s="78">
        <f t="shared" si="122"/>
        <v>440.733</v>
      </c>
      <c r="EL21" s="78">
        <f t="shared" si="85"/>
        <v>7.712859600000001</v>
      </c>
      <c r="EM21" s="78">
        <f t="shared" si="86"/>
        <v>448.4458596</v>
      </c>
      <c r="EN21" s="78">
        <f t="shared" si="87"/>
        <v>5.8841226</v>
      </c>
      <c r="EO21" s="77">
        <f t="shared" si="88"/>
        <v>0.287937</v>
      </c>
      <c r="EP21" s="79"/>
      <c r="EQ21" s="78">
        <f t="shared" si="123"/>
        <v>818.308</v>
      </c>
      <c r="ER21" s="78">
        <f t="shared" si="89"/>
        <v>14.3204496</v>
      </c>
      <c r="ES21" s="78">
        <f t="shared" si="90"/>
        <v>832.6284496</v>
      </c>
      <c r="ET21" s="78">
        <f t="shared" si="91"/>
        <v>10.9250376</v>
      </c>
      <c r="EU21" s="77">
        <f t="shared" si="92"/>
        <v>0.534612</v>
      </c>
      <c r="EV21" s="79"/>
      <c r="EW21" s="78">
        <f t="shared" si="124"/>
        <v>147924.274</v>
      </c>
      <c r="EX21" s="78">
        <f t="shared" si="93"/>
        <v>2588.6855688</v>
      </c>
      <c r="EY21" s="78">
        <f t="shared" si="94"/>
        <v>150512.9595688</v>
      </c>
      <c r="EZ21" s="78">
        <f t="shared" si="95"/>
        <v>1974.9021828</v>
      </c>
      <c r="FA21" s="77">
        <f t="shared" si="96"/>
        <v>96.640986</v>
      </c>
      <c r="FB21" s="79"/>
      <c r="FC21" s="78">
        <f t="shared" si="125"/>
        <v>274954.234</v>
      </c>
      <c r="FD21" s="78">
        <f t="shared" si="97"/>
        <v>4811.7191207999995</v>
      </c>
      <c r="FE21" s="78">
        <f t="shared" si="98"/>
        <v>279765.95312079997</v>
      </c>
      <c r="FF21" s="78">
        <f t="shared" si="99"/>
        <v>3670.8492948</v>
      </c>
      <c r="FG21" s="77">
        <f t="shared" si="100"/>
        <v>179.631426</v>
      </c>
      <c r="FH21" s="79"/>
      <c r="FI21" s="80"/>
      <c r="FJ21" s="78"/>
      <c r="FK21" s="78"/>
      <c r="FL21" s="78"/>
      <c r="FM21" s="77">
        <f t="shared" si="101"/>
        <v>0</v>
      </c>
    </row>
    <row r="22" spans="3:169" ht="12.75">
      <c r="C22" s="42"/>
      <c r="D22" s="42"/>
      <c r="E22" s="42"/>
      <c r="F22" s="42"/>
      <c r="G22" s="42"/>
      <c r="J22" s="50"/>
      <c r="M22" s="42"/>
      <c r="S22" s="42"/>
      <c r="Y22" s="42"/>
      <c r="AA22" s="33"/>
      <c r="AB22" s="33"/>
      <c r="AE22" s="42"/>
      <c r="AG22" s="33"/>
      <c r="AH22" s="33"/>
      <c r="AI22" s="33"/>
      <c r="AJ22" s="33"/>
      <c r="AK22" s="42"/>
      <c r="AM22" s="20"/>
      <c r="AN22" s="20"/>
      <c r="AO22" s="20"/>
      <c r="AP22" s="20"/>
      <c r="AQ22" s="42"/>
      <c r="AR22" s="33"/>
      <c r="AS22" s="33"/>
      <c r="AT22" s="33"/>
      <c r="AU22" s="33"/>
      <c r="AV22" s="33"/>
      <c r="AW22" s="42"/>
      <c r="AX22" s="33"/>
      <c r="AY22" s="33"/>
      <c r="AZ22" s="33"/>
      <c r="BA22" s="33"/>
      <c r="BB22" s="33"/>
      <c r="BC22" s="42"/>
      <c r="BD22" s="33"/>
      <c r="BE22" s="33"/>
      <c r="BF22" s="33"/>
      <c r="BG22" s="33"/>
      <c r="BH22" s="33"/>
      <c r="BI22" s="42"/>
      <c r="BJ22" s="33"/>
      <c r="BK22" s="33"/>
      <c r="BL22" s="33"/>
      <c r="BM22" s="33"/>
      <c r="BN22" s="33"/>
      <c r="BO22" s="42"/>
      <c r="BP22" s="33"/>
      <c r="BQ22" s="33"/>
      <c r="BR22" s="33"/>
      <c r="BS22" s="33"/>
      <c r="BT22" s="33"/>
      <c r="BU22" s="42"/>
      <c r="BV22" s="33"/>
      <c r="BW22" s="33"/>
      <c r="BX22" s="33"/>
      <c r="BY22" s="33"/>
      <c r="BZ22" s="33"/>
      <c r="CA22" s="42"/>
      <c r="CB22" s="33"/>
      <c r="CC22" s="33"/>
      <c r="CD22" s="33"/>
      <c r="CE22" s="33"/>
      <c r="CF22" s="33"/>
      <c r="CG22" s="42"/>
      <c r="CH22" s="33"/>
      <c r="CI22" s="33"/>
      <c r="CJ22" s="33"/>
      <c r="CK22" s="33"/>
      <c r="CL22" s="33"/>
      <c r="CM22" s="42"/>
      <c r="CN22" s="33"/>
      <c r="CO22" s="33"/>
      <c r="CP22" s="33"/>
      <c r="CQ22" s="33"/>
      <c r="CR22" s="33"/>
      <c r="CS22" s="42"/>
      <c r="CT22" s="33"/>
      <c r="CU22" s="33"/>
      <c r="CV22" s="33"/>
      <c r="CW22" s="33"/>
      <c r="CX22" s="33"/>
      <c r="CY22" s="42"/>
      <c r="CZ22" s="33"/>
      <c r="DA22" s="33"/>
      <c r="DB22" s="33"/>
      <c r="DC22" s="33"/>
      <c r="DD22" s="33"/>
      <c r="DE22" s="42"/>
      <c r="DF22" s="33"/>
      <c r="DG22" s="33"/>
      <c r="DH22" s="33"/>
      <c r="DI22" s="33"/>
      <c r="DJ22" s="33"/>
      <c r="DK22" s="42"/>
      <c r="DL22" s="33"/>
      <c r="DM22" s="95"/>
      <c r="DN22" s="95"/>
      <c r="DO22" s="95"/>
      <c r="DP22" s="95"/>
      <c r="DQ22" s="96"/>
      <c r="DR22" s="33"/>
      <c r="DS22" s="33"/>
      <c r="DT22" s="33"/>
      <c r="DU22" s="33"/>
      <c r="DV22" s="33"/>
      <c r="DW22" s="42"/>
      <c r="DX22" s="33"/>
      <c r="DY22" s="33"/>
      <c r="DZ22" s="33"/>
      <c r="EA22" s="33"/>
      <c r="EB22" s="33"/>
      <c r="EC22" s="42"/>
      <c r="ED22" s="33"/>
      <c r="EE22" s="33"/>
      <c r="EF22" s="33"/>
      <c r="EG22" s="33"/>
      <c r="EH22" s="33"/>
      <c r="EI22" s="42"/>
      <c r="EJ22" s="33"/>
      <c r="EK22" s="33"/>
      <c r="EL22" s="33"/>
      <c r="EM22" s="33"/>
      <c r="EN22" s="33"/>
      <c r="EO22" s="42"/>
      <c r="EP22" s="33"/>
      <c r="EQ22" s="33"/>
      <c r="ER22" s="33"/>
      <c r="ES22" s="33"/>
      <c r="ET22" s="33"/>
      <c r="EU22" s="42"/>
      <c r="EV22" s="33"/>
      <c r="EW22" s="33"/>
      <c r="EX22" s="33"/>
      <c r="EY22" s="33"/>
      <c r="EZ22" s="33"/>
      <c r="FA22" s="42"/>
      <c r="FB22" s="33"/>
      <c r="FC22" s="33"/>
      <c r="FD22" s="33"/>
      <c r="FE22" s="33"/>
      <c r="FF22" s="33"/>
      <c r="FG22" s="42"/>
      <c r="FH22" s="33"/>
      <c r="FI22" s="50"/>
      <c r="FJ22" s="50"/>
      <c r="FK22" s="50"/>
      <c r="FL22" s="50"/>
      <c r="FM22" s="42"/>
    </row>
    <row r="23" spans="1:169" ht="13.5" thickBot="1">
      <c r="A23" s="31" t="s">
        <v>4</v>
      </c>
      <c r="C23" s="49">
        <f>SUM(C8:C22)</f>
        <v>19645000</v>
      </c>
      <c r="D23" s="49">
        <f>SUM(D8:D22)</f>
        <v>5201532</v>
      </c>
      <c r="E23" s="49">
        <f>SUM(E8:E22)</f>
        <v>24846532</v>
      </c>
      <c r="F23" s="49">
        <f>SUM(F8:F22)</f>
        <v>1283142</v>
      </c>
      <c r="G23" s="49">
        <f>SUM(G8:G22)</f>
        <v>62790</v>
      </c>
      <c r="I23" s="49">
        <f>SUM(I8:I22)</f>
        <v>10663814.8055</v>
      </c>
      <c r="J23" s="49">
        <f>SUM(J8:J22)</f>
        <v>2823526.2892788006</v>
      </c>
      <c r="K23" s="49">
        <f>SUM(K8:K22)</f>
        <v>13487341.094778802</v>
      </c>
      <c r="L23" s="49">
        <f>SUM(L8:L22)</f>
        <v>696522.7109778</v>
      </c>
      <c r="M23" s="49">
        <f>SUM(M8:M22)</f>
        <v>34084.038261</v>
      </c>
      <c r="O23" s="49">
        <f>SUM(O8:O22)</f>
        <v>8981185.1945</v>
      </c>
      <c r="P23" s="49">
        <f>SUM(P8:P22)</f>
        <v>2378005.7107212</v>
      </c>
      <c r="Q23" s="49">
        <f>SUM(Q8:Q22)</f>
        <v>11359190.905221201</v>
      </c>
      <c r="R23" s="49">
        <f>SUM(R8:R22)</f>
        <v>586619.2890221998</v>
      </c>
      <c r="S23" s="49">
        <f>SUM(S8:S22)</f>
        <v>28705.961738999995</v>
      </c>
      <c r="U23" s="49">
        <f>SUM(U8:U22)</f>
        <v>1605467.98</v>
      </c>
      <c r="V23" s="49">
        <f>SUM(V8:V22)</f>
        <v>425090.00116800005</v>
      </c>
      <c r="W23" s="49">
        <f>SUM(W8:W22)</f>
        <v>2030557.981168</v>
      </c>
      <c r="X23" s="49">
        <f>SUM(X8:X22)</f>
        <v>104863.49680799998</v>
      </c>
      <c r="Y23" s="49">
        <f>SUM(Y8:Y22)</f>
        <v>5131.449960000002</v>
      </c>
      <c r="AA23" s="49">
        <f>SUM(AA8:AA22)</f>
        <v>1170146.567</v>
      </c>
      <c r="AB23" s="49">
        <f>SUM(AB8:AB22)</f>
        <v>309827.1729672</v>
      </c>
      <c r="AC23" s="49">
        <f>SUM(AC8:AC22)</f>
        <v>1479973.7399671997</v>
      </c>
      <c r="AD23" s="49">
        <f>SUM(AD8:AD22)</f>
        <v>76429.8399732</v>
      </c>
      <c r="AE23" s="49">
        <f>SUM(AE8:AE22)</f>
        <v>3740.0612339999993</v>
      </c>
      <c r="AG23" s="49">
        <f>SUM(AG8:AG22)</f>
        <v>620396.958</v>
      </c>
      <c r="AH23" s="49">
        <f>SUM(AH8:AH22)</f>
        <v>164266.46117280002</v>
      </c>
      <c r="AI23" s="49">
        <f>SUM(AI8:AI22)</f>
        <v>784663.4191727999</v>
      </c>
      <c r="AJ23" s="49">
        <f>SUM(AJ8:AJ22)</f>
        <v>40522.137616800006</v>
      </c>
      <c r="AK23" s="49">
        <f>SUM(AK8:AK22)</f>
        <v>1982.9333159999994</v>
      </c>
      <c r="AM23" s="49">
        <f>SUM(AM8:AM22)</f>
        <v>451206.36000000004</v>
      </c>
      <c r="AN23" s="49">
        <f>SUM(AN8:AN22)</f>
        <v>119468.786976</v>
      </c>
      <c r="AO23" s="49">
        <f>SUM(AO8:AO22)</f>
        <v>570675.146976</v>
      </c>
      <c r="AP23" s="49">
        <f>SUM(AP8:AP22)</f>
        <v>29471.20545600001</v>
      </c>
      <c r="AQ23" s="49">
        <f>SUM(AQ8:AQ22)</f>
        <v>1442.1607199999994</v>
      </c>
      <c r="AR23" s="33"/>
      <c r="AS23" s="49">
        <f>SUM(AS8:AS22)</f>
        <v>51684.0305</v>
      </c>
      <c r="AT23" s="49">
        <f>SUM(AT8:AT22)</f>
        <v>13684.7105388</v>
      </c>
      <c r="AU23" s="49">
        <f>SUM(AU8:AU22)</f>
        <v>65368.7410388</v>
      </c>
      <c r="AV23" s="49">
        <f>SUM(AV8:AV22)</f>
        <v>3375.8182878000007</v>
      </c>
      <c r="AW23" s="49">
        <f>SUM(AW8:AW22)</f>
        <v>165.19421100000002</v>
      </c>
      <c r="AX23" s="33"/>
      <c r="AY23" s="49">
        <f>SUM(AY8:AY22)</f>
        <v>817681.8705</v>
      </c>
      <c r="AZ23" s="49">
        <f>SUM(AZ8:AZ22)</f>
        <v>216502.84628279993</v>
      </c>
      <c r="BA23" s="49">
        <f>SUM(BA8:BA22)</f>
        <v>1034184.7167827999</v>
      </c>
      <c r="BB23" s="49">
        <f>SUM(BB8:BB22)</f>
        <v>53408.091151799985</v>
      </c>
      <c r="BC23" s="49">
        <f>SUM(BC8:BC22)</f>
        <v>2613.501890999999</v>
      </c>
      <c r="BD23" s="33"/>
      <c r="BE23" s="49">
        <f>SUM(BE8:BE22)</f>
        <v>88640.20449999999</v>
      </c>
      <c r="BF23" s="49">
        <f>SUM(BF8:BF22)</f>
        <v>23469.8325372</v>
      </c>
      <c r="BG23" s="49">
        <f>SUM(BG8:BG22)</f>
        <v>112110.03703719999</v>
      </c>
      <c r="BH23" s="49">
        <f>SUM(BH8:BH22)</f>
        <v>5789.665018199998</v>
      </c>
      <c r="BI23" s="49">
        <f>SUM(BI8:BI22)</f>
        <v>283.31475900000004</v>
      </c>
      <c r="BJ23" s="33"/>
      <c r="BK23" s="49">
        <f>SUM(BK8:BK22)</f>
        <v>277283.28150000004</v>
      </c>
      <c r="BL23" s="49">
        <f>SUM(BL8:BL22)</f>
        <v>73418.06372040001</v>
      </c>
      <c r="BM23" s="49">
        <f>SUM(BM8:BM22)</f>
        <v>350701.3452204</v>
      </c>
      <c r="BN23" s="49">
        <f>SUM(BN8:BN22)</f>
        <v>18111.1643874</v>
      </c>
      <c r="BO23" s="49">
        <f>SUM(BO8:BO22)</f>
        <v>886.2620129999999</v>
      </c>
      <c r="BP23" s="33"/>
      <c r="BQ23" s="49">
        <f>SUM(BQ8:BQ22)</f>
        <v>140616.9455</v>
      </c>
      <c r="BR23" s="49">
        <f>SUM(BR8:BR22)</f>
        <v>37232.0459028</v>
      </c>
      <c r="BS23" s="49">
        <f>SUM(BS8:BS22)</f>
        <v>177848.9914028</v>
      </c>
      <c r="BT23" s="49">
        <f>SUM(BT8:BT22)</f>
        <v>9184.602121800002</v>
      </c>
      <c r="BU23" s="49">
        <f>SUM(BU8:BU22)</f>
        <v>449.444541</v>
      </c>
      <c r="BV23" s="33"/>
      <c r="BW23" s="49">
        <f>SUM(BW8:BW22)</f>
        <v>27308.5145</v>
      </c>
      <c r="BX23" s="49">
        <f>SUM(BX8:BX22)</f>
        <v>7230.6496332</v>
      </c>
      <c r="BY23" s="49">
        <f>SUM(BY8:BY22)</f>
        <v>34539.1641332</v>
      </c>
      <c r="BZ23" s="49">
        <f>SUM(BZ8:BZ22)</f>
        <v>1783.6956942</v>
      </c>
      <c r="CA23" s="49">
        <f>SUM(CA8:CA22)</f>
        <v>87.284379</v>
      </c>
      <c r="CB23" s="33"/>
      <c r="CC23" s="49">
        <f>SUM(CC8:CC22)</f>
        <v>108507.19300000003</v>
      </c>
      <c r="CD23" s="49">
        <f>SUM(CD8:CD22)</f>
        <v>28730.14184879999</v>
      </c>
      <c r="CE23" s="49">
        <f>SUM(CE8:CE22)</f>
        <v>137237.33484880003</v>
      </c>
      <c r="CF23" s="49">
        <f>SUM(CF8:CF22)</f>
        <v>7087.306522799998</v>
      </c>
      <c r="CG23" s="49">
        <f>SUM(CG8:CG22)</f>
        <v>346.814286</v>
      </c>
      <c r="CH23" s="33"/>
      <c r="CI23" s="49">
        <f>SUM(CI8:CI22)</f>
        <v>264643.6885</v>
      </c>
      <c r="CJ23" s="49">
        <f>SUM(CJ8:CJ22)</f>
        <v>70071.39803160001</v>
      </c>
      <c r="CK23" s="49">
        <f>SUM(CK8:CK22)</f>
        <v>334715.0865316</v>
      </c>
      <c r="CL23" s="49">
        <f>SUM(CL8:CL22)</f>
        <v>17285.590824600004</v>
      </c>
      <c r="CM23" s="49">
        <f>SUM(CM8:CM22)</f>
        <v>845.8629270000002</v>
      </c>
      <c r="CN23" s="33"/>
      <c r="CO23" s="49">
        <f>SUM(CO8:CO22)</f>
        <v>592343.8979999999</v>
      </c>
      <c r="CP23" s="49">
        <f>SUM(CP8:CP22)</f>
        <v>156838.6734768</v>
      </c>
      <c r="CQ23" s="49">
        <f>SUM(CQ8:CQ22)</f>
        <v>749182.5714767999</v>
      </c>
      <c r="CR23" s="49">
        <f>SUM(CR8:CR22)</f>
        <v>38689.8108408</v>
      </c>
      <c r="CS23" s="49">
        <f>SUM(CS8:CS22)</f>
        <v>1893.269196</v>
      </c>
      <c r="CT23" s="33"/>
      <c r="CU23" s="49">
        <f>SUM(CU8:CU22)</f>
        <v>89618.5255</v>
      </c>
      <c r="CV23" s="49">
        <f>SUM(CV8:CV22)</f>
        <v>23728.868830800002</v>
      </c>
      <c r="CW23" s="49">
        <f>SUM(CW8:CW22)</f>
        <v>113347.3943308</v>
      </c>
      <c r="CX23" s="49">
        <f>SUM(CX8:CX22)</f>
        <v>5853.5654898</v>
      </c>
      <c r="CY23" s="49">
        <f>SUM(CY8:CY22)</f>
        <v>286.4417010000001</v>
      </c>
      <c r="CZ23" s="33"/>
      <c r="DA23" s="49">
        <f>SUM(DA8:DA22)</f>
        <v>257504.6955</v>
      </c>
      <c r="DB23" s="49">
        <f>SUM(DB8:DB22)</f>
        <v>68181.16130280001</v>
      </c>
      <c r="DC23" s="49">
        <f>SUM(DC8:DC22)</f>
        <v>325685.8568028</v>
      </c>
      <c r="DD23" s="49">
        <f>SUM(DD8:DD22)</f>
        <v>16819.2970218</v>
      </c>
      <c r="DE23" s="49">
        <f>SUM(DE8:DE22)</f>
        <v>823.045041</v>
      </c>
      <c r="DF23" s="33"/>
      <c r="DG23" s="49">
        <f>SUM(DG8:DG22)</f>
        <v>9922.6895</v>
      </c>
      <c r="DH23" s="49">
        <f>SUM(DH8:DH22)</f>
        <v>2627.2938131999995</v>
      </c>
      <c r="DI23" s="49">
        <f>SUM(DI8:DI22)</f>
        <v>12549.9833132</v>
      </c>
      <c r="DJ23" s="49">
        <f>SUM(DJ8:DJ22)</f>
        <v>648.1150242000001</v>
      </c>
      <c r="DK23" s="49">
        <f>SUM(DK8:DK22)</f>
        <v>31.71522899999999</v>
      </c>
      <c r="DL23" s="33"/>
      <c r="DM23" s="97">
        <f>SUM(DM8:DM22)</f>
        <v>543219.6109999999</v>
      </c>
      <c r="DN23" s="97">
        <f>SUM(DN8:DN22)</f>
        <v>143831.72255759998</v>
      </c>
      <c r="DO23" s="97">
        <f>SUM(DO8:DO22)</f>
        <v>687051.3335575999</v>
      </c>
      <c r="DP23" s="97">
        <f>SUM(DP8:DP22)</f>
        <v>35481.1859556</v>
      </c>
      <c r="DQ23" s="97">
        <f>SUM(DQ8:DQ22)</f>
        <v>1736.2565220000001</v>
      </c>
      <c r="DR23" s="33"/>
      <c r="DS23" s="49">
        <f>SUM(DS8:DS22)</f>
        <v>85522.543</v>
      </c>
      <c r="DT23" s="49">
        <f>SUM(DT8:DT22)</f>
        <v>22644.3494088</v>
      </c>
      <c r="DU23" s="49">
        <f>SUM(DU8:DU22)</f>
        <v>108166.89240879999</v>
      </c>
      <c r="DV23" s="49">
        <f>SUM(DV8:DV22)</f>
        <v>5586.030382800001</v>
      </c>
      <c r="DW23" s="49">
        <f>SUM(DW8:DW22)</f>
        <v>273.34998600000006</v>
      </c>
      <c r="DX23" s="33"/>
      <c r="DY23" s="49">
        <f>SUM(DY8:DY22)</f>
        <v>440104.97049999994</v>
      </c>
      <c r="DZ23" s="49">
        <f>SUM(DZ8:DZ22)</f>
        <v>116529.4012428</v>
      </c>
      <c r="EA23" s="49">
        <f>SUM(EA8:EA22)</f>
        <v>556634.3717428</v>
      </c>
      <c r="EB23" s="49">
        <f>SUM(EB8:EB22)</f>
        <v>28746.101911800008</v>
      </c>
      <c r="EC23" s="49">
        <f>SUM(EC8:EC22)</f>
        <v>1406.678091</v>
      </c>
      <c r="ED23" s="33"/>
      <c r="EE23" s="49">
        <f>SUM(EE8:EE22)</f>
        <v>125645.491</v>
      </c>
      <c r="EF23" s="49">
        <f>SUM(EF8:EF22)</f>
        <v>33267.9583656</v>
      </c>
      <c r="EG23" s="49">
        <f>SUM(EG8:EG22)</f>
        <v>158913.4493656</v>
      </c>
      <c r="EH23" s="49">
        <f>SUM(EH8:EH22)</f>
        <v>8206.719603600002</v>
      </c>
      <c r="EI23" s="49">
        <f>SUM(EI8:EI22)</f>
        <v>401.5922819999999</v>
      </c>
      <c r="EJ23" s="33"/>
      <c r="EK23" s="49">
        <f>SUM(EK8:EK22)</f>
        <v>1261.209</v>
      </c>
      <c r="EL23" s="49">
        <f>SUM(EL8:EL22)</f>
        <v>333.9383543999999</v>
      </c>
      <c r="EM23" s="49">
        <f>SUM(EM8:EM22)</f>
        <v>1595.1473544</v>
      </c>
      <c r="EN23" s="49">
        <f>SUM(EN8:EN22)</f>
        <v>82.37771639999998</v>
      </c>
      <c r="EO23" s="49">
        <f>SUM(EO8:EO22)</f>
        <v>4.031117999999999</v>
      </c>
      <c r="EP23" s="33"/>
      <c r="EQ23" s="49">
        <f>SUM(EQ8:EQ22)</f>
        <v>2341.684</v>
      </c>
      <c r="ER23" s="49">
        <f>SUM(ER8:ER22)</f>
        <v>620.0226144000001</v>
      </c>
      <c r="ES23" s="49">
        <f>SUM(ES8:ES22)</f>
        <v>2961.7066144</v>
      </c>
      <c r="ET23" s="49">
        <f>SUM(ET8:ET22)</f>
        <v>152.95052639999997</v>
      </c>
      <c r="EU23" s="49">
        <f>SUM(EU8:EU22)</f>
        <v>7.484568</v>
      </c>
      <c r="EV23" s="33"/>
      <c r="EW23" s="49">
        <f>SUM(EW8:EW22)</f>
        <v>423302.60199999996</v>
      </c>
      <c r="EX23" s="49">
        <f>SUM(EX8:EX22)</f>
        <v>112080.53092320001</v>
      </c>
      <c r="EY23" s="49">
        <f>SUM(EY8:EY22)</f>
        <v>535383.1329232</v>
      </c>
      <c r="EZ23" s="49">
        <f>SUM(EZ8:EZ22)</f>
        <v>27648.630559200003</v>
      </c>
      <c r="FA23" s="49">
        <f>SUM(FA8:FA22)</f>
        <v>1352.9738039999997</v>
      </c>
      <c r="FB23" s="33"/>
      <c r="FC23" s="49">
        <f>SUM(FC8:FC22)</f>
        <v>786813.682</v>
      </c>
      <c r="FD23" s="49">
        <f>SUM(FD8:FD22)</f>
        <v>208329.6790512</v>
      </c>
      <c r="FE23" s="49">
        <f>SUM(FE8:FE22)</f>
        <v>995143.3610512</v>
      </c>
      <c r="FF23" s="49">
        <f>SUM(FF8:FF22)</f>
        <v>51391.890127199986</v>
      </c>
      <c r="FG23" s="49">
        <f>SUM(FG8:FG22)</f>
        <v>2514.8399639999993</v>
      </c>
      <c r="FH23" s="33"/>
      <c r="FI23" s="49">
        <f>SUM(FI8:FI22)</f>
        <v>0</v>
      </c>
      <c r="FJ23" s="49">
        <f>SUM(FJ8:FJ22)</f>
        <v>0</v>
      </c>
      <c r="FK23" s="49">
        <f>SUM(FK8:IV22)</f>
        <v>0</v>
      </c>
      <c r="FL23" s="42"/>
      <c r="FM23" s="49">
        <f>SUM(FM8:FM22)</f>
        <v>0</v>
      </c>
    </row>
    <row r="24" spans="33:43" ht="13.5" thickTop="1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16:43" ht="12.75">
      <c r="P25" s="33"/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33:43" ht="12.75">
      <c r="AG29" s="33"/>
      <c r="AH29" s="33"/>
      <c r="AI29" s="33"/>
      <c r="AJ29" s="33"/>
      <c r="AK29" s="33"/>
      <c r="AM29" s="20"/>
      <c r="AN29" s="20"/>
      <c r="AO29" s="20"/>
      <c r="AP29" s="20"/>
      <c r="AQ29" s="20"/>
    </row>
    <row r="30" spans="33:43" ht="12.75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33:43" ht="12.75"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.75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.75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.75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.75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.75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I63"/>
  <sheetViews>
    <sheetView tabSelected="1" zoomScale="150" zoomScaleNormal="150" zoomScalePageLayoutView="0" workbookViewId="0" topLeftCell="A1">
      <selection activeCell="I11" sqref="I11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hidden="1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W2" s="45"/>
      <c r="AA2" s="43" t="str">
        <f>O2</f>
        <v>Distribution of Debt Services after 2011B Bond Issue</v>
      </c>
      <c r="AE2"/>
      <c r="AF2"/>
      <c r="AG2"/>
      <c r="AI2" s="45"/>
      <c r="AJ2"/>
      <c r="AK2"/>
      <c r="AL2"/>
      <c r="AM2" s="43" t="str">
        <f>AA2</f>
        <v>Distribution of Debt Services after 2011B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2011B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2011B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2011B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2011B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2011B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2011B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2011B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76" t="s">
        <v>182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>
        <v>1</v>
      </c>
      <c r="E6" s="39"/>
      <c r="F6" s="41" t="s">
        <v>168</v>
      </c>
      <c r="G6" s="98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98" t="s">
        <v>176</v>
      </c>
      <c r="N6" s="33"/>
      <c r="O6" s="40"/>
      <c r="P6" s="53">
        <v>0.0661452</v>
      </c>
      <c r="Q6" s="39"/>
      <c r="R6" s="41" t="s">
        <v>168</v>
      </c>
      <c r="S6" s="98" t="s">
        <v>176</v>
      </c>
      <c r="T6" s="33"/>
      <c r="U6" s="40"/>
      <c r="V6" s="53">
        <v>0.0011296</v>
      </c>
      <c r="W6" s="39"/>
      <c r="X6" s="41" t="s">
        <v>168</v>
      </c>
      <c r="Y6" s="98" t="s">
        <v>176</v>
      </c>
      <c r="Z6" s="33"/>
      <c r="AA6" s="40"/>
      <c r="AB6" s="53">
        <v>0.0050994</v>
      </c>
      <c r="AC6" s="39"/>
      <c r="AD6" s="41" t="s">
        <v>168</v>
      </c>
      <c r="AE6" s="98" t="s">
        <v>176</v>
      </c>
      <c r="AF6" s="33"/>
      <c r="AG6" s="40"/>
      <c r="AH6" s="53">
        <v>0.0886797</v>
      </c>
      <c r="AI6" s="39"/>
      <c r="AJ6" s="41" t="s">
        <v>168</v>
      </c>
      <c r="AK6" s="98" t="s">
        <v>176</v>
      </c>
      <c r="AL6" s="33"/>
      <c r="AM6" s="40"/>
      <c r="AN6" s="53">
        <v>0.0010742</v>
      </c>
      <c r="AO6" s="39"/>
      <c r="AP6" s="41" t="s">
        <v>168</v>
      </c>
      <c r="AQ6" s="98" t="s">
        <v>176</v>
      </c>
      <c r="AR6" s="63"/>
      <c r="AS6" s="40"/>
      <c r="AT6" s="53">
        <v>0.0009059</v>
      </c>
      <c r="AU6" s="39"/>
      <c r="AV6" s="41" t="s">
        <v>168</v>
      </c>
      <c r="AW6" s="98" t="s">
        <v>176</v>
      </c>
      <c r="AX6" s="33"/>
      <c r="AY6" s="40"/>
      <c r="AZ6" s="53">
        <v>0.0371668</v>
      </c>
      <c r="BA6" s="39"/>
      <c r="BB6" s="41" t="s">
        <v>168</v>
      </c>
      <c r="BC6" s="98" t="s">
        <v>176</v>
      </c>
      <c r="BD6" s="33"/>
      <c r="BE6" s="40"/>
      <c r="BF6" s="53">
        <v>0.0762623</v>
      </c>
      <c r="BG6" s="39"/>
      <c r="BH6" s="41" t="s">
        <v>168</v>
      </c>
      <c r="BI6" s="98" t="s">
        <v>176</v>
      </c>
      <c r="BJ6" s="33"/>
      <c r="BK6" s="40"/>
      <c r="BL6" s="53">
        <v>0.0008804</v>
      </c>
      <c r="BM6" s="39"/>
      <c r="BN6" s="41" t="s">
        <v>168</v>
      </c>
      <c r="BO6" s="98" t="s">
        <v>176</v>
      </c>
      <c r="BP6" s="33"/>
      <c r="BQ6" s="40"/>
      <c r="BR6" s="53">
        <v>0.0005914</v>
      </c>
      <c r="BS6" s="39"/>
      <c r="BT6" s="41" t="s">
        <v>168</v>
      </c>
      <c r="BU6" s="98" t="s">
        <v>176</v>
      </c>
      <c r="BV6" s="33"/>
      <c r="BW6" s="40"/>
      <c r="BX6" s="53">
        <v>-8.81E-05</v>
      </c>
      <c r="BY6" s="39"/>
      <c r="BZ6" s="41" t="s">
        <v>168</v>
      </c>
      <c r="CA6" s="98" t="s">
        <v>176</v>
      </c>
      <c r="CB6" s="63"/>
      <c r="CC6" s="40"/>
      <c r="CD6" s="53">
        <v>-5.74E-05</v>
      </c>
      <c r="CE6" s="39"/>
      <c r="CF6" s="41" t="s">
        <v>168</v>
      </c>
      <c r="CG6" s="98" t="s">
        <v>176</v>
      </c>
      <c r="CH6" s="33"/>
      <c r="CI6" s="40"/>
      <c r="CJ6" s="53">
        <v>0.0021346</v>
      </c>
      <c r="CK6" s="39"/>
      <c r="CL6" s="41" t="s">
        <v>168</v>
      </c>
      <c r="CM6" s="98" t="s">
        <v>176</v>
      </c>
      <c r="CN6" s="33"/>
      <c r="CO6" s="40"/>
      <c r="CP6" s="53">
        <v>0.013127</v>
      </c>
      <c r="CQ6" s="39"/>
      <c r="CR6" s="41" t="s">
        <v>168</v>
      </c>
      <c r="CS6" s="98" t="s">
        <v>176</v>
      </c>
      <c r="CT6" s="33"/>
      <c r="CU6" s="40"/>
      <c r="CV6" s="53">
        <v>0.0881851</v>
      </c>
      <c r="CW6" s="39"/>
      <c r="CX6" s="41" t="s">
        <v>168</v>
      </c>
      <c r="CY6" s="98" t="s">
        <v>176</v>
      </c>
      <c r="CZ6" s="33"/>
      <c r="DA6" s="40"/>
      <c r="DB6" s="53">
        <v>0.0127232</v>
      </c>
      <c r="DC6" s="39"/>
      <c r="DD6" s="41" t="s">
        <v>168</v>
      </c>
      <c r="DE6" s="98" t="s">
        <v>176</v>
      </c>
      <c r="DF6" s="33"/>
      <c r="DG6" s="40"/>
      <c r="DH6" s="53">
        <v>0.0259972</v>
      </c>
      <c r="DI6" s="39"/>
      <c r="DJ6" s="41" t="s">
        <v>168</v>
      </c>
      <c r="DK6" s="98" t="s">
        <v>176</v>
      </c>
      <c r="DL6" s="33"/>
      <c r="DM6" s="40"/>
      <c r="DN6" s="53">
        <v>0.0042162</v>
      </c>
      <c r="DO6" s="39"/>
      <c r="DP6" s="41" t="s">
        <v>168</v>
      </c>
      <c r="DQ6" s="98" t="s">
        <v>176</v>
      </c>
      <c r="DR6" s="33"/>
      <c r="DS6" s="40"/>
      <c r="DT6" s="53">
        <v>0.0216282</v>
      </c>
      <c r="DU6" s="39"/>
      <c r="DV6" s="41" t="s">
        <v>168</v>
      </c>
      <c r="DW6" s="98" t="s">
        <v>176</v>
      </c>
      <c r="DX6" s="33"/>
      <c r="DY6" s="40"/>
      <c r="DZ6" s="53">
        <v>0.0001933</v>
      </c>
      <c r="EA6" s="39"/>
      <c r="EB6" s="41" t="s">
        <v>168</v>
      </c>
      <c r="EC6" s="98" t="s">
        <v>176</v>
      </c>
      <c r="ED6" s="33"/>
      <c r="EE6" s="40"/>
      <c r="EF6" s="53">
        <v>0.0002544</v>
      </c>
      <c r="EG6" s="39"/>
      <c r="EH6" s="41" t="s">
        <v>168</v>
      </c>
      <c r="EI6" s="98" t="s">
        <v>176</v>
      </c>
      <c r="EJ6" s="33"/>
      <c r="EK6" s="40"/>
      <c r="EL6" s="53">
        <v>0.0128187</v>
      </c>
      <c r="EM6" s="39"/>
      <c r="EN6" s="41" t="s">
        <v>168</v>
      </c>
      <c r="EO6" s="98" t="s">
        <v>176</v>
      </c>
      <c r="EP6" s="33"/>
      <c r="EQ6" s="40"/>
      <c r="ER6" s="53">
        <v>0.000244</v>
      </c>
      <c r="ES6" s="39"/>
      <c r="ET6" s="41" t="s">
        <v>168</v>
      </c>
      <c r="EU6" s="98" t="s">
        <v>176</v>
      </c>
      <c r="EV6" s="33"/>
      <c r="EW6" s="40"/>
      <c r="EX6" s="53">
        <v>0.0036459</v>
      </c>
      <c r="EY6" s="39"/>
      <c r="EZ6" s="41" t="s">
        <v>168</v>
      </c>
      <c r="FA6" s="98" t="s">
        <v>176</v>
      </c>
      <c r="FB6" s="33"/>
      <c r="FC6" s="40"/>
      <c r="FD6" s="53">
        <v>0.0025327</v>
      </c>
      <c r="FE6" s="39"/>
      <c r="FF6" s="41" t="s">
        <v>168</v>
      </c>
      <c r="FG6" s="98" t="s">
        <v>176</v>
      </c>
      <c r="FH6" s="33"/>
      <c r="FI6" s="40"/>
      <c r="FJ6" s="53">
        <v>0.0009887</v>
      </c>
      <c r="FK6" s="39"/>
      <c r="FL6" s="41" t="s">
        <v>168</v>
      </c>
      <c r="FM6" s="98" t="s">
        <v>176</v>
      </c>
      <c r="FN6" s="33"/>
      <c r="FO6" s="40"/>
      <c r="FP6" s="53">
        <v>0.0111111</v>
      </c>
      <c r="FQ6" s="39"/>
      <c r="FR6" s="41" t="s">
        <v>168</v>
      </c>
      <c r="FS6" s="98" t="s">
        <v>176</v>
      </c>
      <c r="FT6" s="33"/>
      <c r="FU6" s="40"/>
      <c r="FV6" s="53">
        <v>0.0250422</v>
      </c>
      <c r="FW6" s="39"/>
      <c r="FX6" s="41" t="s">
        <v>168</v>
      </c>
      <c r="FY6" s="98" t="s">
        <v>176</v>
      </c>
      <c r="FZ6" s="33"/>
      <c r="GA6" s="40"/>
      <c r="GB6" s="53">
        <v>0.0031957</v>
      </c>
      <c r="GC6" s="39"/>
      <c r="GD6" s="41" t="s">
        <v>168</v>
      </c>
      <c r="GE6" s="98" t="s">
        <v>176</v>
      </c>
      <c r="GF6" s="33"/>
      <c r="GG6" s="40"/>
      <c r="GH6" s="53">
        <v>0.0050748</v>
      </c>
      <c r="GI6" s="39"/>
      <c r="GJ6" s="41" t="s">
        <v>168</v>
      </c>
      <c r="GK6" s="98" t="s">
        <v>176</v>
      </c>
      <c r="GL6" s="33"/>
      <c r="GM6" s="40"/>
      <c r="GN6" s="53">
        <v>0.0235189</v>
      </c>
      <c r="GO6" s="39"/>
      <c r="GP6" s="41" t="s">
        <v>168</v>
      </c>
      <c r="GQ6" s="98" t="s">
        <v>176</v>
      </c>
      <c r="GR6" s="33"/>
      <c r="GS6" s="40"/>
      <c r="GT6" s="53">
        <v>0.0012482</v>
      </c>
      <c r="GU6" s="39"/>
      <c r="GV6" s="41" t="s">
        <v>168</v>
      </c>
      <c r="GW6" s="98" t="s">
        <v>176</v>
      </c>
      <c r="GX6" s="33"/>
      <c r="GY6" s="40"/>
      <c r="GZ6" s="53">
        <v>0.0071564</v>
      </c>
      <c r="HA6" s="39"/>
      <c r="HB6" s="41" t="s">
        <v>168</v>
      </c>
      <c r="HC6" s="98" t="s">
        <v>176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8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100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98" t="s">
        <v>184</v>
      </c>
      <c r="U7" s="41" t="s">
        <v>11</v>
      </c>
      <c r="V7" s="41" t="s">
        <v>12</v>
      </c>
      <c r="W7" s="41" t="s">
        <v>4</v>
      </c>
      <c r="X7" s="41" t="s">
        <v>169</v>
      </c>
      <c r="Y7" s="98" t="s">
        <v>184</v>
      </c>
      <c r="AA7" s="41" t="s">
        <v>11</v>
      </c>
      <c r="AB7" s="41" t="s">
        <v>12</v>
      </c>
      <c r="AC7" s="41" t="s">
        <v>4</v>
      </c>
      <c r="AD7" s="41" t="s">
        <v>169</v>
      </c>
      <c r="AE7" s="98" t="s">
        <v>184</v>
      </c>
      <c r="AG7" s="41" t="s">
        <v>11</v>
      </c>
      <c r="AH7" s="41" t="s">
        <v>12</v>
      </c>
      <c r="AI7" s="41" t="s">
        <v>4</v>
      </c>
      <c r="AJ7" s="41" t="s">
        <v>169</v>
      </c>
      <c r="AK7" s="98" t="s">
        <v>184</v>
      </c>
      <c r="AM7" s="41" t="s">
        <v>11</v>
      </c>
      <c r="AN7" s="41" t="s">
        <v>12</v>
      </c>
      <c r="AO7" s="41" t="s">
        <v>4</v>
      </c>
      <c r="AP7" s="41" t="s">
        <v>169</v>
      </c>
      <c r="AQ7" s="98" t="s">
        <v>184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8" t="s">
        <v>184</v>
      </c>
      <c r="AY7" s="41" t="s">
        <v>11</v>
      </c>
      <c r="AZ7" s="41" t="s">
        <v>12</v>
      </c>
      <c r="BA7" s="41" t="s">
        <v>4</v>
      </c>
      <c r="BB7" s="41" t="s">
        <v>169</v>
      </c>
      <c r="BC7" s="98" t="s">
        <v>184</v>
      </c>
      <c r="BE7" s="41" t="s">
        <v>11</v>
      </c>
      <c r="BF7" s="41" t="s">
        <v>12</v>
      </c>
      <c r="BG7" s="41" t="s">
        <v>4</v>
      </c>
      <c r="BH7" s="41" t="s">
        <v>169</v>
      </c>
      <c r="BI7" s="98" t="s">
        <v>184</v>
      </c>
      <c r="BK7" s="41" t="s">
        <v>11</v>
      </c>
      <c r="BL7" s="41" t="s">
        <v>12</v>
      </c>
      <c r="BM7" s="41" t="s">
        <v>4</v>
      </c>
      <c r="BN7" s="41" t="s">
        <v>169</v>
      </c>
      <c r="BO7" s="98" t="s">
        <v>184</v>
      </c>
      <c r="BQ7" s="41" t="s">
        <v>11</v>
      </c>
      <c r="BR7" s="41" t="s">
        <v>12</v>
      </c>
      <c r="BS7" s="41" t="s">
        <v>4</v>
      </c>
      <c r="BT7" s="41" t="s">
        <v>169</v>
      </c>
      <c r="BU7" s="98" t="s">
        <v>184</v>
      </c>
      <c r="BW7" s="41" t="s">
        <v>11</v>
      </c>
      <c r="BX7" s="41" t="s">
        <v>12</v>
      </c>
      <c r="BY7" s="41" t="s">
        <v>4</v>
      </c>
      <c r="BZ7" s="41" t="s">
        <v>169</v>
      </c>
      <c r="CA7" s="98" t="s">
        <v>184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8" t="s">
        <v>184</v>
      </c>
      <c r="CI7" s="41" t="s">
        <v>11</v>
      </c>
      <c r="CJ7" s="41" t="s">
        <v>12</v>
      </c>
      <c r="CK7" s="41" t="s">
        <v>4</v>
      </c>
      <c r="CL7" s="41" t="s">
        <v>169</v>
      </c>
      <c r="CM7" s="98" t="s">
        <v>184</v>
      </c>
      <c r="CO7" s="41" t="s">
        <v>11</v>
      </c>
      <c r="CP7" s="41" t="s">
        <v>12</v>
      </c>
      <c r="CQ7" s="41" t="s">
        <v>4</v>
      </c>
      <c r="CR7" s="41" t="s">
        <v>169</v>
      </c>
      <c r="CS7" s="98" t="s">
        <v>184</v>
      </c>
      <c r="CU7" s="41" t="s">
        <v>11</v>
      </c>
      <c r="CV7" s="41" t="s">
        <v>12</v>
      </c>
      <c r="CW7" s="41" t="s">
        <v>4</v>
      </c>
      <c r="CX7" s="41" t="s">
        <v>169</v>
      </c>
      <c r="CY7" s="98" t="s">
        <v>184</v>
      </c>
      <c r="DA7" s="41" t="s">
        <v>11</v>
      </c>
      <c r="DB7" s="41" t="s">
        <v>12</v>
      </c>
      <c r="DC7" s="41" t="s">
        <v>4</v>
      </c>
      <c r="DD7" s="41" t="s">
        <v>169</v>
      </c>
      <c r="DE7" s="98" t="s">
        <v>184</v>
      </c>
      <c r="DG7" s="41" t="s">
        <v>11</v>
      </c>
      <c r="DH7" s="41" t="s">
        <v>12</v>
      </c>
      <c r="DI7" s="41" t="s">
        <v>4</v>
      </c>
      <c r="DJ7" s="41" t="s">
        <v>169</v>
      </c>
      <c r="DK7" s="98" t="s">
        <v>184</v>
      </c>
      <c r="DM7" s="41" t="s">
        <v>11</v>
      </c>
      <c r="DN7" s="41" t="s">
        <v>12</v>
      </c>
      <c r="DO7" s="41" t="s">
        <v>4</v>
      </c>
      <c r="DP7" s="41" t="s">
        <v>169</v>
      </c>
      <c r="DQ7" s="98" t="s">
        <v>184</v>
      </c>
      <c r="DS7" s="41" t="s">
        <v>11</v>
      </c>
      <c r="DT7" s="41" t="s">
        <v>12</v>
      </c>
      <c r="DU7" s="41" t="s">
        <v>4</v>
      </c>
      <c r="DV7" s="41" t="s">
        <v>169</v>
      </c>
      <c r="DW7" s="98" t="s">
        <v>184</v>
      </c>
      <c r="DY7" s="41" t="s">
        <v>11</v>
      </c>
      <c r="DZ7" s="41" t="s">
        <v>12</v>
      </c>
      <c r="EA7" s="41" t="s">
        <v>4</v>
      </c>
      <c r="EB7" s="41" t="s">
        <v>169</v>
      </c>
      <c r="EC7" s="98" t="s">
        <v>184</v>
      </c>
      <c r="EE7" s="41" t="s">
        <v>11</v>
      </c>
      <c r="EF7" s="41" t="s">
        <v>12</v>
      </c>
      <c r="EG7" s="41" t="s">
        <v>4</v>
      </c>
      <c r="EH7" s="41" t="s">
        <v>169</v>
      </c>
      <c r="EI7" s="98" t="s">
        <v>184</v>
      </c>
      <c r="EK7" s="41" t="s">
        <v>11</v>
      </c>
      <c r="EL7" s="41" t="s">
        <v>12</v>
      </c>
      <c r="EM7" s="41" t="s">
        <v>4</v>
      </c>
      <c r="EN7" s="41" t="s">
        <v>169</v>
      </c>
      <c r="EO7" s="98" t="s">
        <v>184</v>
      </c>
      <c r="EQ7" s="41" t="s">
        <v>11</v>
      </c>
      <c r="ER7" s="41" t="s">
        <v>12</v>
      </c>
      <c r="ES7" s="41" t="s">
        <v>4</v>
      </c>
      <c r="ET7" s="41" t="s">
        <v>169</v>
      </c>
      <c r="EU7" s="98" t="s">
        <v>184</v>
      </c>
      <c r="EW7" s="41" t="s">
        <v>11</v>
      </c>
      <c r="EX7" s="41" t="s">
        <v>12</v>
      </c>
      <c r="EY7" s="41" t="s">
        <v>4</v>
      </c>
      <c r="EZ7" s="41" t="s">
        <v>169</v>
      </c>
      <c r="FA7" s="98" t="s">
        <v>184</v>
      </c>
      <c r="FC7" s="41" t="s">
        <v>11</v>
      </c>
      <c r="FD7" s="41" t="s">
        <v>12</v>
      </c>
      <c r="FE7" s="41" t="s">
        <v>4</v>
      </c>
      <c r="FF7" s="41" t="s">
        <v>169</v>
      </c>
      <c r="FG7" s="98" t="s">
        <v>184</v>
      </c>
      <c r="FI7" s="41" t="s">
        <v>11</v>
      </c>
      <c r="FJ7" s="41" t="s">
        <v>12</v>
      </c>
      <c r="FK7" s="41" t="s">
        <v>4</v>
      </c>
      <c r="FL7" s="41" t="s">
        <v>169</v>
      </c>
      <c r="FM7" s="98" t="s">
        <v>184</v>
      </c>
      <c r="FO7" s="41" t="s">
        <v>11</v>
      </c>
      <c r="FP7" s="41" t="s">
        <v>12</v>
      </c>
      <c r="FQ7" s="41" t="s">
        <v>4</v>
      </c>
      <c r="FR7" s="41" t="s">
        <v>169</v>
      </c>
      <c r="FS7" s="98" t="s">
        <v>184</v>
      </c>
      <c r="FU7" s="41" t="s">
        <v>11</v>
      </c>
      <c r="FV7" s="41" t="s">
        <v>12</v>
      </c>
      <c r="FW7" s="41" t="s">
        <v>4</v>
      </c>
      <c r="FX7" s="41" t="s">
        <v>169</v>
      </c>
      <c r="FY7" s="98" t="s">
        <v>184</v>
      </c>
      <c r="GA7" s="41" t="s">
        <v>11</v>
      </c>
      <c r="GB7" s="41" t="s">
        <v>12</v>
      </c>
      <c r="GC7" s="41" t="s">
        <v>4</v>
      </c>
      <c r="GD7" s="41" t="s">
        <v>169</v>
      </c>
      <c r="GE7" s="98" t="s">
        <v>184</v>
      </c>
      <c r="GG7" s="41" t="s">
        <v>11</v>
      </c>
      <c r="GH7" s="41" t="s">
        <v>12</v>
      </c>
      <c r="GI7" s="41" t="s">
        <v>4</v>
      </c>
      <c r="GJ7" s="41" t="s">
        <v>169</v>
      </c>
      <c r="GK7" s="98" t="s">
        <v>184</v>
      </c>
      <c r="GM7" s="41" t="s">
        <v>11</v>
      </c>
      <c r="GN7" s="41" t="s">
        <v>12</v>
      </c>
      <c r="GO7" s="41" t="s">
        <v>4</v>
      </c>
      <c r="GP7" s="41" t="s">
        <v>169</v>
      </c>
      <c r="GQ7" s="98" t="s">
        <v>184</v>
      </c>
      <c r="GS7" s="41" t="s">
        <v>11</v>
      </c>
      <c r="GT7" s="41" t="s">
        <v>12</v>
      </c>
      <c r="GU7" s="41" t="s">
        <v>4</v>
      </c>
      <c r="GV7" s="41" t="s">
        <v>169</v>
      </c>
      <c r="GW7" s="98" t="s">
        <v>184</v>
      </c>
      <c r="GY7" s="41" t="s">
        <v>11</v>
      </c>
      <c r="GZ7" s="41" t="s">
        <v>12</v>
      </c>
      <c r="HA7" s="41" t="s">
        <v>4</v>
      </c>
      <c r="HB7" s="41" t="s">
        <v>169</v>
      </c>
      <c r="HC7" s="98" t="s">
        <v>184</v>
      </c>
    </row>
    <row r="8" spans="1:217" ht="12.75">
      <c r="A8" s="19">
        <v>43009</v>
      </c>
      <c r="C8" s="36"/>
      <c r="D8" s="36">
        <v>439488</v>
      </c>
      <c r="E8" s="77">
        <f aca="true" t="shared" si="0" ref="E8:E21">C8+D8</f>
        <v>439488</v>
      </c>
      <c r="F8" s="77">
        <v>91653</v>
      </c>
      <c r="G8" s="77">
        <v>4485</v>
      </c>
      <c r="H8" s="78"/>
      <c r="I8" s="79"/>
      <c r="J8" s="79">
        <f aca="true" t="shared" si="1" ref="J8:J21">P8+V8+AB8+AH8+AN8+AT8+AZ8+BF8+BL8+BR8+BX8+CD8+CJ8+CP8+CV8+DB8+DH8+DN8+DT8+DZ8+EF8+EL8+ER8+EX8+FD8+FJ8+FP8+FV8+GB8+GH8+GN8+GT8+GZ8</f>
        <v>238565.46913920002</v>
      </c>
      <c r="K8" s="79">
        <f aca="true" t="shared" si="2" ref="K8:K21">I8+J8</f>
        <v>238565.46913920002</v>
      </c>
      <c r="L8" s="79">
        <f aca="true" t="shared" si="3" ref="L8:M21">R8+X8+AD8+AJ8+AP8+AV8+BB8+BH8+BN8+BT8+BZ8+CF8+CL8+CR8+CX8+DD8+DJ8+DP8+DV8+EB8+EH8+EN8+ET8+EZ8+FF8+FL8+FR8+FX8+GD8+GJ8+GP8+GV8+HB8</f>
        <v>49751.6222127</v>
      </c>
      <c r="M8" s="79">
        <f t="shared" si="3"/>
        <v>2434.5741615</v>
      </c>
      <c r="N8" s="78"/>
      <c r="O8" s="78"/>
      <c r="P8" s="78">
        <f aca="true" t="shared" si="4" ref="P8:P21">D8*6.61452/100</f>
        <v>29070.0216576</v>
      </c>
      <c r="Q8" s="79">
        <f aca="true" t="shared" si="5" ref="Q8:Q20">O8+P8</f>
        <v>29070.0216576</v>
      </c>
      <c r="R8" s="79">
        <f aca="true" t="shared" si="6" ref="R8:R21">P$6*$F8</f>
        <v>6062.4060156000005</v>
      </c>
      <c r="S8" s="77">
        <f aca="true" t="shared" si="7" ref="S8:S21">P$6*$G8</f>
        <v>296.661222</v>
      </c>
      <c r="T8" s="78"/>
      <c r="U8" s="78"/>
      <c r="V8" s="78">
        <f aca="true" t="shared" si="8" ref="V8:V21">D8*0.11296/100</f>
        <v>496.4456448</v>
      </c>
      <c r="W8" s="78">
        <f aca="true" t="shared" si="9" ref="W8:W21">U8+V8</f>
        <v>496.4456448</v>
      </c>
      <c r="X8" s="79">
        <f aca="true" t="shared" si="10" ref="X8:X21">V$6*$F8</f>
        <v>103.5312288</v>
      </c>
      <c r="Y8" s="77">
        <f aca="true" t="shared" si="11" ref="Y8:Y21">V$6*$G8</f>
        <v>5.066255999999999</v>
      </c>
      <c r="Z8" s="78"/>
      <c r="AA8" s="79"/>
      <c r="AB8" s="78">
        <f aca="true" t="shared" si="12" ref="AB8:AB21">D8*0.50994/100</f>
        <v>2241.1251072</v>
      </c>
      <c r="AC8" s="78">
        <f aca="true" t="shared" si="13" ref="AC8:AC21">AA8+AB8</f>
        <v>2241.1251072</v>
      </c>
      <c r="AD8" s="79">
        <f aca="true" t="shared" si="14" ref="AD8:AD21">AB$6*$F8</f>
        <v>467.37530819999995</v>
      </c>
      <c r="AE8" s="77">
        <f aca="true" t="shared" si="15" ref="AE8:AE21">AB$6*$G8</f>
        <v>22.870808999999998</v>
      </c>
      <c r="AF8" s="78"/>
      <c r="AG8" s="78"/>
      <c r="AH8" s="78">
        <f aca="true" t="shared" si="16" ref="AH8:AH21">D8*8.86797/100</f>
        <v>38973.6639936</v>
      </c>
      <c r="AI8" s="78">
        <f aca="true" t="shared" si="17" ref="AI8:AI21">AG8+AH8</f>
        <v>38973.6639936</v>
      </c>
      <c r="AJ8" s="79">
        <f aca="true" t="shared" si="18" ref="AJ8:AJ21">AH$6*$F8</f>
        <v>8127.7605441</v>
      </c>
      <c r="AK8" s="77">
        <f aca="true" t="shared" si="19" ref="AK8:AK21">AH$6*$G8</f>
        <v>397.7284545</v>
      </c>
      <c r="AL8" s="78"/>
      <c r="AM8" s="78"/>
      <c r="AN8" s="78">
        <f aca="true" t="shared" si="20" ref="AN8:AN21">D8*0.10742/100</f>
        <v>472.0980096</v>
      </c>
      <c r="AO8" s="78">
        <f aca="true" t="shared" si="21" ref="AO8:AO21">AM8+AN8</f>
        <v>472.0980096</v>
      </c>
      <c r="AP8" s="79">
        <f aca="true" t="shared" si="22" ref="AP8:AP21">AN$6*$F8</f>
        <v>98.4536526</v>
      </c>
      <c r="AQ8" s="77">
        <f aca="true" t="shared" si="23" ref="AQ8:AQ21">AN$6*$G8</f>
        <v>4.817787</v>
      </c>
      <c r="AR8" s="78"/>
      <c r="AS8" s="78"/>
      <c r="AT8" s="78">
        <f aca="true" t="shared" si="24" ref="AT8:AT21">D8*0.09059/100</f>
        <v>398.13217920000005</v>
      </c>
      <c r="AU8" s="78">
        <f aca="true" t="shared" si="25" ref="AU8:AU21">AS8+AT8</f>
        <v>398.13217920000005</v>
      </c>
      <c r="AV8" s="79">
        <f aca="true" t="shared" si="26" ref="AV8:AV21">AT$6*$F8</f>
        <v>83.0284527</v>
      </c>
      <c r="AW8" s="77">
        <f aca="true" t="shared" si="27" ref="AW8:AW21">AT$6*$G8</f>
        <v>4.0629615</v>
      </c>
      <c r="AX8" s="78"/>
      <c r="AY8" s="78"/>
      <c r="AZ8" s="78">
        <f aca="true" t="shared" si="28" ref="AZ8:AZ21">D8*3.71668/100</f>
        <v>16334.362598400003</v>
      </c>
      <c r="BA8" s="78">
        <f aca="true" t="shared" si="29" ref="BA8:BA21">AY8+AZ8</f>
        <v>16334.362598400003</v>
      </c>
      <c r="BB8" s="79">
        <f aca="true" t="shared" si="30" ref="BB8:BB21">AZ$6*$F8</f>
        <v>3406.4487204</v>
      </c>
      <c r="BC8" s="77">
        <f aca="true" t="shared" si="31" ref="BC8:BC21">AZ$6*$G8</f>
        <v>166.693098</v>
      </c>
      <c r="BD8" s="78"/>
      <c r="BE8" s="78"/>
      <c r="BF8" s="78">
        <f aca="true" t="shared" si="32" ref="BF8:BF21">D8*7.62623/100</f>
        <v>33516.3657024</v>
      </c>
      <c r="BG8" s="78">
        <f aca="true" t="shared" si="33" ref="BG8:BG21">BE8+BF8</f>
        <v>33516.3657024</v>
      </c>
      <c r="BH8" s="79">
        <f aca="true" t="shared" si="34" ref="BH8:BH21">BF$6*$F8</f>
        <v>6989.6685819</v>
      </c>
      <c r="BI8" s="77">
        <f aca="true" t="shared" si="35" ref="BI8:BI21">BF$6*$G8</f>
        <v>342.03641550000003</v>
      </c>
      <c r="BJ8" s="78"/>
      <c r="BK8" s="78"/>
      <c r="BL8" s="78">
        <f aca="true" t="shared" si="36" ref="BL8:BL21">D8*0.08804/100</f>
        <v>386.9252352</v>
      </c>
      <c r="BM8" s="78">
        <f aca="true" t="shared" si="37" ref="BM8:BM21">BK8+BL8</f>
        <v>386.9252352</v>
      </c>
      <c r="BN8" s="79">
        <f aca="true" t="shared" si="38" ref="BN8:BN21">BL$6*$F8</f>
        <v>80.6913012</v>
      </c>
      <c r="BO8" s="77">
        <f aca="true" t="shared" si="39" ref="BO8:BO21">BL$6*$G8</f>
        <v>3.9485940000000004</v>
      </c>
      <c r="BP8" s="78"/>
      <c r="BQ8" s="78"/>
      <c r="BR8" s="78">
        <f aca="true" t="shared" si="40" ref="BR8:BR21">D8*0.05914/100</f>
        <v>259.9132032</v>
      </c>
      <c r="BS8" s="78">
        <f aca="true" t="shared" si="41" ref="BS8:BS21">BQ8+BR8</f>
        <v>259.9132032</v>
      </c>
      <c r="BT8" s="79">
        <f aca="true" t="shared" si="42" ref="BT8:BT21">BR$6*$F8</f>
        <v>54.203584199999995</v>
      </c>
      <c r="BU8" s="77">
        <f aca="true" t="shared" si="43" ref="BU8:BU21">BR$6*$G8</f>
        <v>2.6524289999999997</v>
      </c>
      <c r="BV8" s="78"/>
      <c r="BW8" s="78"/>
      <c r="BX8" s="78">
        <f aca="true" t="shared" si="44" ref="BX8:BX21">D8*-0.00881/100</f>
        <v>-38.7188928</v>
      </c>
      <c r="BY8" s="78">
        <f aca="true" t="shared" si="45" ref="BY8:BY21">BW8+BX8</f>
        <v>-38.7188928</v>
      </c>
      <c r="BZ8" s="79">
        <f aca="true" t="shared" si="46" ref="BZ8:BZ21">BX$6*$F8</f>
        <v>-8.0746293</v>
      </c>
      <c r="CA8" s="77">
        <f aca="true" t="shared" si="47" ref="CA8:CA21">BX$6*$G8</f>
        <v>-0.3951285</v>
      </c>
      <c r="CB8" s="78"/>
      <c r="CC8" s="78"/>
      <c r="CD8" s="78">
        <f aca="true" t="shared" si="48" ref="CD8:CD21">D8*-0.00574/100</f>
        <v>-25.2266112</v>
      </c>
      <c r="CE8" s="78">
        <f aca="true" t="shared" si="49" ref="CE8:CE21">CC8+CD8</f>
        <v>-25.2266112</v>
      </c>
      <c r="CF8" s="79">
        <f aca="true" t="shared" si="50" ref="CF8:CF21">CD$6*$F8</f>
        <v>-5.2608822</v>
      </c>
      <c r="CG8" s="77">
        <f aca="true" t="shared" si="51" ref="CG8:CG21">CD$6*$G8</f>
        <v>-0.257439</v>
      </c>
      <c r="CH8" s="78"/>
      <c r="CI8" s="78"/>
      <c r="CJ8" s="78">
        <f aca="true" t="shared" si="52" ref="CJ8:CJ21">D8*0.21346/100</f>
        <v>938.1310848</v>
      </c>
      <c r="CK8" s="78">
        <f aca="true" t="shared" si="53" ref="CK8:CK21">CI8+CJ8</f>
        <v>938.1310848</v>
      </c>
      <c r="CL8" s="79">
        <f aca="true" t="shared" si="54" ref="CL8:CL21">CJ$6*$F8</f>
        <v>195.64249379999998</v>
      </c>
      <c r="CM8" s="77">
        <f aca="true" t="shared" si="55" ref="CM8:CM21">CJ$6*$G8</f>
        <v>9.573681</v>
      </c>
      <c r="CN8" s="78"/>
      <c r="CO8" s="78"/>
      <c r="CP8" s="78">
        <f aca="true" t="shared" si="56" ref="CP8:CP21">D8*1.3127/100</f>
        <v>5769.158976000001</v>
      </c>
      <c r="CQ8" s="78">
        <f aca="true" t="shared" si="57" ref="CQ8:CQ21">CO8+CP8</f>
        <v>5769.158976000001</v>
      </c>
      <c r="CR8" s="79">
        <f aca="true" t="shared" si="58" ref="CR8:CR21">CP$6*$F8</f>
        <v>1203.128931</v>
      </c>
      <c r="CS8" s="77">
        <f aca="true" t="shared" si="59" ref="CS8:CS21">CP$6*$G8</f>
        <v>58.874595</v>
      </c>
      <c r="CT8" s="78"/>
      <c r="CU8" s="78"/>
      <c r="CV8" s="78">
        <f aca="true" t="shared" si="60" ref="CV8:CV21">D8*8.81851/100</f>
        <v>38756.2932288</v>
      </c>
      <c r="CW8" s="78">
        <f aca="true" t="shared" si="61" ref="CW8:CW21">CU8+CV8</f>
        <v>38756.2932288</v>
      </c>
      <c r="CX8" s="79">
        <f aca="true" t="shared" si="62" ref="CX8:CX21">CV$6*$F8</f>
        <v>8082.4289703</v>
      </c>
      <c r="CY8" s="77">
        <f aca="true" t="shared" si="63" ref="CY8:CY21">CV$6*$G8</f>
        <v>395.5101735</v>
      </c>
      <c r="CZ8" s="78"/>
      <c r="DA8" s="78"/>
      <c r="DB8" s="78">
        <f aca="true" t="shared" si="64" ref="DB8:DB21">D8*1.27232/100</f>
        <v>5591.693721599999</v>
      </c>
      <c r="DC8" s="78">
        <f aca="true" t="shared" si="65" ref="DC8:DC21">DA8+DB8</f>
        <v>5591.693721599999</v>
      </c>
      <c r="DD8" s="79">
        <f aca="true" t="shared" si="66" ref="DD8:DD21">DB$6*$F8</f>
        <v>1166.1194496</v>
      </c>
      <c r="DE8" s="77">
        <f aca="true" t="shared" si="67" ref="DE8:DE21">DB$6*$G8</f>
        <v>57.063552</v>
      </c>
      <c r="DF8" s="78"/>
      <c r="DG8" s="78"/>
      <c r="DH8" s="78">
        <f aca="true" t="shared" si="68" ref="DH8:DH21">D8*2.59972/100</f>
        <v>11425.4574336</v>
      </c>
      <c r="DI8" s="78">
        <f aca="true" t="shared" si="69" ref="DI8:DI21">DG8+DH8</f>
        <v>11425.4574336</v>
      </c>
      <c r="DJ8" s="79">
        <f aca="true" t="shared" si="70" ref="DJ8:DJ21">DH$6*$F8</f>
        <v>2382.7213716</v>
      </c>
      <c r="DK8" s="77">
        <f aca="true" t="shared" si="71" ref="DK8:DK21">DH$6*$G8</f>
        <v>116.597442</v>
      </c>
      <c r="DL8" s="78"/>
      <c r="DM8" s="78"/>
      <c r="DN8" s="78">
        <f aca="true" t="shared" si="72" ref="DN8:DN21">D8*0.42162/100</f>
        <v>1852.9693056</v>
      </c>
      <c r="DO8" s="78">
        <f aca="true" t="shared" si="73" ref="DO8:DO21">DM8+DN8</f>
        <v>1852.9693056</v>
      </c>
      <c r="DP8" s="79">
        <f aca="true" t="shared" si="74" ref="DP8:DP21">DN$6*$F8</f>
        <v>386.4273786</v>
      </c>
      <c r="DQ8" s="77">
        <f aca="true" t="shared" si="75" ref="DQ8:DQ21">DN$6*$G8</f>
        <v>18.909657</v>
      </c>
      <c r="DR8" s="78"/>
      <c r="DS8" s="78"/>
      <c r="DT8" s="78">
        <f aca="true" t="shared" si="76" ref="DT8:DT21">D8*2.16282/100</f>
        <v>9505.3343616</v>
      </c>
      <c r="DU8" s="78">
        <f aca="true" t="shared" si="77" ref="DU8:DU21">DS8+DT8</f>
        <v>9505.3343616</v>
      </c>
      <c r="DV8" s="79">
        <f aca="true" t="shared" si="78" ref="DV8:DV21">DT$6*$F8</f>
        <v>1982.2894146</v>
      </c>
      <c r="DW8" s="77">
        <f aca="true" t="shared" si="79" ref="DW8:DW21">DT$6*$G8</f>
        <v>97.002477</v>
      </c>
      <c r="DX8" s="78"/>
      <c r="DY8" s="78"/>
      <c r="DZ8" s="78">
        <f aca="true" t="shared" si="80" ref="DZ8:DZ21">D8*0.01933/100</f>
        <v>84.9530304</v>
      </c>
      <c r="EA8" s="78">
        <f aca="true" t="shared" si="81" ref="EA8:EA21">DY8+DZ8</f>
        <v>84.9530304</v>
      </c>
      <c r="EB8" s="79">
        <f aca="true" t="shared" si="82" ref="EB8:EB21">DZ$6*$F8</f>
        <v>17.7165249</v>
      </c>
      <c r="EC8" s="77">
        <f aca="true" t="shared" si="83" ref="EC8:EC21">DZ$6*$G8</f>
        <v>0.8669505000000001</v>
      </c>
      <c r="ED8" s="78"/>
      <c r="EE8" s="78"/>
      <c r="EF8" s="78">
        <f aca="true" t="shared" si="84" ref="EF8:EF21">D8*0.02544/100</f>
        <v>111.8057472</v>
      </c>
      <c r="EG8" s="78">
        <f aca="true" t="shared" si="85" ref="EG8:EG21">EE8+EF8</f>
        <v>111.8057472</v>
      </c>
      <c r="EH8" s="79">
        <f aca="true" t="shared" si="86" ref="EH8:EH21">EF$6*$F8</f>
        <v>23.3165232</v>
      </c>
      <c r="EI8" s="77">
        <f aca="true" t="shared" si="87" ref="EI8:EI21">EF$6*$G8</f>
        <v>1.140984</v>
      </c>
      <c r="EJ8" s="78"/>
      <c r="EK8" s="78"/>
      <c r="EL8" s="78">
        <f aca="true" t="shared" si="88" ref="EL8:EL21">D8*1.28187/100</f>
        <v>5633.664825600001</v>
      </c>
      <c r="EM8" s="78">
        <f aca="true" t="shared" si="89" ref="EM8:EM21">EK8+EL8</f>
        <v>5633.664825600001</v>
      </c>
      <c r="EN8" s="79">
        <f aca="true" t="shared" si="90" ref="EN8:EN21">EL$6*$F8</f>
        <v>1174.8723111000002</v>
      </c>
      <c r="EO8" s="77">
        <f aca="true" t="shared" si="91" ref="EO8:EO21">EL$6*$G8</f>
        <v>57.4918695</v>
      </c>
      <c r="EP8" s="78"/>
      <c r="EQ8" s="78"/>
      <c r="ER8" s="78">
        <f aca="true" t="shared" si="92" ref="ER8:ER21">D8*0.0244/100</f>
        <v>107.235072</v>
      </c>
      <c r="ES8" s="78">
        <f aca="true" t="shared" si="93" ref="ES8:ES21">EQ8+ER8</f>
        <v>107.235072</v>
      </c>
      <c r="ET8" s="79">
        <f aca="true" t="shared" si="94" ref="ET8:ET21">ER$6*$F8</f>
        <v>22.363332</v>
      </c>
      <c r="EU8" s="77">
        <f aca="true" t="shared" si="95" ref="EU8:EU21">ER$6*$G8</f>
        <v>1.0943399999999999</v>
      </c>
      <c r="EV8" s="78"/>
      <c r="EW8" s="78"/>
      <c r="EX8" s="78">
        <f aca="true" t="shared" si="96" ref="EX8:EX21">D8*0.36459/100</f>
        <v>1602.3292992000002</v>
      </c>
      <c r="EY8" s="78">
        <f aca="true" t="shared" si="97" ref="EY8:EY21">EW8+EX8</f>
        <v>1602.3292992000002</v>
      </c>
      <c r="EZ8" s="79">
        <f aca="true" t="shared" si="98" ref="EZ8:EZ21">EX$6*$F8</f>
        <v>334.15767270000003</v>
      </c>
      <c r="FA8" s="77">
        <f aca="true" t="shared" si="99" ref="FA8:FA21">EX$6*$G8</f>
        <v>16.351861500000002</v>
      </c>
      <c r="FB8" s="78"/>
      <c r="FC8" s="78"/>
      <c r="FD8" s="78">
        <f aca="true" t="shared" si="100" ref="FD8:FD21">D8*0.25327/100</f>
        <v>1113.0912576</v>
      </c>
      <c r="FE8" s="78">
        <f aca="true" t="shared" si="101" ref="FE8:FE21">FC8+FD8</f>
        <v>1113.0912576</v>
      </c>
      <c r="FF8" s="79">
        <f aca="true" t="shared" si="102" ref="FF8:FF21">FD$6*$F8</f>
        <v>232.1295531</v>
      </c>
      <c r="FG8" s="77">
        <f aca="true" t="shared" si="103" ref="FG8:FG21">FD$6*$G8</f>
        <v>11.3591595</v>
      </c>
      <c r="FH8" s="78"/>
      <c r="FI8" s="78"/>
      <c r="FJ8" s="78">
        <f aca="true" t="shared" si="104" ref="FJ8:FJ21">D8*0.09887/100</f>
        <v>434.5217856</v>
      </c>
      <c r="FK8" s="78">
        <f aca="true" t="shared" si="105" ref="FK8:FK21">FI8+FJ8</f>
        <v>434.5217856</v>
      </c>
      <c r="FL8" s="79">
        <f aca="true" t="shared" si="106" ref="FL8:FL21">FJ$6*$F8</f>
        <v>90.6173211</v>
      </c>
      <c r="FM8" s="77">
        <f aca="true" t="shared" si="107" ref="FM8:FM21">FJ$6*$G8</f>
        <v>4.4343195</v>
      </c>
      <c r="FN8" s="78"/>
      <c r="FO8" s="78"/>
      <c r="FP8" s="78">
        <f aca="true" t="shared" si="108" ref="FP8:FP21">D8*1.11111/100</f>
        <v>4883.1951168</v>
      </c>
      <c r="FQ8" s="78">
        <f aca="true" t="shared" si="109" ref="FQ8:FQ21">FO8+FP8</f>
        <v>4883.1951168</v>
      </c>
      <c r="FR8" s="79">
        <f aca="true" t="shared" si="110" ref="FR8:FR21">FP$6*$F8</f>
        <v>1018.3656483000001</v>
      </c>
      <c r="FS8" s="77">
        <f aca="true" t="shared" si="111" ref="FS8:FS21">FP$6*$G8</f>
        <v>49.8332835</v>
      </c>
      <c r="FT8" s="78"/>
      <c r="FU8" s="78"/>
      <c r="FV8" s="78">
        <f aca="true" t="shared" si="112" ref="FV8:FV21">D8*2.50422/100</f>
        <v>11005.746393600002</v>
      </c>
      <c r="FW8" s="78">
        <f aca="true" t="shared" si="113" ref="FW8:FW21">FU8+FV8</f>
        <v>11005.746393600002</v>
      </c>
      <c r="FX8" s="79">
        <f aca="true" t="shared" si="114" ref="FX8:FX21">FV$6*$F8</f>
        <v>2295.1927566</v>
      </c>
      <c r="FY8" s="77">
        <f aca="true" t="shared" si="115" ref="FY8:FY21">FV$6*$G8</f>
        <v>112.314267</v>
      </c>
      <c r="FZ8" s="78"/>
      <c r="GA8" s="78"/>
      <c r="GB8" s="78">
        <f aca="true" t="shared" si="116" ref="GB8:GB21">D8*0.31957/100</f>
        <v>1404.4718016000002</v>
      </c>
      <c r="GC8" s="78">
        <f aca="true" t="shared" si="117" ref="GC8:GC21">GA8+GB8</f>
        <v>1404.4718016000002</v>
      </c>
      <c r="GD8" s="79">
        <f aca="true" t="shared" si="118" ref="GD8:GD21">GB$6*$F8</f>
        <v>292.8954921</v>
      </c>
      <c r="GE8" s="77">
        <f aca="true" t="shared" si="119" ref="GE8:GE21">GB$6*$G8</f>
        <v>14.3327145</v>
      </c>
      <c r="GF8" s="78"/>
      <c r="GG8" s="78"/>
      <c r="GH8" s="78">
        <f aca="true" t="shared" si="120" ref="GH8:GH21">D8*0.50748/100</f>
        <v>2230.3137024000002</v>
      </c>
      <c r="GI8" s="78">
        <f aca="true" t="shared" si="121" ref="GI8:GI21">GG8+GH8</f>
        <v>2230.3137024000002</v>
      </c>
      <c r="GJ8" s="79">
        <f aca="true" t="shared" si="122" ref="GJ8:GJ21">GH$6*$F8</f>
        <v>465.1206444</v>
      </c>
      <c r="GK8" s="77">
        <f aca="true" t="shared" si="123" ref="GK8:GK21">GH$6*$G8</f>
        <v>22.760478</v>
      </c>
      <c r="GL8" s="78"/>
      <c r="GM8" s="78"/>
      <c r="GN8" s="78">
        <f aca="true" t="shared" si="124" ref="GN8:GN21">D8*2.35189/100</f>
        <v>10336.2743232</v>
      </c>
      <c r="GO8" s="78">
        <f aca="true" t="shared" si="125" ref="GO8:GO21">GM8+GN8</f>
        <v>10336.2743232</v>
      </c>
      <c r="GP8" s="79">
        <f aca="true" t="shared" si="126" ref="GP8:GP21">GN$6*$F8</f>
        <v>2155.5777417</v>
      </c>
      <c r="GQ8" s="77">
        <f aca="true" t="shared" si="127" ref="GQ8:GQ21">GN$6*$G8</f>
        <v>105.4822665</v>
      </c>
      <c r="GR8" s="78"/>
      <c r="GS8" s="78"/>
      <c r="GT8" s="78">
        <f aca="true" t="shared" si="128" ref="GT8:GT21">D8*0.12482/100</f>
        <v>548.5689216000001</v>
      </c>
      <c r="GU8" s="78">
        <f aca="true" t="shared" si="129" ref="GU8:GU21">GS8+GT8</f>
        <v>548.5689216000001</v>
      </c>
      <c r="GV8" s="79">
        <f aca="true" t="shared" si="130" ref="GV8:GV21">GT$6*$F8</f>
        <v>114.40127460000001</v>
      </c>
      <c r="GW8" s="77">
        <f aca="true" t="shared" si="131" ref="GW8:GW21">GT$6*$G8</f>
        <v>5.598177000000001</v>
      </c>
      <c r="GX8" s="78"/>
      <c r="GY8" s="78"/>
      <c r="GZ8" s="78">
        <f aca="true" t="shared" si="132" ref="GZ8:GZ21">D8*0.71564/100</f>
        <v>3145.1519232000005</v>
      </c>
      <c r="HA8" s="78">
        <f aca="true" t="shared" si="133" ref="HA8:HA21">GY8+GZ8</f>
        <v>3145.1519232000005</v>
      </c>
      <c r="HB8" s="79">
        <f aca="true" t="shared" si="134" ref="HB8:HB21">GZ$6*$F8</f>
        <v>655.9055292</v>
      </c>
      <c r="HC8" s="77">
        <f aca="true" t="shared" si="135" ref="HC8:HC21">GZ$6*$G8</f>
        <v>32.096454</v>
      </c>
      <c r="HD8" s="78"/>
      <c r="HE8" s="78"/>
      <c r="HF8" s="78"/>
      <c r="HG8" s="78"/>
      <c r="HH8" s="78"/>
      <c r="HI8" s="78"/>
    </row>
    <row r="9" spans="1:217" s="52" customFormat="1" ht="12.75">
      <c r="A9" s="51">
        <v>43191</v>
      </c>
      <c r="C9" s="42"/>
      <c r="D9" s="42">
        <v>439488</v>
      </c>
      <c r="E9" s="77">
        <f t="shared" si="0"/>
        <v>439488</v>
      </c>
      <c r="F9" s="77">
        <v>91653</v>
      </c>
      <c r="G9" s="77">
        <v>4485</v>
      </c>
      <c r="H9" s="79"/>
      <c r="I9" s="79">
        <f>O9+U9+AA9+AG9+AM9+AS9+AY9+BE9+BK9+BQ9+BW9+CC9+CI9+CO9+CU9+DA9+DG9+DM9+DS9+DY9+EE9+EK9+EQ9+EW9+FC9+FI9+FO9+FU9+GA9+GG9+GM9+GS9+GY9</f>
        <v>0</v>
      </c>
      <c r="J9" s="79">
        <f t="shared" si="1"/>
        <v>238565.46913920002</v>
      </c>
      <c r="K9" s="79">
        <f t="shared" si="2"/>
        <v>238565.46913920002</v>
      </c>
      <c r="L9" s="79">
        <f t="shared" si="3"/>
        <v>49751.6222127</v>
      </c>
      <c r="M9" s="79">
        <f t="shared" si="3"/>
        <v>2434.5741615</v>
      </c>
      <c r="N9" s="79"/>
      <c r="O9" s="78">
        <f aca="true" t="shared" si="136" ref="O9:O21">C9*6.61452/100</f>
        <v>0</v>
      </c>
      <c r="P9" s="78">
        <f t="shared" si="4"/>
        <v>29070.0216576</v>
      </c>
      <c r="Q9" s="79">
        <f t="shared" si="5"/>
        <v>29070.0216576</v>
      </c>
      <c r="R9" s="79">
        <f t="shared" si="6"/>
        <v>6062.4060156000005</v>
      </c>
      <c r="S9" s="77">
        <f t="shared" si="7"/>
        <v>296.661222</v>
      </c>
      <c r="T9" s="79"/>
      <c r="U9" s="78">
        <f aca="true" t="shared" si="137" ref="U9:U21">C9*0.11296/100</f>
        <v>0</v>
      </c>
      <c r="V9" s="78">
        <f t="shared" si="8"/>
        <v>496.4456448</v>
      </c>
      <c r="W9" s="78">
        <f t="shared" si="9"/>
        <v>496.4456448</v>
      </c>
      <c r="X9" s="79">
        <f t="shared" si="10"/>
        <v>103.5312288</v>
      </c>
      <c r="Y9" s="77">
        <f t="shared" si="11"/>
        <v>5.066255999999999</v>
      </c>
      <c r="Z9" s="79"/>
      <c r="AA9" s="79">
        <f aca="true" t="shared" si="138" ref="AA9:AA21">C9*0.50994/100</f>
        <v>0</v>
      </c>
      <c r="AB9" s="78">
        <f t="shared" si="12"/>
        <v>2241.1251072</v>
      </c>
      <c r="AC9" s="78">
        <f t="shared" si="13"/>
        <v>2241.1251072</v>
      </c>
      <c r="AD9" s="79">
        <f t="shared" si="14"/>
        <v>467.37530819999995</v>
      </c>
      <c r="AE9" s="77">
        <f t="shared" si="15"/>
        <v>22.870808999999998</v>
      </c>
      <c r="AF9" s="79"/>
      <c r="AG9" s="78">
        <f aca="true" t="shared" si="139" ref="AG9:AG21">C9*8.86797/100</f>
        <v>0</v>
      </c>
      <c r="AH9" s="78">
        <f t="shared" si="16"/>
        <v>38973.6639936</v>
      </c>
      <c r="AI9" s="78">
        <f t="shared" si="17"/>
        <v>38973.6639936</v>
      </c>
      <c r="AJ9" s="79">
        <f t="shared" si="18"/>
        <v>8127.7605441</v>
      </c>
      <c r="AK9" s="77">
        <f t="shared" si="19"/>
        <v>397.7284545</v>
      </c>
      <c r="AL9" s="79"/>
      <c r="AM9" s="78">
        <f aca="true" t="shared" si="140" ref="AM9:AM21">C9*0.10742/100</f>
        <v>0</v>
      </c>
      <c r="AN9" s="78">
        <f t="shared" si="20"/>
        <v>472.0980096</v>
      </c>
      <c r="AO9" s="78">
        <f t="shared" si="21"/>
        <v>472.0980096</v>
      </c>
      <c r="AP9" s="79">
        <f t="shared" si="22"/>
        <v>98.4536526</v>
      </c>
      <c r="AQ9" s="77">
        <f t="shared" si="23"/>
        <v>4.817787</v>
      </c>
      <c r="AR9" s="78"/>
      <c r="AS9" s="78">
        <f aca="true" t="shared" si="141" ref="AS9:AS21">C9*0.09059/100</f>
        <v>0</v>
      </c>
      <c r="AT9" s="78">
        <f t="shared" si="24"/>
        <v>398.13217920000005</v>
      </c>
      <c r="AU9" s="78">
        <f t="shared" si="25"/>
        <v>398.13217920000005</v>
      </c>
      <c r="AV9" s="79">
        <f t="shared" si="26"/>
        <v>83.0284527</v>
      </c>
      <c r="AW9" s="77">
        <f t="shared" si="27"/>
        <v>4.0629615</v>
      </c>
      <c r="AX9" s="79"/>
      <c r="AY9" s="78">
        <f aca="true" t="shared" si="142" ref="AY9:AY21">C9*3.71668/100</f>
        <v>0</v>
      </c>
      <c r="AZ9" s="78">
        <f t="shared" si="28"/>
        <v>16334.362598400003</v>
      </c>
      <c r="BA9" s="78">
        <f t="shared" si="29"/>
        <v>16334.362598400003</v>
      </c>
      <c r="BB9" s="79">
        <f t="shared" si="30"/>
        <v>3406.4487204</v>
      </c>
      <c r="BC9" s="77">
        <f t="shared" si="31"/>
        <v>166.693098</v>
      </c>
      <c r="BD9" s="79"/>
      <c r="BE9" s="78">
        <f aca="true" t="shared" si="143" ref="BE9:BE21">C9*7.62623/100</f>
        <v>0</v>
      </c>
      <c r="BF9" s="78">
        <f t="shared" si="32"/>
        <v>33516.3657024</v>
      </c>
      <c r="BG9" s="78">
        <f t="shared" si="33"/>
        <v>33516.3657024</v>
      </c>
      <c r="BH9" s="79">
        <f t="shared" si="34"/>
        <v>6989.6685819</v>
      </c>
      <c r="BI9" s="77">
        <f t="shared" si="35"/>
        <v>342.03641550000003</v>
      </c>
      <c r="BJ9" s="79"/>
      <c r="BK9" s="78">
        <f aca="true" t="shared" si="144" ref="BK9:BK21">C9*0.08804/100</f>
        <v>0</v>
      </c>
      <c r="BL9" s="78">
        <f t="shared" si="36"/>
        <v>386.9252352</v>
      </c>
      <c r="BM9" s="78">
        <f t="shared" si="37"/>
        <v>386.9252352</v>
      </c>
      <c r="BN9" s="79">
        <f t="shared" si="38"/>
        <v>80.6913012</v>
      </c>
      <c r="BO9" s="77">
        <f t="shared" si="39"/>
        <v>3.9485940000000004</v>
      </c>
      <c r="BP9" s="79"/>
      <c r="BQ9" s="78">
        <f aca="true" t="shared" si="145" ref="BQ9:BQ21">C9*0.05914/100</f>
        <v>0</v>
      </c>
      <c r="BR9" s="78">
        <f t="shared" si="40"/>
        <v>259.9132032</v>
      </c>
      <c r="BS9" s="78">
        <f t="shared" si="41"/>
        <v>259.9132032</v>
      </c>
      <c r="BT9" s="79">
        <f t="shared" si="42"/>
        <v>54.203584199999995</v>
      </c>
      <c r="BU9" s="77">
        <f t="shared" si="43"/>
        <v>2.6524289999999997</v>
      </c>
      <c r="BV9" s="79"/>
      <c r="BW9" s="78">
        <f aca="true" t="shared" si="146" ref="BW9:BW21">C9*-0.00881/100</f>
        <v>0</v>
      </c>
      <c r="BX9" s="78">
        <f t="shared" si="44"/>
        <v>-38.7188928</v>
      </c>
      <c r="BY9" s="78">
        <f t="shared" si="45"/>
        <v>-38.7188928</v>
      </c>
      <c r="BZ9" s="79">
        <f t="shared" si="46"/>
        <v>-8.0746293</v>
      </c>
      <c r="CA9" s="77">
        <f t="shared" si="47"/>
        <v>-0.3951285</v>
      </c>
      <c r="CB9" s="78"/>
      <c r="CC9" s="78">
        <f aca="true" t="shared" si="147" ref="CC9:CC21">C9*-0.00574/100</f>
        <v>0</v>
      </c>
      <c r="CD9" s="78">
        <f t="shared" si="48"/>
        <v>-25.2266112</v>
      </c>
      <c r="CE9" s="78">
        <f t="shared" si="49"/>
        <v>-25.2266112</v>
      </c>
      <c r="CF9" s="79">
        <f t="shared" si="50"/>
        <v>-5.2608822</v>
      </c>
      <c r="CG9" s="77">
        <f t="shared" si="51"/>
        <v>-0.257439</v>
      </c>
      <c r="CH9" s="79"/>
      <c r="CI9" s="78">
        <f aca="true" t="shared" si="148" ref="CI9:CI21">C9*0.21346/100</f>
        <v>0</v>
      </c>
      <c r="CJ9" s="78">
        <f t="shared" si="52"/>
        <v>938.1310848</v>
      </c>
      <c r="CK9" s="78">
        <f t="shared" si="53"/>
        <v>938.1310848</v>
      </c>
      <c r="CL9" s="79">
        <f t="shared" si="54"/>
        <v>195.64249379999998</v>
      </c>
      <c r="CM9" s="77">
        <f t="shared" si="55"/>
        <v>9.573681</v>
      </c>
      <c r="CN9" s="79"/>
      <c r="CO9" s="78">
        <f aca="true" t="shared" si="149" ref="CO9:CO21">C9*1.3127/100</f>
        <v>0</v>
      </c>
      <c r="CP9" s="78">
        <f t="shared" si="56"/>
        <v>5769.158976000001</v>
      </c>
      <c r="CQ9" s="78">
        <f t="shared" si="57"/>
        <v>5769.158976000001</v>
      </c>
      <c r="CR9" s="79">
        <f t="shared" si="58"/>
        <v>1203.128931</v>
      </c>
      <c r="CS9" s="77">
        <f t="shared" si="59"/>
        <v>58.874595</v>
      </c>
      <c r="CT9" s="79"/>
      <c r="CU9" s="78">
        <f aca="true" t="shared" si="150" ref="CU9:CU21">C9*8.81851/100</f>
        <v>0</v>
      </c>
      <c r="CV9" s="78">
        <f t="shared" si="60"/>
        <v>38756.2932288</v>
      </c>
      <c r="CW9" s="78">
        <f t="shared" si="61"/>
        <v>38756.2932288</v>
      </c>
      <c r="CX9" s="79">
        <f t="shared" si="62"/>
        <v>8082.4289703</v>
      </c>
      <c r="CY9" s="77">
        <f t="shared" si="63"/>
        <v>395.5101735</v>
      </c>
      <c r="CZ9" s="79"/>
      <c r="DA9" s="78">
        <f aca="true" t="shared" si="151" ref="DA9:DA21">C9*1.27232/100</f>
        <v>0</v>
      </c>
      <c r="DB9" s="78">
        <f t="shared" si="64"/>
        <v>5591.693721599999</v>
      </c>
      <c r="DC9" s="78">
        <f t="shared" si="65"/>
        <v>5591.693721599999</v>
      </c>
      <c r="DD9" s="79">
        <f t="shared" si="66"/>
        <v>1166.1194496</v>
      </c>
      <c r="DE9" s="77">
        <f t="shared" si="67"/>
        <v>57.063552</v>
      </c>
      <c r="DF9" s="79"/>
      <c r="DG9" s="78">
        <f aca="true" t="shared" si="152" ref="DG9:DG21">C9*2.59972/100</f>
        <v>0</v>
      </c>
      <c r="DH9" s="78">
        <f t="shared" si="68"/>
        <v>11425.4574336</v>
      </c>
      <c r="DI9" s="78">
        <f t="shared" si="69"/>
        <v>11425.4574336</v>
      </c>
      <c r="DJ9" s="79">
        <f t="shared" si="70"/>
        <v>2382.7213716</v>
      </c>
      <c r="DK9" s="77">
        <f t="shared" si="71"/>
        <v>116.597442</v>
      </c>
      <c r="DL9" s="79"/>
      <c r="DM9" s="78">
        <f aca="true" t="shared" si="153" ref="DM9:DM21">C9*0.42162/100</f>
        <v>0</v>
      </c>
      <c r="DN9" s="78">
        <f t="shared" si="72"/>
        <v>1852.9693056</v>
      </c>
      <c r="DO9" s="78">
        <f t="shared" si="73"/>
        <v>1852.9693056</v>
      </c>
      <c r="DP9" s="79">
        <f t="shared" si="74"/>
        <v>386.4273786</v>
      </c>
      <c r="DQ9" s="77">
        <f t="shared" si="75"/>
        <v>18.909657</v>
      </c>
      <c r="DR9" s="79"/>
      <c r="DS9" s="78">
        <f aca="true" t="shared" si="154" ref="DS9:DS21">C9*2.16282/100</f>
        <v>0</v>
      </c>
      <c r="DT9" s="78">
        <f t="shared" si="76"/>
        <v>9505.3343616</v>
      </c>
      <c r="DU9" s="78">
        <f t="shared" si="77"/>
        <v>9505.3343616</v>
      </c>
      <c r="DV9" s="79">
        <f t="shared" si="78"/>
        <v>1982.2894146</v>
      </c>
      <c r="DW9" s="77">
        <f t="shared" si="79"/>
        <v>97.002477</v>
      </c>
      <c r="DX9" s="79"/>
      <c r="DY9" s="78">
        <f aca="true" t="shared" si="155" ref="DY9:DY21">C9*0.01933/100</f>
        <v>0</v>
      </c>
      <c r="DZ9" s="78">
        <f t="shared" si="80"/>
        <v>84.9530304</v>
      </c>
      <c r="EA9" s="78">
        <f t="shared" si="81"/>
        <v>84.9530304</v>
      </c>
      <c r="EB9" s="79">
        <f t="shared" si="82"/>
        <v>17.7165249</v>
      </c>
      <c r="EC9" s="77">
        <f t="shared" si="83"/>
        <v>0.8669505000000001</v>
      </c>
      <c r="ED9" s="79"/>
      <c r="EE9" s="78">
        <f aca="true" t="shared" si="156" ref="EE9:EE21">C9*0.02544/100</f>
        <v>0</v>
      </c>
      <c r="EF9" s="78">
        <f t="shared" si="84"/>
        <v>111.8057472</v>
      </c>
      <c r="EG9" s="78">
        <f t="shared" si="85"/>
        <v>111.8057472</v>
      </c>
      <c r="EH9" s="79">
        <f t="shared" si="86"/>
        <v>23.3165232</v>
      </c>
      <c r="EI9" s="77">
        <f t="shared" si="87"/>
        <v>1.140984</v>
      </c>
      <c r="EJ9" s="79"/>
      <c r="EK9" s="78">
        <f aca="true" t="shared" si="157" ref="EK9:EK21">C9*1.28187/100</f>
        <v>0</v>
      </c>
      <c r="EL9" s="78">
        <f t="shared" si="88"/>
        <v>5633.664825600001</v>
      </c>
      <c r="EM9" s="78">
        <f t="shared" si="89"/>
        <v>5633.664825600001</v>
      </c>
      <c r="EN9" s="79">
        <f t="shared" si="90"/>
        <v>1174.8723111000002</v>
      </c>
      <c r="EO9" s="77">
        <f t="shared" si="91"/>
        <v>57.4918695</v>
      </c>
      <c r="EP9" s="79"/>
      <c r="EQ9" s="78">
        <f aca="true" t="shared" si="158" ref="EQ9:EQ21">C9*0.0244/100</f>
        <v>0</v>
      </c>
      <c r="ER9" s="78">
        <f t="shared" si="92"/>
        <v>107.235072</v>
      </c>
      <c r="ES9" s="78">
        <f t="shared" si="93"/>
        <v>107.235072</v>
      </c>
      <c r="ET9" s="79">
        <f t="shared" si="94"/>
        <v>22.363332</v>
      </c>
      <c r="EU9" s="77">
        <f t="shared" si="95"/>
        <v>1.0943399999999999</v>
      </c>
      <c r="EV9" s="79"/>
      <c r="EW9" s="78">
        <f aca="true" t="shared" si="159" ref="EW9:EW21">C9*0.36459/100</f>
        <v>0</v>
      </c>
      <c r="EX9" s="78">
        <f t="shared" si="96"/>
        <v>1602.3292992000002</v>
      </c>
      <c r="EY9" s="78">
        <f t="shared" si="97"/>
        <v>1602.3292992000002</v>
      </c>
      <c r="EZ9" s="79">
        <f t="shared" si="98"/>
        <v>334.15767270000003</v>
      </c>
      <c r="FA9" s="77">
        <f t="shared" si="99"/>
        <v>16.351861500000002</v>
      </c>
      <c r="FB9" s="79"/>
      <c r="FC9" s="78">
        <f aca="true" t="shared" si="160" ref="FC9:FC21">C9*0.25327/100</f>
        <v>0</v>
      </c>
      <c r="FD9" s="78">
        <f t="shared" si="100"/>
        <v>1113.0912576</v>
      </c>
      <c r="FE9" s="78">
        <f t="shared" si="101"/>
        <v>1113.0912576</v>
      </c>
      <c r="FF9" s="79">
        <f t="shared" si="102"/>
        <v>232.1295531</v>
      </c>
      <c r="FG9" s="77">
        <f t="shared" si="103"/>
        <v>11.3591595</v>
      </c>
      <c r="FH9" s="79"/>
      <c r="FI9" s="78">
        <f aca="true" t="shared" si="161" ref="FI9:FI21">C9*0.09887/100</f>
        <v>0</v>
      </c>
      <c r="FJ9" s="78">
        <f t="shared" si="104"/>
        <v>434.5217856</v>
      </c>
      <c r="FK9" s="78">
        <f t="shared" si="105"/>
        <v>434.5217856</v>
      </c>
      <c r="FL9" s="79">
        <f t="shared" si="106"/>
        <v>90.6173211</v>
      </c>
      <c r="FM9" s="77">
        <f t="shared" si="107"/>
        <v>4.4343195</v>
      </c>
      <c r="FN9" s="79"/>
      <c r="FO9" s="78">
        <f aca="true" t="shared" si="162" ref="FO9:FO21">C9*1.11111/100</f>
        <v>0</v>
      </c>
      <c r="FP9" s="78">
        <f t="shared" si="108"/>
        <v>4883.1951168</v>
      </c>
      <c r="FQ9" s="78">
        <f t="shared" si="109"/>
        <v>4883.1951168</v>
      </c>
      <c r="FR9" s="79">
        <f t="shared" si="110"/>
        <v>1018.3656483000001</v>
      </c>
      <c r="FS9" s="77">
        <f t="shared" si="111"/>
        <v>49.8332835</v>
      </c>
      <c r="FT9" s="79"/>
      <c r="FU9" s="78">
        <f aca="true" t="shared" si="163" ref="FU9:FU21">C9*2.50422/100</f>
        <v>0</v>
      </c>
      <c r="FV9" s="78">
        <f t="shared" si="112"/>
        <v>11005.746393600002</v>
      </c>
      <c r="FW9" s="78">
        <f t="shared" si="113"/>
        <v>11005.746393600002</v>
      </c>
      <c r="FX9" s="79">
        <f t="shared" si="114"/>
        <v>2295.1927566</v>
      </c>
      <c r="FY9" s="77">
        <f t="shared" si="115"/>
        <v>112.314267</v>
      </c>
      <c r="FZ9" s="79"/>
      <c r="GA9" s="78">
        <f aca="true" t="shared" si="164" ref="GA9:GA21">C9*0.31957/100</f>
        <v>0</v>
      </c>
      <c r="GB9" s="78">
        <f t="shared" si="116"/>
        <v>1404.4718016000002</v>
      </c>
      <c r="GC9" s="78">
        <f t="shared" si="117"/>
        <v>1404.4718016000002</v>
      </c>
      <c r="GD9" s="79">
        <f t="shared" si="118"/>
        <v>292.8954921</v>
      </c>
      <c r="GE9" s="77">
        <f t="shared" si="119"/>
        <v>14.3327145</v>
      </c>
      <c r="GF9" s="79"/>
      <c r="GG9" s="78">
        <f aca="true" t="shared" si="165" ref="GG9:GG21">C9*0.50748/100</f>
        <v>0</v>
      </c>
      <c r="GH9" s="78">
        <f t="shared" si="120"/>
        <v>2230.3137024000002</v>
      </c>
      <c r="GI9" s="78">
        <f t="shared" si="121"/>
        <v>2230.3137024000002</v>
      </c>
      <c r="GJ9" s="79">
        <f t="shared" si="122"/>
        <v>465.1206444</v>
      </c>
      <c r="GK9" s="77">
        <f t="shared" si="123"/>
        <v>22.760478</v>
      </c>
      <c r="GL9" s="79"/>
      <c r="GM9" s="78">
        <f aca="true" t="shared" si="166" ref="GM9:GM21">C9*2.35189/100</f>
        <v>0</v>
      </c>
      <c r="GN9" s="78">
        <f t="shared" si="124"/>
        <v>10336.2743232</v>
      </c>
      <c r="GO9" s="78">
        <f t="shared" si="125"/>
        <v>10336.2743232</v>
      </c>
      <c r="GP9" s="79">
        <f t="shared" si="126"/>
        <v>2155.5777417</v>
      </c>
      <c r="GQ9" s="77">
        <f t="shared" si="127"/>
        <v>105.4822665</v>
      </c>
      <c r="GR9" s="79"/>
      <c r="GS9" s="78">
        <f aca="true" t="shared" si="167" ref="GS9:GS21">C9*0.12482/100</f>
        <v>0</v>
      </c>
      <c r="GT9" s="78">
        <f t="shared" si="128"/>
        <v>548.5689216000001</v>
      </c>
      <c r="GU9" s="78">
        <f t="shared" si="129"/>
        <v>548.5689216000001</v>
      </c>
      <c r="GV9" s="79">
        <f t="shared" si="130"/>
        <v>114.40127460000001</v>
      </c>
      <c r="GW9" s="77">
        <f t="shared" si="131"/>
        <v>5.598177000000001</v>
      </c>
      <c r="GX9" s="79"/>
      <c r="GY9" s="78">
        <f aca="true" t="shared" si="168" ref="GY9:GY21">C9*0.71564/100</f>
        <v>0</v>
      </c>
      <c r="GZ9" s="78">
        <f t="shared" si="132"/>
        <v>3145.1519232000005</v>
      </c>
      <c r="HA9" s="78">
        <f t="shared" si="133"/>
        <v>3145.1519232000005</v>
      </c>
      <c r="HB9" s="79">
        <f t="shared" si="134"/>
        <v>655.9055292</v>
      </c>
      <c r="HC9" s="77">
        <f t="shared" si="135"/>
        <v>32.096454</v>
      </c>
      <c r="HD9" s="79"/>
      <c r="HE9" s="79"/>
      <c r="HF9" s="79"/>
      <c r="HG9" s="79"/>
      <c r="HH9" s="79"/>
      <c r="HI9" s="79"/>
    </row>
    <row r="10" spans="1:217" s="52" customFormat="1" ht="12.75">
      <c r="A10" s="51">
        <v>43374</v>
      </c>
      <c r="C10" s="42"/>
      <c r="D10" s="42">
        <v>439488</v>
      </c>
      <c r="E10" s="77">
        <f t="shared" si="0"/>
        <v>439488</v>
      </c>
      <c r="F10" s="77">
        <v>91653</v>
      </c>
      <c r="G10" s="77">
        <v>4485</v>
      </c>
      <c r="H10" s="79"/>
      <c r="I10" s="79"/>
      <c r="J10" s="79">
        <f t="shared" si="1"/>
        <v>238565.46913920002</v>
      </c>
      <c r="K10" s="79">
        <f t="shared" si="2"/>
        <v>238565.46913920002</v>
      </c>
      <c r="L10" s="79">
        <f t="shared" si="3"/>
        <v>49751.6222127</v>
      </c>
      <c r="M10" s="79">
        <f t="shared" si="3"/>
        <v>2434.5741615</v>
      </c>
      <c r="N10" s="79"/>
      <c r="O10" s="78"/>
      <c r="P10" s="78">
        <f t="shared" si="4"/>
        <v>29070.0216576</v>
      </c>
      <c r="Q10" s="79">
        <f t="shared" si="5"/>
        <v>29070.0216576</v>
      </c>
      <c r="R10" s="79">
        <f t="shared" si="6"/>
        <v>6062.4060156000005</v>
      </c>
      <c r="S10" s="77">
        <f t="shared" si="7"/>
        <v>296.661222</v>
      </c>
      <c r="T10" s="79"/>
      <c r="U10" s="78"/>
      <c r="V10" s="78">
        <f t="shared" si="8"/>
        <v>496.4456448</v>
      </c>
      <c r="W10" s="78">
        <f t="shared" si="9"/>
        <v>496.4456448</v>
      </c>
      <c r="X10" s="79">
        <f t="shared" si="10"/>
        <v>103.5312288</v>
      </c>
      <c r="Y10" s="77">
        <f t="shared" si="11"/>
        <v>5.066255999999999</v>
      </c>
      <c r="Z10" s="79"/>
      <c r="AA10" s="79"/>
      <c r="AB10" s="78">
        <f t="shared" si="12"/>
        <v>2241.1251072</v>
      </c>
      <c r="AC10" s="78">
        <f t="shared" si="13"/>
        <v>2241.1251072</v>
      </c>
      <c r="AD10" s="79">
        <f t="shared" si="14"/>
        <v>467.37530819999995</v>
      </c>
      <c r="AE10" s="77">
        <f t="shared" si="15"/>
        <v>22.870808999999998</v>
      </c>
      <c r="AF10" s="79"/>
      <c r="AG10" s="78"/>
      <c r="AH10" s="78">
        <f t="shared" si="16"/>
        <v>38973.6639936</v>
      </c>
      <c r="AI10" s="78">
        <f t="shared" si="17"/>
        <v>38973.6639936</v>
      </c>
      <c r="AJ10" s="79">
        <f t="shared" si="18"/>
        <v>8127.7605441</v>
      </c>
      <c r="AK10" s="77">
        <f t="shared" si="19"/>
        <v>397.7284545</v>
      </c>
      <c r="AL10" s="79"/>
      <c r="AM10" s="78"/>
      <c r="AN10" s="78">
        <f t="shared" si="20"/>
        <v>472.0980096</v>
      </c>
      <c r="AO10" s="78">
        <f t="shared" si="21"/>
        <v>472.0980096</v>
      </c>
      <c r="AP10" s="79">
        <f t="shared" si="22"/>
        <v>98.4536526</v>
      </c>
      <c r="AQ10" s="77">
        <f t="shared" si="23"/>
        <v>4.817787</v>
      </c>
      <c r="AR10" s="78"/>
      <c r="AS10" s="78"/>
      <c r="AT10" s="78">
        <f t="shared" si="24"/>
        <v>398.13217920000005</v>
      </c>
      <c r="AU10" s="78">
        <f t="shared" si="25"/>
        <v>398.13217920000005</v>
      </c>
      <c r="AV10" s="79">
        <f t="shared" si="26"/>
        <v>83.0284527</v>
      </c>
      <c r="AW10" s="77">
        <f t="shared" si="27"/>
        <v>4.0629615</v>
      </c>
      <c r="AX10" s="79"/>
      <c r="AY10" s="78"/>
      <c r="AZ10" s="78">
        <f t="shared" si="28"/>
        <v>16334.362598400003</v>
      </c>
      <c r="BA10" s="78">
        <f t="shared" si="29"/>
        <v>16334.362598400003</v>
      </c>
      <c r="BB10" s="79">
        <f t="shared" si="30"/>
        <v>3406.4487204</v>
      </c>
      <c r="BC10" s="77">
        <f t="shared" si="31"/>
        <v>166.693098</v>
      </c>
      <c r="BD10" s="79"/>
      <c r="BE10" s="78"/>
      <c r="BF10" s="78">
        <f t="shared" si="32"/>
        <v>33516.3657024</v>
      </c>
      <c r="BG10" s="78">
        <f t="shared" si="33"/>
        <v>33516.3657024</v>
      </c>
      <c r="BH10" s="79">
        <f t="shared" si="34"/>
        <v>6989.6685819</v>
      </c>
      <c r="BI10" s="77">
        <f t="shared" si="35"/>
        <v>342.03641550000003</v>
      </c>
      <c r="BJ10" s="79"/>
      <c r="BK10" s="78"/>
      <c r="BL10" s="78">
        <f t="shared" si="36"/>
        <v>386.9252352</v>
      </c>
      <c r="BM10" s="78">
        <f t="shared" si="37"/>
        <v>386.9252352</v>
      </c>
      <c r="BN10" s="79">
        <f t="shared" si="38"/>
        <v>80.6913012</v>
      </c>
      <c r="BO10" s="77">
        <f t="shared" si="39"/>
        <v>3.9485940000000004</v>
      </c>
      <c r="BP10" s="79"/>
      <c r="BQ10" s="78"/>
      <c r="BR10" s="78">
        <f t="shared" si="40"/>
        <v>259.9132032</v>
      </c>
      <c r="BS10" s="78">
        <f t="shared" si="41"/>
        <v>259.9132032</v>
      </c>
      <c r="BT10" s="79">
        <f t="shared" si="42"/>
        <v>54.203584199999995</v>
      </c>
      <c r="BU10" s="77">
        <f t="shared" si="43"/>
        <v>2.6524289999999997</v>
      </c>
      <c r="BV10" s="79"/>
      <c r="BW10" s="78"/>
      <c r="BX10" s="78">
        <f t="shared" si="44"/>
        <v>-38.7188928</v>
      </c>
      <c r="BY10" s="78">
        <f t="shared" si="45"/>
        <v>-38.7188928</v>
      </c>
      <c r="BZ10" s="79">
        <f t="shared" si="46"/>
        <v>-8.0746293</v>
      </c>
      <c r="CA10" s="77">
        <f t="shared" si="47"/>
        <v>-0.3951285</v>
      </c>
      <c r="CB10" s="78"/>
      <c r="CC10" s="78"/>
      <c r="CD10" s="78">
        <f t="shared" si="48"/>
        <v>-25.2266112</v>
      </c>
      <c r="CE10" s="78">
        <f t="shared" si="49"/>
        <v>-25.2266112</v>
      </c>
      <c r="CF10" s="79">
        <f t="shared" si="50"/>
        <v>-5.2608822</v>
      </c>
      <c r="CG10" s="77">
        <f t="shared" si="51"/>
        <v>-0.257439</v>
      </c>
      <c r="CH10" s="79"/>
      <c r="CI10" s="78"/>
      <c r="CJ10" s="78">
        <f t="shared" si="52"/>
        <v>938.1310848</v>
      </c>
      <c r="CK10" s="78">
        <f t="shared" si="53"/>
        <v>938.1310848</v>
      </c>
      <c r="CL10" s="79">
        <f t="shared" si="54"/>
        <v>195.64249379999998</v>
      </c>
      <c r="CM10" s="77">
        <f t="shared" si="55"/>
        <v>9.573681</v>
      </c>
      <c r="CN10" s="79"/>
      <c r="CO10" s="78"/>
      <c r="CP10" s="78">
        <f t="shared" si="56"/>
        <v>5769.158976000001</v>
      </c>
      <c r="CQ10" s="78">
        <f t="shared" si="57"/>
        <v>5769.158976000001</v>
      </c>
      <c r="CR10" s="79">
        <f t="shared" si="58"/>
        <v>1203.128931</v>
      </c>
      <c r="CS10" s="77">
        <f t="shared" si="59"/>
        <v>58.874595</v>
      </c>
      <c r="CT10" s="79"/>
      <c r="CU10" s="78"/>
      <c r="CV10" s="78">
        <f t="shared" si="60"/>
        <v>38756.2932288</v>
      </c>
      <c r="CW10" s="78">
        <f t="shared" si="61"/>
        <v>38756.2932288</v>
      </c>
      <c r="CX10" s="79">
        <f t="shared" si="62"/>
        <v>8082.4289703</v>
      </c>
      <c r="CY10" s="77">
        <f t="shared" si="63"/>
        <v>395.5101735</v>
      </c>
      <c r="CZ10" s="79"/>
      <c r="DA10" s="78"/>
      <c r="DB10" s="78">
        <f t="shared" si="64"/>
        <v>5591.693721599999</v>
      </c>
      <c r="DC10" s="78">
        <f t="shared" si="65"/>
        <v>5591.693721599999</v>
      </c>
      <c r="DD10" s="79">
        <f t="shared" si="66"/>
        <v>1166.1194496</v>
      </c>
      <c r="DE10" s="77">
        <f t="shared" si="67"/>
        <v>57.063552</v>
      </c>
      <c r="DF10" s="79"/>
      <c r="DG10" s="78"/>
      <c r="DH10" s="78">
        <f t="shared" si="68"/>
        <v>11425.4574336</v>
      </c>
      <c r="DI10" s="78">
        <f t="shared" si="69"/>
        <v>11425.4574336</v>
      </c>
      <c r="DJ10" s="79">
        <f t="shared" si="70"/>
        <v>2382.7213716</v>
      </c>
      <c r="DK10" s="77">
        <f t="shared" si="71"/>
        <v>116.597442</v>
      </c>
      <c r="DL10" s="79"/>
      <c r="DM10" s="78"/>
      <c r="DN10" s="78">
        <f t="shared" si="72"/>
        <v>1852.9693056</v>
      </c>
      <c r="DO10" s="78">
        <f t="shared" si="73"/>
        <v>1852.9693056</v>
      </c>
      <c r="DP10" s="79">
        <f t="shared" si="74"/>
        <v>386.4273786</v>
      </c>
      <c r="DQ10" s="77">
        <f t="shared" si="75"/>
        <v>18.909657</v>
      </c>
      <c r="DR10" s="79"/>
      <c r="DS10" s="78"/>
      <c r="DT10" s="78">
        <f t="shared" si="76"/>
        <v>9505.3343616</v>
      </c>
      <c r="DU10" s="78">
        <f t="shared" si="77"/>
        <v>9505.3343616</v>
      </c>
      <c r="DV10" s="79">
        <f t="shared" si="78"/>
        <v>1982.2894146</v>
      </c>
      <c r="DW10" s="77">
        <f t="shared" si="79"/>
        <v>97.002477</v>
      </c>
      <c r="DX10" s="79"/>
      <c r="DY10" s="78"/>
      <c r="DZ10" s="78">
        <f t="shared" si="80"/>
        <v>84.9530304</v>
      </c>
      <c r="EA10" s="78">
        <f t="shared" si="81"/>
        <v>84.9530304</v>
      </c>
      <c r="EB10" s="79">
        <f t="shared" si="82"/>
        <v>17.7165249</v>
      </c>
      <c r="EC10" s="77">
        <f t="shared" si="83"/>
        <v>0.8669505000000001</v>
      </c>
      <c r="ED10" s="79"/>
      <c r="EE10" s="78"/>
      <c r="EF10" s="78">
        <f t="shared" si="84"/>
        <v>111.8057472</v>
      </c>
      <c r="EG10" s="78">
        <f t="shared" si="85"/>
        <v>111.8057472</v>
      </c>
      <c r="EH10" s="79">
        <f t="shared" si="86"/>
        <v>23.3165232</v>
      </c>
      <c r="EI10" s="77">
        <f t="shared" si="87"/>
        <v>1.140984</v>
      </c>
      <c r="EJ10" s="79"/>
      <c r="EK10" s="78"/>
      <c r="EL10" s="78">
        <f t="shared" si="88"/>
        <v>5633.664825600001</v>
      </c>
      <c r="EM10" s="78">
        <f t="shared" si="89"/>
        <v>5633.664825600001</v>
      </c>
      <c r="EN10" s="79">
        <f t="shared" si="90"/>
        <v>1174.8723111000002</v>
      </c>
      <c r="EO10" s="77">
        <f t="shared" si="91"/>
        <v>57.4918695</v>
      </c>
      <c r="EP10" s="79"/>
      <c r="EQ10" s="78"/>
      <c r="ER10" s="78">
        <f t="shared" si="92"/>
        <v>107.235072</v>
      </c>
      <c r="ES10" s="78">
        <f t="shared" si="93"/>
        <v>107.235072</v>
      </c>
      <c r="ET10" s="79">
        <f t="shared" si="94"/>
        <v>22.363332</v>
      </c>
      <c r="EU10" s="77">
        <f t="shared" si="95"/>
        <v>1.0943399999999999</v>
      </c>
      <c r="EV10" s="79"/>
      <c r="EW10" s="78"/>
      <c r="EX10" s="78">
        <f t="shared" si="96"/>
        <v>1602.3292992000002</v>
      </c>
      <c r="EY10" s="78">
        <f t="shared" si="97"/>
        <v>1602.3292992000002</v>
      </c>
      <c r="EZ10" s="79">
        <f t="shared" si="98"/>
        <v>334.15767270000003</v>
      </c>
      <c r="FA10" s="77">
        <f t="shared" si="99"/>
        <v>16.351861500000002</v>
      </c>
      <c r="FB10" s="79"/>
      <c r="FC10" s="78"/>
      <c r="FD10" s="78">
        <f t="shared" si="100"/>
        <v>1113.0912576</v>
      </c>
      <c r="FE10" s="78">
        <f t="shared" si="101"/>
        <v>1113.0912576</v>
      </c>
      <c r="FF10" s="79">
        <f t="shared" si="102"/>
        <v>232.1295531</v>
      </c>
      <c r="FG10" s="77">
        <f t="shared" si="103"/>
        <v>11.3591595</v>
      </c>
      <c r="FH10" s="79"/>
      <c r="FI10" s="78"/>
      <c r="FJ10" s="78">
        <f t="shared" si="104"/>
        <v>434.5217856</v>
      </c>
      <c r="FK10" s="78">
        <f t="shared" si="105"/>
        <v>434.5217856</v>
      </c>
      <c r="FL10" s="79">
        <f t="shared" si="106"/>
        <v>90.6173211</v>
      </c>
      <c r="FM10" s="77">
        <f t="shared" si="107"/>
        <v>4.4343195</v>
      </c>
      <c r="FN10" s="79"/>
      <c r="FO10" s="78"/>
      <c r="FP10" s="78">
        <f t="shared" si="108"/>
        <v>4883.1951168</v>
      </c>
      <c r="FQ10" s="78">
        <f t="shared" si="109"/>
        <v>4883.1951168</v>
      </c>
      <c r="FR10" s="79">
        <f t="shared" si="110"/>
        <v>1018.3656483000001</v>
      </c>
      <c r="FS10" s="77">
        <f t="shared" si="111"/>
        <v>49.8332835</v>
      </c>
      <c r="FT10" s="79"/>
      <c r="FU10" s="78"/>
      <c r="FV10" s="78">
        <f t="shared" si="112"/>
        <v>11005.746393600002</v>
      </c>
      <c r="FW10" s="78">
        <f t="shared" si="113"/>
        <v>11005.746393600002</v>
      </c>
      <c r="FX10" s="79">
        <f t="shared" si="114"/>
        <v>2295.1927566</v>
      </c>
      <c r="FY10" s="77">
        <f t="shared" si="115"/>
        <v>112.314267</v>
      </c>
      <c r="FZ10" s="79"/>
      <c r="GA10" s="78"/>
      <c r="GB10" s="78">
        <f t="shared" si="116"/>
        <v>1404.4718016000002</v>
      </c>
      <c r="GC10" s="78">
        <f t="shared" si="117"/>
        <v>1404.4718016000002</v>
      </c>
      <c r="GD10" s="79">
        <f t="shared" si="118"/>
        <v>292.8954921</v>
      </c>
      <c r="GE10" s="77">
        <f t="shared" si="119"/>
        <v>14.3327145</v>
      </c>
      <c r="GF10" s="79"/>
      <c r="GG10" s="78"/>
      <c r="GH10" s="78">
        <f t="shared" si="120"/>
        <v>2230.3137024000002</v>
      </c>
      <c r="GI10" s="78">
        <f t="shared" si="121"/>
        <v>2230.3137024000002</v>
      </c>
      <c r="GJ10" s="79">
        <f t="shared" si="122"/>
        <v>465.1206444</v>
      </c>
      <c r="GK10" s="77">
        <f t="shared" si="123"/>
        <v>22.760478</v>
      </c>
      <c r="GL10" s="79"/>
      <c r="GM10" s="78"/>
      <c r="GN10" s="78">
        <f t="shared" si="124"/>
        <v>10336.2743232</v>
      </c>
      <c r="GO10" s="78">
        <f t="shared" si="125"/>
        <v>10336.2743232</v>
      </c>
      <c r="GP10" s="79">
        <f t="shared" si="126"/>
        <v>2155.5777417</v>
      </c>
      <c r="GQ10" s="77">
        <f t="shared" si="127"/>
        <v>105.4822665</v>
      </c>
      <c r="GR10" s="79"/>
      <c r="GS10" s="78"/>
      <c r="GT10" s="78">
        <f t="shared" si="128"/>
        <v>548.5689216000001</v>
      </c>
      <c r="GU10" s="78">
        <f t="shared" si="129"/>
        <v>548.5689216000001</v>
      </c>
      <c r="GV10" s="79">
        <f t="shared" si="130"/>
        <v>114.40127460000001</v>
      </c>
      <c r="GW10" s="77">
        <f t="shared" si="131"/>
        <v>5.598177000000001</v>
      </c>
      <c r="GX10" s="79"/>
      <c r="GY10" s="78"/>
      <c r="GZ10" s="78">
        <f t="shared" si="132"/>
        <v>3145.1519232000005</v>
      </c>
      <c r="HA10" s="78">
        <f t="shared" si="133"/>
        <v>3145.1519232000005</v>
      </c>
      <c r="HB10" s="79">
        <f t="shared" si="134"/>
        <v>655.9055292</v>
      </c>
      <c r="HC10" s="77">
        <f t="shared" si="135"/>
        <v>32.096454</v>
      </c>
      <c r="HD10" s="79"/>
      <c r="HE10" s="79"/>
      <c r="HF10" s="79"/>
      <c r="HG10" s="79"/>
      <c r="HH10" s="79"/>
      <c r="HI10" s="79"/>
    </row>
    <row r="11" spans="1:217" s="52" customFormat="1" ht="12.75">
      <c r="A11" s="51">
        <v>43556</v>
      </c>
      <c r="C11" s="42">
        <v>5000</v>
      </c>
      <c r="D11" s="42">
        <v>439488</v>
      </c>
      <c r="E11" s="77">
        <f t="shared" si="0"/>
        <v>444488</v>
      </c>
      <c r="F11" s="77">
        <v>91653</v>
      </c>
      <c r="G11" s="77">
        <v>4485</v>
      </c>
      <c r="H11" s="79"/>
      <c r="I11" s="79">
        <f>O11+U11+AA11+AG11+AM11+AS11+AY11+BE11+BK11+BQ11+BW11+CC11+CI11+CO11+CU11+DA11+DG11+DM11+DS11+DY11+EE11+EK11+EQ11+EW11+FC11+FI11+FO11+FU11+GA11+GG11+GM11+GS11+GY11</f>
        <v>2714.1295</v>
      </c>
      <c r="J11" s="79">
        <f t="shared" si="1"/>
        <v>238565.46913920002</v>
      </c>
      <c r="K11" s="79">
        <f t="shared" si="2"/>
        <v>241279.59863920003</v>
      </c>
      <c r="L11" s="79">
        <f t="shared" si="3"/>
        <v>49751.6222127</v>
      </c>
      <c r="M11" s="79">
        <f t="shared" si="3"/>
        <v>2434.5741615</v>
      </c>
      <c r="N11" s="79"/>
      <c r="O11" s="78">
        <f t="shared" si="136"/>
        <v>330.726</v>
      </c>
      <c r="P11" s="78">
        <f t="shared" si="4"/>
        <v>29070.0216576</v>
      </c>
      <c r="Q11" s="79">
        <f t="shared" si="5"/>
        <v>29400.747657599997</v>
      </c>
      <c r="R11" s="79">
        <f t="shared" si="6"/>
        <v>6062.4060156000005</v>
      </c>
      <c r="S11" s="77">
        <f t="shared" si="7"/>
        <v>296.661222</v>
      </c>
      <c r="T11" s="79"/>
      <c r="U11" s="78">
        <f t="shared" si="137"/>
        <v>5.648000000000001</v>
      </c>
      <c r="V11" s="78">
        <f t="shared" si="8"/>
        <v>496.4456448</v>
      </c>
      <c r="W11" s="78">
        <f t="shared" si="9"/>
        <v>502.09364480000005</v>
      </c>
      <c r="X11" s="79">
        <f t="shared" si="10"/>
        <v>103.5312288</v>
      </c>
      <c r="Y11" s="77">
        <f t="shared" si="11"/>
        <v>5.066255999999999</v>
      </c>
      <c r="Z11" s="79"/>
      <c r="AA11" s="79">
        <f t="shared" si="138"/>
        <v>25.497</v>
      </c>
      <c r="AB11" s="78">
        <f t="shared" si="12"/>
        <v>2241.1251072</v>
      </c>
      <c r="AC11" s="78">
        <f t="shared" si="13"/>
        <v>2266.6221072</v>
      </c>
      <c r="AD11" s="79">
        <f t="shared" si="14"/>
        <v>467.37530819999995</v>
      </c>
      <c r="AE11" s="77">
        <f t="shared" si="15"/>
        <v>22.870808999999998</v>
      </c>
      <c r="AF11" s="79"/>
      <c r="AG11" s="78">
        <f t="shared" si="139"/>
        <v>443.3985</v>
      </c>
      <c r="AH11" s="78">
        <f t="shared" si="16"/>
        <v>38973.6639936</v>
      </c>
      <c r="AI11" s="78">
        <f t="shared" si="17"/>
        <v>39417.0624936</v>
      </c>
      <c r="AJ11" s="79">
        <f t="shared" si="18"/>
        <v>8127.7605441</v>
      </c>
      <c r="AK11" s="77">
        <f t="shared" si="19"/>
        <v>397.7284545</v>
      </c>
      <c r="AL11" s="79"/>
      <c r="AM11" s="78">
        <f t="shared" si="140"/>
        <v>5.371</v>
      </c>
      <c r="AN11" s="78">
        <f t="shared" si="20"/>
        <v>472.0980096</v>
      </c>
      <c r="AO11" s="78">
        <f t="shared" si="21"/>
        <v>477.4690096</v>
      </c>
      <c r="AP11" s="79">
        <f t="shared" si="22"/>
        <v>98.4536526</v>
      </c>
      <c r="AQ11" s="77">
        <f t="shared" si="23"/>
        <v>4.817787</v>
      </c>
      <c r="AR11" s="78"/>
      <c r="AS11" s="78">
        <f t="shared" si="141"/>
        <v>4.5295000000000005</v>
      </c>
      <c r="AT11" s="78">
        <f t="shared" si="24"/>
        <v>398.13217920000005</v>
      </c>
      <c r="AU11" s="78">
        <f t="shared" si="25"/>
        <v>402.66167920000004</v>
      </c>
      <c r="AV11" s="79">
        <f t="shared" si="26"/>
        <v>83.0284527</v>
      </c>
      <c r="AW11" s="77">
        <f t="shared" si="27"/>
        <v>4.0629615</v>
      </c>
      <c r="AX11" s="79"/>
      <c r="AY11" s="78">
        <f t="shared" si="142"/>
        <v>185.834</v>
      </c>
      <c r="AZ11" s="78">
        <f t="shared" si="28"/>
        <v>16334.362598400003</v>
      </c>
      <c r="BA11" s="78">
        <f t="shared" si="29"/>
        <v>16520.1965984</v>
      </c>
      <c r="BB11" s="79">
        <f t="shared" si="30"/>
        <v>3406.4487204</v>
      </c>
      <c r="BC11" s="77">
        <f t="shared" si="31"/>
        <v>166.693098</v>
      </c>
      <c r="BD11" s="79"/>
      <c r="BE11" s="78">
        <f t="shared" si="143"/>
        <v>381.3115</v>
      </c>
      <c r="BF11" s="78">
        <f t="shared" si="32"/>
        <v>33516.3657024</v>
      </c>
      <c r="BG11" s="78">
        <f t="shared" si="33"/>
        <v>33897.6772024</v>
      </c>
      <c r="BH11" s="79">
        <f t="shared" si="34"/>
        <v>6989.6685819</v>
      </c>
      <c r="BI11" s="77">
        <f t="shared" si="35"/>
        <v>342.03641550000003</v>
      </c>
      <c r="BJ11" s="79"/>
      <c r="BK11" s="78">
        <f t="shared" si="144"/>
        <v>4.402</v>
      </c>
      <c r="BL11" s="78">
        <f t="shared" si="36"/>
        <v>386.9252352</v>
      </c>
      <c r="BM11" s="78">
        <f t="shared" si="37"/>
        <v>391.32723519999996</v>
      </c>
      <c r="BN11" s="79">
        <f t="shared" si="38"/>
        <v>80.6913012</v>
      </c>
      <c r="BO11" s="77">
        <f t="shared" si="39"/>
        <v>3.9485940000000004</v>
      </c>
      <c r="BP11" s="79"/>
      <c r="BQ11" s="78">
        <f t="shared" si="145"/>
        <v>2.957</v>
      </c>
      <c r="BR11" s="78">
        <f t="shared" si="40"/>
        <v>259.9132032</v>
      </c>
      <c r="BS11" s="78">
        <f t="shared" si="41"/>
        <v>262.8702032</v>
      </c>
      <c r="BT11" s="79">
        <f t="shared" si="42"/>
        <v>54.203584199999995</v>
      </c>
      <c r="BU11" s="77">
        <f t="shared" si="43"/>
        <v>2.6524289999999997</v>
      </c>
      <c r="BV11" s="79"/>
      <c r="BW11" s="78">
        <f t="shared" si="146"/>
        <v>-0.44049999999999995</v>
      </c>
      <c r="BX11" s="78">
        <f t="shared" si="44"/>
        <v>-38.7188928</v>
      </c>
      <c r="BY11" s="78">
        <f t="shared" si="45"/>
        <v>-39.1593928</v>
      </c>
      <c r="BZ11" s="79">
        <f t="shared" si="46"/>
        <v>-8.0746293</v>
      </c>
      <c r="CA11" s="77">
        <f t="shared" si="47"/>
        <v>-0.3951285</v>
      </c>
      <c r="CB11" s="78"/>
      <c r="CC11" s="78">
        <f t="shared" si="147"/>
        <v>-0.28700000000000003</v>
      </c>
      <c r="CD11" s="78">
        <f t="shared" si="48"/>
        <v>-25.2266112</v>
      </c>
      <c r="CE11" s="78">
        <f t="shared" si="49"/>
        <v>-25.5136112</v>
      </c>
      <c r="CF11" s="79">
        <f t="shared" si="50"/>
        <v>-5.2608822</v>
      </c>
      <c r="CG11" s="77">
        <f t="shared" si="51"/>
        <v>-0.257439</v>
      </c>
      <c r="CH11" s="79"/>
      <c r="CI11" s="78">
        <f t="shared" si="148"/>
        <v>10.673</v>
      </c>
      <c r="CJ11" s="78">
        <f t="shared" si="52"/>
        <v>938.1310848</v>
      </c>
      <c r="CK11" s="78">
        <f t="shared" si="53"/>
        <v>948.8040848</v>
      </c>
      <c r="CL11" s="79">
        <f t="shared" si="54"/>
        <v>195.64249379999998</v>
      </c>
      <c r="CM11" s="77">
        <f t="shared" si="55"/>
        <v>9.573681</v>
      </c>
      <c r="CN11" s="79"/>
      <c r="CO11" s="78">
        <f t="shared" si="149"/>
        <v>65.635</v>
      </c>
      <c r="CP11" s="78">
        <f t="shared" si="56"/>
        <v>5769.158976000001</v>
      </c>
      <c r="CQ11" s="78">
        <f t="shared" si="57"/>
        <v>5834.793976000001</v>
      </c>
      <c r="CR11" s="79">
        <f t="shared" si="58"/>
        <v>1203.128931</v>
      </c>
      <c r="CS11" s="77">
        <f t="shared" si="59"/>
        <v>58.874595</v>
      </c>
      <c r="CT11" s="79"/>
      <c r="CU11" s="78">
        <f t="shared" si="150"/>
        <v>440.92549999999994</v>
      </c>
      <c r="CV11" s="78">
        <f t="shared" si="60"/>
        <v>38756.2932288</v>
      </c>
      <c r="CW11" s="78">
        <f t="shared" si="61"/>
        <v>39197.2187288</v>
      </c>
      <c r="CX11" s="79">
        <f t="shared" si="62"/>
        <v>8082.4289703</v>
      </c>
      <c r="CY11" s="77">
        <f t="shared" si="63"/>
        <v>395.5101735</v>
      </c>
      <c r="CZ11" s="79"/>
      <c r="DA11" s="78">
        <f t="shared" si="151"/>
        <v>63.61599999999999</v>
      </c>
      <c r="DB11" s="78">
        <f t="shared" si="64"/>
        <v>5591.693721599999</v>
      </c>
      <c r="DC11" s="78">
        <f t="shared" si="65"/>
        <v>5655.309721599999</v>
      </c>
      <c r="DD11" s="79">
        <f t="shared" si="66"/>
        <v>1166.1194496</v>
      </c>
      <c r="DE11" s="77">
        <f t="shared" si="67"/>
        <v>57.063552</v>
      </c>
      <c r="DF11" s="79"/>
      <c r="DG11" s="78">
        <f t="shared" si="152"/>
        <v>129.986</v>
      </c>
      <c r="DH11" s="78">
        <f t="shared" si="68"/>
        <v>11425.4574336</v>
      </c>
      <c r="DI11" s="78">
        <f t="shared" si="69"/>
        <v>11555.443433600001</v>
      </c>
      <c r="DJ11" s="79">
        <f t="shared" si="70"/>
        <v>2382.7213716</v>
      </c>
      <c r="DK11" s="77">
        <f t="shared" si="71"/>
        <v>116.597442</v>
      </c>
      <c r="DL11" s="79"/>
      <c r="DM11" s="78">
        <f t="shared" si="153"/>
        <v>21.081</v>
      </c>
      <c r="DN11" s="78">
        <f t="shared" si="72"/>
        <v>1852.9693056</v>
      </c>
      <c r="DO11" s="78">
        <f t="shared" si="73"/>
        <v>1874.0503056</v>
      </c>
      <c r="DP11" s="79">
        <f t="shared" si="74"/>
        <v>386.4273786</v>
      </c>
      <c r="DQ11" s="77">
        <f t="shared" si="75"/>
        <v>18.909657</v>
      </c>
      <c r="DR11" s="79"/>
      <c r="DS11" s="78">
        <f t="shared" si="154"/>
        <v>108.141</v>
      </c>
      <c r="DT11" s="78">
        <f t="shared" si="76"/>
        <v>9505.3343616</v>
      </c>
      <c r="DU11" s="78">
        <f t="shared" si="77"/>
        <v>9613.4753616</v>
      </c>
      <c r="DV11" s="79">
        <f t="shared" si="78"/>
        <v>1982.2894146</v>
      </c>
      <c r="DW11" s="77">
        <f t="shared" si="79"/>
        <v>97.002477</v>
      </c>
      <c r="DX11" s="79"/>
      <c r="DY11" s="78">
        <f t="shared" si="155"/>
        <v>0.9665</v>
      </c>
      <c r="DZ11" s="78">
        <f t="shared" si="80"/>
        <v>84.9530304</v>
      </c>
      <c r="EA11" s="78">
        <f t="shared" si="81"/>
        <v>85.9195304</v>
      </c>
      <c r="EB11" s="79">
        <f t="shared" si="82"/>
        <v>17.7165249</v>
      </c>
      <c r="EC11" s="77">
        <f t="shared" si="83"/>
        <v>0.8669505000000001</v>
      </c>
      <c r="ED11" s="79"/>
      <c r="EE11" s="78">
        <f t="shared" si="156"/>
        <v>1.272</v>
      </c>
      <c r="EF11" s="78">
        <f t="shared" si="84"/>
        <v>111.8057472</v>
      </c>
      <c r="EG11" s="78">
        <f t="shared" si="85"/>
        <v>113.0777472</v>
      </c>
      <c r="EH11" s="79">
        <f t="shared" si="86"/>
        <v>23.3165232</v>
      </c>
      <c r="EI11" s="77">
        <f t="shared" si="87"/>
        <v>1.140984</v>
      </c>
      <c r="EJ11" s="79"/>
      <c r="EK11" s="78">
        <f t="shared" si="157"/>
        <v>64.0935</v>
      </c>
      <c r="EL11" s="78">
        <f t="shared" si="88"/>
        <v>5633.664825600001</v>
      </c>
      <c r="EM11" s="78">
        <f t="shared" si="89"/>
        <v>5697.758325600001</v>
      </c>
      <c r="EN11" s="79">
        <f t="shared" si="90"/>
        <v>1174.8723111000002</v>
      </c>
      <c r="EO11" s="77">
        <f t="shared" si="91"/>
        <v>57.4918695</v>
      </c>
      <c r="EP11" s="79"/>
      <c r="EQ11" s="78">
        <f t="shared" si="158"/>
        <v>1.2200000000000002</v>
      </c>
      <c r="ER11" s="78">
        <f t="shared" si="92"/>
        <v>107.235072</v>
      </c>
      <c r="ES11" s="78">
        <f t="shared" si="93"/>
        <v>108.455072</v>
      </c>
      <c r="ET11" s="79">
        <f t="shared" si="94"/>
        <v>22.363332</v>
      </c>
      <c r="EU11" s="77">
        <f t="shared" si="95"/>
        <v>1.0943399999999999</v>
      </c>
      <c r="EV11" s="79"/>
      <c r="EW11" s="78">
        <f t="shared" si="159"/>
        <v>18.2295</v>
      </c>
      <c r="EX11" s="78">
        <f t="shared" si="96"/>
        <v>1602.3292992000002</v>
      </c>
      <c r="EY11" s="78">
        <f t="shared" si="97"/>
        <v>1620.5587992</v>
      </c>
      <c r="EZ11" s="79">
        <f t="shared" si="98"/>
        <v>334.15767270000003</v>
      </c>
      <c r="FA11" s="77">
        <f t="shared" si="99"/>
        <v>16.351861500000002</v>
      </c>
      <c r="FB11" s="79"/>
      <c r="FC11" s="78">
        <f t="shared" si="160"/>
        <v>12.663499999999999</v>
      </c>
      <c r="FD11" s="78">
        <f t="shared" si="100"/>
        <v>1113.0912576</v>
      </c>
      <c r="FE11" s="78">
        <f t="shared" si="101"/>
        <v>1125.7547576000002</v>
      </c>
      <c r="FF11" s="79">
        <f t="shared" si="102"/>
        <v>232.1295531</v>
      </c>
      <c r="FG11" s="77">
        <f t="shared" si="103"/>
        <v>11.3591595</v>
      </c>
      <c r="FH11" s="79"/>
      <c r="FI11" s="78">
        <f t="shared" si="161"/>
        <v>4.9435</v>
      </c>
      <c r="FJ11" s="78">
        <f t="shared" si="104"/>
        <v>434.5217856</v>
      </c>
      <c r="FK11" s="78">
        <f t="shared" si="105"/>
        <v>439.4652856</v>
      </c>
      <c r="FL11" s="79">
        <f t="shared" si="106"/>
        <v>90.6173211</v>
      </c>
      <c r="FM11" s="77">
        <f t="shared" si="107"/>
        <v>4.4343195</v>
      </c>
      <c r="FN11" s="79"/>
      <c r="FO11" s="78">
        <f t="shared" si="162"/>
        <v>55.5555</v>
      </c>
      <c r="FP11" s="78">
        <f t="shared" si="108"/>
        <v>4883.1951168</v>
      </c>
      <c r="FQ11" s="78">
        <f t="shared" si="109"/>
        <v>4938.7506168</v>
      </c>
      <c r="FR11" s="79">
        <f t="shared" si="110"/>
        <v>1018.3656483000001</v>
      </c>
      <c r="FS11" s="77">
        <f t="shared" si="111"/>
        <v>49.8332835</v>
      </c>
      <c r="FT11" s="79"/>
      <c r="FU11" s="78">
        <f t="shared" si="163"/>
        <v>125.211</v>
      </c>
      <c r="FV11" s="78">
        <f t="shared" si="112"/>
        <v>11005.746393600002</v>
      </c>
      <c r="FW11" s="78">
        <f t="shared" si="113"/>
        <v>11130.957393600002</v>
      </c>
      <c r="FX11" s="79">
        <f t="shared" si="114"/>
        <v>2295.1927566</v>
      </c>
      <c r="FY11" s="77">
        <f t="shared" si="115"/>
        <v>112.314267</v>
      </c>
      <c r="FZ11" s="79"/>
      <c r="GA11" s="78">
        <f t="shared" si="164"/>
        <v>15.978500000000002</v>
      </c>
      <c r="GB11" s="78">
        <f t="shared" si="116"/>
        <v>1404.4718016000002</v>
      </c>
      <c r="GC11" s="78">
        <f t="shared" si="117"/>
        <v>1420.4503016</v>
      </c>
      <c r="GD11" s="79">
        <f t="shared" si="118"/>
        <v>292.8954921</v>
      </c>
      <c r="GE11" s="77">
        <f t="shared" si="119"/>
        <v>14.3327145</v>
      </c>
      <c r="GF11" s="79"/>
      <c r="GG11" s="78">
        <f t="shared" si="165"/>
        <v>25.374000000000002</v>
      </c>
      <c r="GH11" s="78">
        <f t="shared" si="120"/>
        <v>2230.3137024000002</v>
      </c>
      <c r="GI11" s="78">
        <f t="shared" si="121"/>
        <v>2255.6877024</v>
      </c>
      <c r="GJ11" s="79">
        <f t="shared" si="122"/>
        <v>465.1206444</v>
      </c>
      <c r="GK11" s="77">
        <f t="shared" si="123"/>
        <v>22.760478</v>
      </c>
      <c r="GL11" s="79"/>
      <c r="GM11" s="78">
        <f t="shared" si="166"/>
        <v>117.59450000000001</v>
      </c>
      <c r="GN11" s="78">
        <f t="shared" si="124"/>
        <v>10336.2743232</v>
      </c>
      <c r="GO11" s="78">
        <f t="shared" si="125"/>
        <v>10453.868823199999</v>
      </c>
      <c r="GP11" s="79">
        <f t="shared" si="126"/>
        <v>2155.5777417</v>
      </c>
      <c r="GQ11" s="77">
        <f t="shared" si="127"/>
        <v>105.4822665</v>
      </c>
      <c r="GR11" s="79"/>
      <c r="GS11" s="78">
        <f t="shared" si="167"/>
        <v>6.2410000000000005</v>
      </c>
      <c r="GT11" s="78">
        <f t="shared" si="128"/>
        <v>548.5689216000001</v>
      </c>
      <c r="GU11" s="78">
        <f t="shared" si="129"/>
        <v>554.8099216</v>
      </c>
      <c r="GV11" s="79">
        <f t="shared" si="130"/>
        <v>114.40127460000001</v>
      </c>
      <c r="GW11" s="77">
        <f t="shared" si="131"/>
        <v>5.598177000000001</v>
      </c>
      <c r="GX11" s="79"/>
      <c r="GY11" s="78">
        <f t="shared" si="168"/>
        <v>35.782000000000004</v>
      </c>
      <c r="GZ11" s="78">
        <f t="shared" si="132"/>
        <v>3145.1519232000005</v>
      </c>
      <c r="HA11" s="78">
        <f t="shared" si="133"/>
        <v>3180.9339232000007</v>
      </c>
      <c r="HB11" s="79">
        <f t="shared" si="134"/>
        <v>655.9055292</v>
      </c>
      <c r="HC11" s="77">
        <f t="shared" si="135"/>
        <v>32.096454</v>
      </c>
      <c r="HD11" s="79"/>
      <c r="HE11" s="79"/>
      <c r="HF11" s="79"/>
      <c r="HG11" s="79"/>
      <c r="HH11" s="79"/>
      <c r="HI11" s="79"/>
    </row>
    <row r="12" spans="1:217" s="52" customFormat="1" ht="12.75">
      <c r="A12" s="51">
        <v>43739</v>
      </c>
      <c r="C12" s="42"/>
      <c r="D12" s="42">
        <v>439413</v>
      </c>
      <c r="E12" s="77">
        <f t="shared" si="0"/>
        <v>439413</v>
      </c>
      <c r="F12" s="77">
        <v>91653</v>
      </c>
      <c r="G12" s="77">
        <v>4485</v>
      </c>
      <c r="H12" s="79"/>
      <c r="I12" s="79"/>
      <c r="J12" s="79">
        <f t="shared" si="1"/>
        <v>238524.7571967001</v>
      </c>
      <c r="K12" s="79">
        <f t="shared" si="2"/>
        <v>238524.7571967001</v>
      </c>
      <c r="L12" s="79">
        <f t="shared" si="3"/>
        <v>49751.6222127</v>
      </c>
      <c r="M12" s="79">
        <f t="shared" si="3"/>
        <v>2434.5741615</v>
      </c>
      <c r="N12" s="79"/>
      <c r="O12" s="78"/>
      <c r="P12" s="78">
        <f t="shared" si="4"/>
        <v>29065.0607676</v>
      </c>
      <c r="Q12" s="79">
        <f t="shared" si="5"/>
        <v>29065.0607676</v>
      </c>
      <c r="R12" s="79">
        <f t="shared" si="6"/>
        <v>6062.4060156000005</v>
      </c>
      <c r="S12" s="77">
        <f t="shared" si="7"/>
        <v>296.661222</v>
      </c>
      <c r="T12" s="79"/>
      <c r="U12" s="78"/>
      <c r="V12" s="78">
        <f t="shared" si="8"/>
        <v>496.3609248</v>
      </c>
      <c r="W12" s="78">
        <f t="shared" si="9"/>
        <v>496.3609248</v>
      </c>
      <c r="X12" s="79">
        <f t="shared" si="10"/>
        <v>103.5312288</v>
      </c>
      <c r="Y12" s="77">
        <f t="shared" si="11"/>
        <v>5.066255999999999</v>
      </c>
      <c r="Z12" s="79"/>
      <c r="AA12" s="79"/>
      <c r="AB12" s="78">
        <f t="shared" si="12"/>
        <v>2240.7426521999996</v>
      </c>
      <c r="AC12" s="78">
        <f t="shared" si="13"/>
        <v>2240.7426521999996</v>
      </c>
      <c r="AD12" s="79">
        <f t="shared" si="14"/>
        <v>467.37530819999995</v>
      </c>
      <c r="AE12" s="77">
        <f t="shared" si="15"/>
        <v>22.870808999999998</v>
      </c>
      <c r="AF12" s="79"/>
      <c r="AG12" s="78"/>
      <c r="AH12" s="78">
        <f t="shared" si="16"/>
        <v>38967.0130161</v>
      </c>
      <c r="AI12" s="78">
        <f t="shared" si="17"/>
        <v>38967.0130161</v>
      </c>
      <c r="AJ12" s="79">
        <f t="shared" si="18"/>
        <v>8127.7605441</v>
      </c>
      <c r="AK12" s="77">
        <f t="shared" si="19"/>
        <v>397.7284545</v>
      </c>
      <c r="AL12" s="79"/>
      <c r="AM12" s="78"/>
      <c r="AN12" s="78">
        <f t="shared" si="20"/>
        <v>472.01744460000003</v>
      </c>
      <c r="AO12" s="78">
        <f t="shared" si="21"/>
        <v>472.01744460000003</v>
      </c>
      <c r="AP12" s="79">
        <f t="shared" si="22"/>
        <v>98.4536526</v>
      </c>
      <c r="AQ12" s="77">
        <f t="shared" si="23"/>
        <v>4.817787</v>
      </c>
      <c r="AR12" s="78"/>
      <c r="AS12" s="78"/>
      <c r="AT12" s="78">
        <f t="shared" si="24"/>
        <v>398.06423670000004</v>
      </c>
      <c r="AU12" s="78">
        <f t="shared" si="25"/>
        <v>398.06423670000004</v>
      </c>
      <c r="AV12" s="79">
        <f t="shared" si="26"/>
        <v>83.0284527</v>
      </c>
      <c r="AW12" s="77">
        <f t="shared" si="27"/>
        <v>4.0629615</v>
      </c>
      <c r="AX12" s="79"/>
      <c r="AY12" s="78"/>
      <c r="AZ12" s="78">
        <f t="shared" si="28"/>
        <v>16331.5750884</v>
      </c>
      <c r="BA12" s="78">
        <f t="shared" si="29"/>
        <v>16331.5750884</v>
      </c>
      <c r="BB12" s="79">
        <f t="shared" si="30"/>
        <v>3406.4487204</v>
      </c>
      <c r="BC12" s="77">
        <f t="shared" si="31"/>
        <v>166.693098</v>
      </c>
      <c r="BD12" s="79"/>
      <c r="BE12" s="78"/>
      <c r="BF12" s="78">
        <f t="shared" si="32"/>
        <v>33510.6460299</v>
      </c>
      <c r="BG12" s="78">
        <f t="shared" si="33"/>
        <v>33510.6460299</v>
      </c>
      <c r="BH12" s="79">
        <f t="shared" si="34"/>
        <v>6989.6685819</v>
      </c>
      <c r="BI12" s="77">
        <f t="shared" si="35"/>
        <v>342.03641550000003</v>
      </c>
      <c r="BJ12" s="79"/>
      <c r="BK12" s="78"/>
      <c r="BL12" s="78">
        <f t="shared" si="36"/>
        <v>386.8592052</v>
      </c>
      <c r="BM12" s="78">
        <f t="shared" si="37"/>
        <v>386.8592052</v>
      </c>
      <c r="BN12" s="79">
        <f t="shared" si="38"/>
        <v>80.6913012</v>
      </c>
      <c r="BO12" s="77">
        <f t="shared" si="39"/>
        <v>3.9485940000000004</v>
      </c>
      <c r="BP12" s="79"/>
      <c r="BQ12" s="78"/>
      <c r="BR12" s="78">
        <f t="shared" si="40"/>
        <v>259.8688482</v>
      </c>
      <c r="BS12" s="78">
        <f t="shared" si="41"/>
        <v>259.8688482</v>
      </c>
      <c r="BT12" s="79">
        <f t="shared" si="42"/>
        <v>54.203584199999995</v>
      </c>
      <c r="BU12" s="77">
        <f t="shared" si="43"/>
        <v>2.6524289999999997</v>
      </c>
      <c r="BV12" s="79"/>
      <c r="BW12" s="78"/>
      <c r="BX12" s="78">
        <f t="shared" si="44"/>
        <v>-38.7122853</v>
      </c>
      <c r="BY12" s="78">
        <f t="shared" si="45"/>
        <v>-38.7122853</v>
      </c>
      <c r="BZ12" s="79">
        <f t="shared" si="46"/>
        <v>-8.0746293</v>
      </c>
      <c r="CA12" s="77">
        <f t="shared" si="47"/>
        <v>-0.3951285</v>
      </c>
      <c r="CB12" s="78"/>
      <c r="CC12" s="78"/>
      <c r="CD12" s="78">
        <f t="shared" si="48"/>
        <v>-25.222306200000002</v>
      </c>
      <c r="CE12" s="78">
        <f t="shared" si="49"/>
        <v>-25.222306200000002</v>
      </c>
      <c r="CF12" s="79">
        <f t="shared" si="50"/>
        <v>-5.2608822</v>
      </c>
      <c r="CG12" s="77">
        <f t="shared" si="51"/>
        <v>-0.257439</v>
      </c>
      <c r="CH12" s="79"/>
      <c r="CI12" s="78"/>
      <c r="CJ12" s="78">
        <f t="shared" si="52"/>
        <v>937.9709898000001</v>
      </c>
      <c r="CK12" s="78">
        <f t="shared" si="53"/>
        <v>937.9709898000001</v>
      </c>
      <c r="CL12" s="79">
        <f t="shared" si="54"/>
        <v>195.64249379999998</v>
      </c>
      <c r="CM12" s="77">
        <f t="shared" si="55"/>
        <v>9.573681</v>
      </c>
      <c r="CN12" s="79"/>
      <c r="CO12" s="78"/>
      <c r="CP12" s="78">
        <f t="shared" si="56"/>
        <v>5768.174451</v>
      </c>
      <c r="CQ12" s="78">
        <f t="shared" si="57"/>
        <v>5768.174451</v>
      </c>
      <c r="CR12" s="79">
        <f t="shared" si="58"/>
        <v>1203.128931</v>
      </c>
      <c r="CS12" s="77">
        <f t="shared" si="59"/>
        <v>58.874595</v>
      </c>
      <c r="CT12" s="79"/>
      <c r="CU12" s="78"/>
      <c r="CV12" s="78">
        <f t="shared" si="60"/>
        <v>38749.6793463</v>
      </c>
      <c r="CW12" s="78">
        <f t="shared" si="61"/>
        <v>38749.6793463</v>
      </c>
      <c r="CX12" s="79">
        <f t="shared" si="62"/>
        <v>8082.4289703</v>
      </c>
      <c r="CY12" s="77">
        <f t="shared" si="63"/>
        <v>395.5101735</v>
      </c>
      <c r="CZ12" s="79"/>
      <c r="DA12" s="78"/>
      <c r="DB12" s="78">
        <f t="shared" si="64"/>
        <v>5590.739481599999</v>
      </c>
      <c r="DC12" s="78">
        <f t="shared" si="65"/>
        <v>5590.739481599999</v>
      </c>
      <c r="DD12" s="79">
        <f t="shared" si="66"/>
        <v>1166.1194496</v>
      </c>
      <c r="DE12" s="77">
        <f t="shared" si="67"/>
        <v>57.063552</v>
      </c>
      <c r="DF12" s="79"/>
      <c r="DG12" s="78"/>
      <c r="DH12" s="78">
        <f t="shared" si="68"/>
        <v>11423.5076436</v>
      </c>
      <c r="DI12" s="78">
        <f t="shared" si="69"/>
        <v>11423.5076436</v>
      </c>
      <c r="DJ12" s="79">
        <f t="shared" si="70"/>
        <v>2382.7213716</v>
      </c>
      <c r="DK12" s="77">
        <f t="shared" si="71"/>
        <v>116.597442</v>
      </c>
      <c r="DL12" s="79"/>
      <c r="DM12" s="78"/>
      <c r="DN12" s="78">
        <f t="shared" si="72"/>
        <v>1852.6530906</v>
      </c>
      <c r="DO12" s="78">
        <f t="shared" si="73"/>
        <v>1852.6530906</v>
      </c>
      <c r="DP12" s="79">
        <f t="shared" si="74"/>
        <v>386.4273786</v>
      </c>
      <c r="DQ12" s="77">
        <f t="shared" si="75"/>
        <v>18.909657</v>
      </c>
      <c r="DR12" s="79"/>
      <c r="DS12" s="78"/>
      <c r="DT12" s="78">
        <f t="shared" si="76"/>
        <v>9503.7122466</v>
      </c>
      <c r="DU12" s="78">
        <f t="shared" si="77"/>
        <v>9503.7122466</v>
      </c>
      <c r="DV12" s="79">
        <f t="shared" si="78"/>
        <v>1982.2894146</v>
      </c>
      <c r="DW12" s="77">
        <f t="shared" si="79"/>
        <v>97.002477</v>
      </c>
      <c r="DX12" s="79"/>
      <c r="DY12" s="78"/>
      <c r="DZ12" s="78">
        <f t="shared" si="80"/>
        <v>84.93853289999998</v>
      </c>
      <c r="EA12" s="78">
        <f t="shared" si="81"/>
        <v>84.93853289999998</v>
      </c>
      <c r="EB12" s="79">
        <f t="shared" si="82"/>
        <v>17.7165249</v>
      </c>
      <c r="EC12" s="77">
        <f t="shared" si="83"/>
        <v>0.8669505000000001</v>
      </c>
      <c r="ED12" s="79"/>
      <c r="EE12" s="78"/>
      <c r="EF12" s="78">
        <f t="shared" si="84"/>
        <v>111.78666720000001</v>
      </c>
      <c r="EG12" s="78">
        <f t="shared" si="85"/>
        <v>111.78666720000001</v>
      </c>
      <c r="EH12" s="79">
        <f t="shared" si="86"/>
        <v>23.3165232</v>
      </c>
      <c r="EI12" s="77">
        <f t="shared" si="87"/>
        <v>1.140984</v>
      </c>
      <c r="EJ12" s="79"/>
      <c r="EK12" s="78"/>
      <c r="EL12" s="78">
        <f t="shared" si="88"/>
        <v>5632.7034231</v>
      </c>
      <c r="EM12" s="78">
        <f t="shared" si="89"/>
        <v>5632.7034231</v>
      </c>
      <c r="EN12" s="79">
        <f t="shared" si="90"/>
        <v>1174.8723111000002</v>
      </c>
      <c r="EO12" s="77">
        <f t="shared" si="91"/>
        <v>57.4918695</v>
      </c>
      <c r="EP12" s="79"/>
      <c r="EQ12" s="78"/>
      <c r="ER12" s="78">
        <f t="shared" si="92"/>
        <v>107.216772</v>
      </c>
      <c r="ES12" s="78">
        <f t="shared" si="93"/>
        <v>107.216772</v>
      </c>
      <c r="ET12" s="79">
        <f t="shared" si="94"/>
        <v>22.363332</v>
      </c>
      <c r="EU12" s="77">
        <f t="shared" si="95"/>
        <v>1.0943399999999999</v>
      </c>
      <c r="EV12" s="79"/>
      <c r="EW12" s="78"/>
      <c r="EX12" s="78">
        <f t="shared" si="96"/>
        <v>1602.0558567</v>
      </c>
      <c r="EY12" s="78">
        <f t="shared" si="97"/>
        <v>1602.0558567</v>
      </c>
      <c r="EZ12" s="79">
        <f t="shared" si="98"/>
        <v>334.15767270000003</v>
      </c>
      <c r="FA12" s="77">
        <f t="shared" si="99"/>
        <v>16.351861500000002</v>
      </c>
      <c r="FB12" s="79"/>
      <c r="FC12" s="78"/>
      <c r="FD12" s="78">
        <f t="shared" si="100"/>
        <v>1112.9013051</v>
      </c>
      <c r="FE12" s="78">
        <f t="shared" si="101"/>
        <v>1112.9013051</v>
      </c>
      <c r="FF12" s="79">
        <f t="shared" si="102"/>
        <v>232.1295531</v>
      </c>
      <c r="FG12" s="77">
        <f t="shared" si="103"/>
        <v>11.3591595</v>
      </c>
      <c r="FH12" s="79"/>
      <c r="FI12" s="78"/>
      <c r="FJ12" s="78">
        <f t="shared" si="104"/>
        <v>434.4476331</v>
      </c>
      <c r="FK12" s="78">
        <f t="shared" si="105"/>
        <v>434.4476331</v>
      </c>
      <c r="FL12" s="79">
        <f t="shared" si="106"/>
        <v>90.6173211</v>
      </c>
      <c r="FM12" s="77">
        <f t="shared" si="107"/>
        <v>4.4343195</v>
      </c>
      <c r="FN12" s="79"/>
      <c r="FO12" s="78"/>
      <c r="FP12" s="78">
        <f t="shared" si="108"/>
        <v>4882.3617843</v>
      </c>
      <c r="FQ12" s="78">
        <f t="shared" si="109"/>
        <v>4882.3617843</v>
      </c>
      <c r="FR12" s="79">
        <f t="shared" si="110"/>
        <v>1018.3656483000001</v>
      </c>
      <c r="FS12" s="77">
        <f t="shared" si="111"/>
        <v>49.8332835</v>
      </c>
      <c r="FT12" s="79"/>
      <c r="FU12" s="78"/>
      <c r="FV12" s="78">
        <f t="shared" si="112"/>
        <v>11003.8682286</v>
      </c>
      <c r="FW12" s="78">
        <f t="shared" si="113"/>
        <v>11003.8682286</v>
      </c>
      <c r="FX12" s="79">
        <f t="shared" si="114"/>
        <v>2295.1927566</v>
      </c>
      <c r="FY12" s="77">
        <f t="shared" si="115"/>
        <v>112.314267</v>
      </c>
      <c r="FZ12" s="79"/>
      <c r="GA12" s="78"/>
      <c r="GB12" s="78">
        <f t="shared" si="116"/>
        <v>1404.2321241</v>
      </c>
      <c r="GC12" s="78">
        <f t="shared" si="117"/>
        <v>1404.2321241</v>
      </c>
      <c r="GD12" s="79">
        <f t="shared" si="118"/>
        <v>292.8954921</v>
      </c>
      <c r="GE12" s="77">
        <f t="shared" si="119"/>
        <v>14.3327145</v>
      </c>
      <c r="GF12" s="79"/>
      <c r="GG12" s="78"/>
      <c r="GH12" s="78">
        <f t="shared" si="120"/>
        <v>2229.9330924000005</v>
      </c>
      <c r="GI12" s="78">
        <f t="shared" si="121"/>
        <v>2229.9330924000005</v>
      </c>
      <c r="GJ12" s="79">
        <f t="shared" si="122"/>
        <v>465.1206444</v>
      </c>
      <c r="GK12" s="77">
        <f t="shared" si="123"/>
        <v>22.760478</v>
      </c>
      <c r="GL12" s="79"/>
      <c r="GM12" s="78"/>
      <c r="GN12" s="78">
        <f t="shared" si="124"/>
        <v>10334.5104057</v>
      </c>
      <c r="GO12" s="78">
        <f t="shared" si="125"/>
        <v>10334.5104057</v>
      </c>
      <c r="GP12" s="79">
        <f t="shared" si="126"/>
        <v>2155.5777417</v>
      </c>
      <c r="GQ12" s="77">
        <f t="shared" si="127"/>
        <v>105.4822665</v>
      </c>
      <c r="GR12" s="79"/>
      <c r="GS12" s="78"/>
      <c r="GT12" s="78">
        <f t="shared" si="128"/>
        <v>548.4753066</v>
      </c>
      <c r="GU12" s="78">
        <f t="shared" si="129"/>
        <v>548.4753066</v>
      </c>
      <c r="GV12" s="79">
        <f t="shared" si="130"/>
        <v>114.40127460000001</v>
      </c>
      <c r="GW12" s="77">
        <f t="shared" si="131"/>
        <v>5.598177000000001</v>
      </c>
      <c r="GX12" s="79"/>
      <c r="GY12" s="78"/>
      <c r="GZ12" s="78">
        <f t="shared" si="132"/>
        <v>3144.6151932000002</v>
      </c>
      <c r="HA12" s="78">
        <f t="shared" si="133"/>
        <v>3144.6151932000002</v>
      </c>
      <c r="HB12" s="79">
        <f t="shared" si="134"/>
        <v>655.9055292</v>
      </c>
      <c r="HC12" s="77">
        <f t="shared" si="135"/>
        <v>32.096454</v>
      </c>
      <c r="HD12" s="79"/>
      <c r="HE12" s="79"/>
      <c r="HF12" s="79"/>
      <c r="HG12" s="79"/>
      <c r="HH12" s="79"/>
      <c r="HI12" s="79"/>
    </row>
    <row r="13" spans="1:217" s="52" customFormat="1" ht="12.75">
      <c r="A13" s="51">
        <v>43922</v>
      </c>
      <c r="C13" s="42">
        <v>5000</v>
      </c>
      <c r="D13" s="42">
        <v>439413</v>
      </c>
      <c r="E13" s="77">
        <f t="shared" si="0"/>
        <v>444413</v>
      </c>
      <c r="F13" s="77">
        <v>91653</v>
      </c>
      <c r="G13" s="77">
        <v>4485</v>
      </c>
      <c r="H13" s="79"/>
      <c r="I13" s="79">
        <f>O13+U13+AA13+AG13+AM13+AS13+AY13+BE13+BK13+BQ13+BW13+CC13+CI13+CO13+CU13+DA13+DG13+DM13+DS13+DY13+EE13+EK13+EQ13+EW13+FC13+FI13+FO13+FU13+GA13+GG13+GM13+GS13+GY13</f>
        <v>2714.1295</v>
      </c>
      <c r="J13" s="79">
        <f t="shared" si="1"/>
        <v>238524.7571967001</v>
      </c>
      <c r="K13" s="79">
        <f t="shared" si="2"/>
        <v>241238.88669670012</v>
      </c>
      <c r="L13" s="79">
        <f t="shared" si="3"/>
        <v>49751.6222127</v>
      </c>
      <c r="M13" s="79">
        <f t="shared" si="3"/>
        <v>2434.5741615</v>
      </c>
      <c r="N13" s="79"/>
      <c r="O13" s="78">
        <f t="shared" si="136"/>
        <v>330.726</v>
      </c>
      <c r="P13" s="78">
        <f t="shared" si="4"/>
        <v>29065.0607676</v>
      </c>
      <c r="Q13" s="79">
        <f t="shared" si="5"/>
        <v>29395.7867676</v>
      </c>
      <c r="R13" s="79">
        <f t="shared" si="6"/>
        <v>6062.4060156000005</v>
      </c>
      <c r="S13" s="77">
        <f t="shared" si="7"/>
        <v>296.661222</v>
      </c>
      <c r="T13" s="79"/>
      <c r="U13" s="78">
        <f t="shared" si="137"/>
        <v>5.648000000000001</v>
      </c>
      <c r="V13" s="78">
        <f t="shared" si="8"/>
        <v>496.3609248</v>
      </c>
      <c r="W13" s="78">
        <f t="shared" si="9"/>
        <v>502.00892480000005</v>
      </c>
      <c r="X13" s="79">
        <f t="shared" si="10"/>
        <v>103.5312288</v>
      </c>
      <c r="Y13" s="77">
        <f t="shared" si="11"/>
        <v>5.066255999999999</v>
      </c>
      <c r="Z13" s="79"/>
      <c r="AA13" s="79">
        <f t="shared" si="138"/>
        <v>25.497</v>
      </c>
      <c r="AB13" s="78">
        <f t="shared" si="12"/>
        <v>2240.7426521999996</v>
      </c>
      <c r="AC13" s="78">
        <f t="shared" si="13"/>
        <v>2266.2396521999995</v>
      </c>
      <c r="AD13" s="79">
        <f t="shared" si="14"/>
        <v>467.37530819999995</v>
      </c>
      <c r="AE13" s="77">
        <f t="shared" si="15"/>
        <v>22.870808999999998</v>
      </c>
      <c r="AF13" s="79"/>
      <c r="AG13" s="78">
        <f t="shared" si="139"/>
        <v>443.3985</v>
      </c>
      <c r="AH13" s="78">
        <f t="shared" si="16"/>
        <v>38967.0130161</v>
      </c>
      <c r="AI13" s="78">
        <f t="shared" si="17"/>
        <v>39410.4115161</v>
      </c>
      <c r="AJ13" s="79">
        <f t="shared" si="18"/>
        <v>8127.7605441</v>
      </c>
      <c r="AK13" s="77">
        <f t="shared" si="19"/>
        <v>397.7284545</v>
      </c>
      <c r="AL13" s="79"/>
      <c r="AM13" s="78">
        <f t="shared" si="140"/>
        <v>5.371</v>
      </c>
      <c r="AN13" s="78">
        <f t="shared" si="20"/>
        <v>472.01744460000003</v>
      </c>
      <c r="AO13" s="78">
        <f t="shared" si="21"/>
        <v>477.3884446</v>
      </c>
      <c r="AP13" s="79">
        <f t="shared" si="22"/>
        <v>98.4536526</v>
      </c>
      <c r="AQ13" s="77">
        <f t="shared" si="23"/>
        <v>4.817787</v>
      </c>
      <c r="AR13" s="78"/>
      <c r="AS13" s="78">
        <f t="shared" si="141"/>
        <v>4.5295000000000005</v>
      </c>
      <c r="AT13" s="78">
        <f t="shared" si="24"/>
        <v>398.06423670000004</v>
      </c>
      <c r="AU13" s="78">
        <f t="shared" si="25"/>
        <v>402.5937367</v>
      </c>
      <c r="AV13" s="79">
        <f t="shared" si="26"/>
        <v>83.0284527</v>
      </c>
      <c r="AW13" s="77">
        <f t="shared" si="27"/>
        <v>4.0629615</v>
      </c>
      <c r="AX13" s="79"/>
      <c r="AY13" s="78">
        <f t="shared" si="142"/>
        <v>185.834</v>
      </c>
      <c r="AZ13" s="78">
        <f t="shared" si="28"/>
        <v>16331.5750884</v>
      </c>
      <c r="BA13" s="78">
        <f t="shared" si="29"/>
        <v>16517.4090884</v>
      </c>
      <c r="BB13" s="79">
        <f t="shared" si="30"/>
        <v>3406.4487204</v>
      </c>
      <c r="BC13" s="77">
        <f t="shared" si="31"/>
        <v>166.693098</v>
      </c>
      <c r="BD13" s="79"/>
      <c r="BE13" s="78">
        <f t="shared" si="143"/>
        <v>381.3115</v>
      </c>
      <c r="BF13" s="78">
        <f t="shared" si="32"/>
        <v>33510.6460299</v>
      </c>
      <c r="BG13" s="78">
        <f t="shared" si="33"/>
        <v>33891.957529900006</v>
      </c>
      <c r="BH13" s="79">
        <f t="shared" si="34"/>
        <v>6989.6685819</v>
      </c>
      <c r="BI13" s="77">
        <f t="shared" si="35"/>
        <v>342.03641550000003</v>
      </c>
      <c r="BJ13" s="79"/>
      <c r="BK13" s="78">
        <f t="shared" si="144"/>
        <v>4.402</v>
      </c>
      <c r="BL13" s="78">
        <f t="shared" si="36"/>
        <v>386.8592052</v>
      </c>
      <c r="BM13" s="78">
        <f t="shared" si="37"/>
        <v>391.2612052</v>
      </c>
      <c r="BN13" s="79">
        <f t="shared" si="38"/>
        <v>80.6913012</v>
      </c>
      <c r="BO13" s="77">
        <f t="shared" si="39"/>
        <v>3.9485940000000004</v>
      </c>
      <c r="BP13" s="79"/>
      <c r="BQ13" s="78">
        <f t="shared" si="145"/>
        <v>2.957</v>
      </c>
      <c r="BR13" s="78">
        <f t="shared" si="40"/>
        <v>259.8688482</v>
      </c>
      <c r="BS13" s="78">
        <f t="shared" si="41"/>
        <v>262.8258482</v>
      </c>
      <c r="BT13" s="79">
        <f t="shared" si="42"/>
        <v>54.203584199999995</v>
      </c>
      <c r="BU13" s="77">
        <f t="shared" si="43"/>
        <v>2.6524289999999997</v>
      </c>
      <c r="BV13" s="79"/>
      <c r="BW13" s="78">
        <f t="shared" si="146"/>
        <v>-0.44049999999999995</v>
      </c>
      <c r="BX13" s="78">
        <f t="shared" si="44"/>
        <v>-38.7122853</v>
      </c>
      <c r="BY13" s="78">
        <f t="shared" si="45"/>
        <v>-39.1527853</v>
      </c>
      <c r="BZ13" s="79">
        <f t="shared" si="46"/>
        <v>-8.0746293</v>
      </c>
      <c r="CA13" s="77">
        <f t="shared" si="47"/>
        <v>-0.3951285</v>
      </c>
      <c r="CB13" s="78"/>
      <c r="CC13" s="78">
        <f t="shared" si="147"/>
        <v>-0.28700000000000003</v>
      </c>
      <c r="CD13" s="78">
        <f t="shared" si="48"/>
        <v>-25.222306200000002</v>
      </c>
      <c r="CE13" s="78">
        <f t="shared" si="49"/>
        <v>-25.5093062</v>
      </c>
      <c r="CF13" s="79">
        <f t="shared" si="50"/>
        <v>-5.2608822</v>
      </c>
      <c r="CG13" s="77">
        <f t="shared" si="51"/>
        <v>-0.257439</v>
      </c>
      <c r="CH13" s="79"/>
      <c r="CI13" s="78">
        <f t="shared" si="148"/>
        <v>10.673</v>
      </c>
      <c r="CJ13" s="78">
        <f t="shared" si="52"/>
        <v>937.9709898000001</v>
      </c>
      <c r="CK13" s="78">
        <f t="shared" si="53"/>
        <v>948.6439898000001</v>
      </c>
      <c r="CL13" s="79">
        <f t="shared" si="54"/>
        <v>195.64249379999998</v>
      </c>
      <c r="CM13" s="77">
        <f t="shared" si="55"/>
        <v>9.573681</v>
      </c>
      <c r="CN13" s="79"/>
      <c r="CO13" s="78">
        <f t="shared" si="149"/>
        <v>65.635</v>
      </c>
      <c r="CP13" s="78">
        <f t="shared" si="56"/>
        <v>5768.174451</v>
      </c>
      <c r="CQ13" s="78">
        <f t="shared" si="57"/>
        <v>5833.809451</v>
      </c>
      <c r="CR13" s="79">
        <f t="shared" si="58"/>
        <v>1203.128931</v>
      </c>
      <c r="CS13" s="77">
        <f t="shared" si="59"/>
        <v>58.874595</v>
      </c>
      <c r="CT13" s="79"/>
      <c r="CU13" s="78">
        <f t="shared" si="150"/>
        <v>440.92549999999994</v>
      </c>
      <c r="CV13" s="78">
        <f t="shared" si="60"/>
        <v>38749.6793463</v>
      </c>
      <c r="CW13" s="78">
        <f t="shared" si="61"/>
        <v>39190.6048463</v>
      </c>
      <c r="CX13" s="79">
        <f t="shared" si="62"/>
        <v>8082.4289703</v>
      </c>
      <c r="CY13" s="77">
        <f t="shared" si="63"/>
        <v>395.5101735</v>
      </c>
      <c r="CZ13" s="79"/>
      <c r="DA13" s="78">
        <f t="shared" si="151"/>
        <v>63.61599999999999</v>
      </c>
      <c r="DB13" s="78">
        <f t="shared" si="64"/>
        <v>5590.739481599999</v>
      </c>
      <c r="DC13" s="78">
        <f t="shared" si="65"/>
        <v>5654.355481599999</v>
      </c>
      <c r="DD13" s="79">
        <f t="shared" si="66"/>
        <v>1166.1194496</v>
      </c>
      <c r="DE13" s="77">
        <f t="shared" si="67"/>
        <v>57.063552</v>
      </c>
      <c r="DF13" s="79"/>
      <c r="DG13" s="78">
        <f t="shared" si="152"/>
        <v>129.986</v>
      </c>
      <c r="DH13" s="78">
        <f t="shared" si="68"/>
        <v>11423.5076436</v>
      </c>
      <c r="DI13" s="78">
        <f t="shared" si="69"/>
        <v>11553.4936436</v>
      </c>
      <c r="DJ13" s="79">
        <f t="shared" si="70"/>
        <v>2382.7213716</v>
      </c>
      <c r="DK13" s="77">
        <f t="shared" si="71"/>
        <v>116.597442</v>
      </c>
      <c r="DL13" s="79"/>
      <c r="DM13" s="78">
        <f t="shared" si="153"/>
        <v>21.081</v>
      </c>
      <c r="DN13" s="78">
        <f t="shared" si="72"/>
        <v>1852.6530906</v>
      </c>
      <c r="DO13" s="78">
        <f t="shared" si="73"/>
        <v>1873.7340906</v>
      </c>
      <c r="DP13" s="79">
        <f t="shared" si="74"/>
        <v>386.4273786</v>
      </c>
      <c r="DQ13" s="77">
        <f t="shared" si="75"/>
        <v>18.909657</v>
      </c>
      <c r="DR13" s="79"/>
      <c r="DS13" s="78">
        <f t="shared" si="154"/>
        <v>108.141</v>
      </c>
      <c r="DT13" s="78">
        <f t="shared" si="76"/>
        <v>9503.7122466</v>
      </c>
      <c r="DU13" s="78">
        <f t="shared" si="77"/>
        <v>9611.8532466</v>
      </c>
      <c r="DV13" s="79">
        <f t="shared" si="78"/>
        <v>1982.2894146</v>
      </c>
      <c r="DW13" s="77">
        <f t="shared" si="79"/>
        <v>97.002477</v>
      </c>
      <c r="DX13" s="79"/>
      <c r="DY13" s="78">
        <f t="shared" si="155"/>
        <v>0.9665</v>
      </c>
      <c r="DZ13" s="78">
        <f t="shared" si="80"/>
        <v>84.93853289999998</v>
      </c>
      <c r="EA13" s="78">
        <f t="shared" si="81"/>
        <v>85.90503289999998</v>
      </c>
      <c r="EB13" s="79">
        <f t="shared" si="82"/>
        <v>17.7165249</v>
      </c>
      <c r="EC13" s="77">
        <f t="shared" si="83"/>
        <v>0.8669505000000001</v>
      </c>
      <c r="ED13" s="79"/>
      <c r="EE13" s="78">
        <f t="shared" si="156"/>
        <v>1.272</v>
      </c>
      <c r="EF13" s="78">
        <f t="shared" si="84"/>
        <v>111.78666720000001</v>
      </c>
      <c r="EG13" s="78">
        <f t="shared" si="85"/>
        <v>113.05866720000002</v>
      </c>
      <c r="EH13" s="79">
        <f t="shared" si="86"/>
        <v>23.3165232</v>
      </c>
      <c r="EI13" s="77">
        <f t="shared" si="87"/>
        <v>1.140984</v>
      </c>
      <c r="EJ13" s="79"/>
      <c r="EK13" s="78">
        <f t="shared" si="157"/>
        <v>64.0935</v>
      </c>
      <c r="EL13" s="78">
        <f t="shared" si="88"/>
        <v>5632.7034231</v>
      </c>
      <c r="EM13" s="78">
        <f t="shared" si="89"/>
        <v>5696.7969231</v>
      </c>
      <c r="EN13" s="79">
        <f t="shared" si="90"/>
        <v>1174.8723111000002</v>
      </c>
      <c r="EO13" s="77">
        <f t="shared" si="91"/>
        <v>57.4918695</v>
      </c>
      <c r="EP13" s="79"/>
      <c r="EQ13" s="78">
        <f t="shared" si="158"/>
        <v>1.2200000000000002</v>
      </c>
      <c r="ER13" s="78">
        <f t="shared" si="92"/>
        <v>107.216772</v>
      </c>
      <c r="ES13" s="78">
        <f t="shared" si="93"/>
        <v>108.436772</v>
      </c>
      <c r="ET13" s="79">
        <f t="shared" si="94"/>
        <v>22.363332</v>
      </c>
      <c r="EU13" s="77">
        <f t="shared" si="95"/>
        <v>1.0943399999999999</v>
      </c>
      <c r="EV13" s="79"/>
      <c r="EW13" s="78">
        <f t="shared" si="159"/>
        <v>18.2295</v>
      </c>
      <c r="EX13" s="78">
        <f t="shared" si="96"/>
        <v>1602.0558567</v>
      </c>
      <c r="EY13" s="78">
        <f t="shared" si="97"/>
        <v>1620.2853567</v>
      </c>
      <c r="EZ13" s="79">
        <f t="shared" si="98"/>
        <v>334.15767270000003</v>
      </c>
      <c r="FA13" s="77">
        <f t="shared" si="99"/>
        <v>16.351861500000002</v>
      </c>
      <c r="FB13" s="79"/>
      <c r="FC13" s="78">
        <f t="shared" si="160"/>
        <v>12.663499999999999</v>
      </c>
      <c r="FD13" s="78">
        <f t="shared" si="100"/>
        <v>1112.9013051</v>
      </c>
      <c r="FE13" s="78">
        <f t="shared" si="101"/>
        <v>1125.5648050999998</v>
      </c>
      <c r="FF13" s="79">
        <f t="shared" si="102"/>
        <v>232.1295531</v>
      </c>
      <c r="FG13" s="77">
        <f t="shared" si="103"/>
        <v>11.3591595</v>
      </c>
      <c r="FH13" s="79"/>
      <c r="FI13" s="78">
        <f t="shared" si="161"/>
        <v>4.9435</v>
      </c>
      <c r="FJ13" s="78">
        <f t="shared" si="104"/>
        <v>434.4476331</v>
      </c>
      <c r="FK13" s="78">
        <f t="shared" si="105"/>
        <v>439.39113310000005</v>
      </c>
      <c r="FL13" s="79">
        <f t="shared" si="106"/>
        <v>90.6173211</v>
      </c>
      <c r="FM13" s="77">
        <f t="shared" si="107"/>
        <v>4.4343195</v>
      </c>
      <c r="FN13" s="79"/>
      <c r="FO13" s="78">
        <f t="shared" si="162"/>
        <v>55.5555</v>
      </c>
      <c r="FP13" s="78">
        <f t="shared" si="108"/>
        <v>4882.3617843</v>
      </c>
      <c r="FQ13" s="78">
        <f t="shared" si="109"/>
        <v>4937.917284300001</v>
      </c>
      <c r="FR13" s="79">
        <f t="shared" si="110"/>
        <v>1018.3656483000001</v>
      </c>
      <c r="FS13" s="77">
        <f t="shared" si="111"/>
        <v>49.8332835</v>
      </c>
      <c r="FT13" s="79"/>
      <c r="FU13" s="78">
        <f t="shared" si="163"/>
        <v>125.211</v>
      </c>
      <c r="FV13" s="78">
        <f t="shared" si="112"/>
        <v>11003.8682286</v>
      </c>
      <c r="FW13" s="78">
        <f t="shared" si="113"/>
        <v>11129.0792286</v>
      </c>
      <c r="FX13" s="79">
        <f t="shared" si="114"/>
        <v>2295.1927566</v>
      </c>
      <c r="FY13" s="77">
        <f t="shared" si="115"/>
        <v>112.314267</v>
      </c>
      <c r="FZ13" s="79"/>
      <c r="GA13" s="78">
        <f t="shared" si="164"/>
        <v>15.978500000000002</v>
      </c>
      <c r="GB13" s="78">
        <f t="shared" si="116"/>
        <v>1404.2321241</v>
      </c>
      <c r="GC13" s="78">
        <f t="shared" si="117"/>
        <v>1420.2106241</v>
      </c>
      <c r="GD13" s="79">
        <f t="shared" si="118"/>
        <v>292.8954921</v>
      </c>
      <c r="GE13" s="77">
        <f t="shared" si="119"/>
        <v>14.3327145</v>
      </c>
      <c r="GF13" s="79"/>
      <c r="GG13" s="78">
        <f t="shared" si="165"/>
        <v>25.374000000000002</v>
      </c>
      <c r="GH13" s="78">
        <f t="shared" si="120"/>
        <v>2229.9330924000005</v>
      </c>
      <c r="GI13" s="78">
        <f t="shared" si="121"/>
        <v>2255.3070924000003</v>
      </c>
      <c r="GJ13" s="79">
        <f t="shared" si="122"/>
        <v>465.1206444</v>
      </c>
      <c r="GK13" s="77">
        <f t="shared" si="123"/>
        <v>22.760478</v>
      </c>
      <c r="GL13" s="79"/>
      <c r="GM13" s="78">
        <f t="shared" si="166"/>
        <v>117.59450000000001</v>
      </c>
      <c r="GN13" s="78">
        <f t="shared" si="124"/>
        <v>10334.5104057</v>
      </c>
      <c r="GO13" s="78">
        <f t="shared" si="125"/>
        <v>10452.1049057</v>
      </c>
      <c r="GP13" s="79">
        <f t="shared" si="126"/>
        <v>2155.5777417</v>
      </c>
      <c r="GQ13" s="77">
        <f t="shared" si="127"/>
        <v>105.4822665</v>
      </c>
      <c r="GR13" s="79"/>
      <c r="GS13" s="78">
        <f t="shared" si="167"/>
        <v>6.2410000000000005</v>
      </c>
      <c r="GT13" s="78">
        <f t="shared" si="128"/>
        <v>548.4753066</v>
      </c>
      <c r="GU13" s="78">
        <f t="shared" si="129"/>
        <v>554.7163065999999</v>
      </c>
      <c r="GV13" s="79">
        <f t="shared" si="130"/>
        <v>114.40127460000001</v>
      </c>
      <c r="GW13" s="77">
        <f t="shared" si="131"/>
        <v>5.598177000000001</v>
      </c>
      <c r="GX13" s="79"/>
      <c r="GY13" s="78">
        <f t="shared" si="168"/>
        <v>35.782000000000004</v>
      </c>
      <c r="GZ13" s="78">
        <f t="shared" si="132"/>
        <v>3144.6151932000002</v>
      </c>
      <c r="HA13" s="78">
        <f t="shared" si="133"/>
        <v>3180.3971932000004</v>
      </c>
      <c r="HB13" s="79">
        <f t="shared" si="134"/>
        <v>655.9055292</v>
      </c>
      <c r="HC13" s="77">
        <f t="shared" si="135"/>
        <v>32.096454</v>
      </c>
      <c r="HD13" s="79"/>
      <c r="HE13" s="79"/>
      <c r="HF13" s="79"/>
      <c r="HG13" s="79"/>
      <c r="HH13" s="79"/>
      <c r="HI13" s="79"/>
    </row>
    <row r="14" spans="1:217" s="52" customFormat="1" ht="12.75">
      <c r="A14" s="51">
        <v>44105</v>
      </c>
      <c r="C14" s="42"/>
      <c r="D14" s="42">
        <v>439338</v>
      </c>
      <c r="E14" s="77">
        <f t="shared" si="0"/>
        <v>439338</v>
      </c>
      <c r="F14" s="77">
        <v>91653</v>
      </c>
      <c r="G14" s="77">
        <v>4485</v>
      </c>
      <c r="H14" s="79"/>
      <c r="I14" s="79"/>
      <c r="J14" s="79">
        <f t="shared" si="1"/>
        <v>238484.04525420006</v>
      </c>
      <c r="K14" s="79">
        <f t="shared" si="2"/>
        <v>238484.04525420006</v>
      </c>
      <c r="L14" s="79">
        <f t="shared" si="3"/>
        <v>49751.6222127</v>
      </c>
      <c r="M14" s="79">
        <f t="shared" si="3"/>
        <v>2434.5741615</v>
      </c>
      <c r="N14" s="79"/>
      <c r="O14" s="78"/>
      <c r="P14" s="78">
        <f t="shared" si="4"/>
        <v>29060.099877599998</v>
      </c>
      <c r="Q14" s="79">
        <f t="shared" si="5"/>
        <v>29060.099877599998</v>
      </c>
      <c r="R14" s="79">
        <f t="shared" si="6"/>
        <v>6062.4060156000005</v>
      </c>
      <c r="S14" s="77">
        <f t="shared" si="7"/>
        <v>296.661222</v>
      </c>
      <c r="T14" s="79"/>
      <c r="U14" s="78"/>
      <c r="V14" s="78">
        <f t="shared" si="8"/>
        <v>496.2762048000001</v>
      </c>
      <c r="W14" s="78">
        <f t="shared" si="9"/>
        <v>496.2762048000001</v>
      </c>
      <c r="X14" s="79">
        <f t="shared" si="10"/>
        <v>103.5312288</v>
      </c>
      <c r="Y14" s="77">
        <f t="shared" si="11"/>
        <v>5.066255999999999</v>
      </c>
      <c r="Z14" s="79"/>
      <c r="AA14" s="79"/>
      <c r="AB14" s="78">
        <f t="shared" si="12"/>
        <v>2240.3601971999997</v>
      </c>
      <c r="AC14" s="78">
        <f t="shared" si="13"/>
        <v>2240.3601971999997</v>
      </c>
      <c r="AD14" s="79">
        <f t="shared" si="14"/>
        <v>467.37530819999995</v>
      </c>
      <c r="AE14" s="77">
        <f t="shared" si="15"/>
        <v>22.870808999999998</v>
      </c>
      <c r="AF14" s="79"/>
      <c r="AG14" s="78"/>
      <c r="AH14" s="78">
        <f t="shared" si="16"/>
        <v>38960.3620386</v>
      </c>
      <c r="AI14" s="78">
        <f t="shared" si="17"/>
        <v>38960.3620386</v>
      </c>
      <c r="AJ14" s="79">
        <f t="shared" si="18"/>
        <v>8127.7605441</v>
      </c>
      <c r="AK14" s="77">
        <f t="shared" si="19"/>
        <v>397.7284545</v>
      </c>
      <c r="AL14" s="79"/>
      <c r="AM14" s="78"/>
      <c r="AN14" s="78">
        <f t="shared" si="20"/>
        <v>471.93687960000005</v>
      </c>
      <c r="AO14" s="78">
        <f t="shared" si="21"/>
        <v>471.93687960000005</v>
      </c>
      <c r="AP14" s="79">
        <f t="shared" si="22"/>
        <v>98.4536526</v>
      </c>
      <c r="AQ14" s="77">
        <f t="shared" si="23"/>
        <v>4.817787</v>
      </c>
      <c r="AR14" s="78"/>
      <c r="AS14" s="78"/>
      <c r="AT14" s="78">
        <f t="shared" si="24"/>
        <v>397.9962942</v>
      </c>
      <c r="AU14" s="78">
        <f t="shared" si="25"/>
        <v>397.9962942</v>
      </c>
      <c r="AV14" s="79">
        <f t="shared" si="26"/>
        <v>83.0284527</v>
      </c>
      <c r="AW14" s="77">
        <f t="shared" si="27"/>
        <v>4.0629615</v>
      </c>
      <c r="AX14" s="79"/>
      <c r="AY14" s="78"/>
      <c r="AZ14" s="78">
        <f t="shared" si="28"/>
        <v>16328.7875784</v>
      </c>
      <c r="BA14" s="78">
        <f t="shared" si="29"/>
        <v>16328.7875784</v>
      </c>
      <c r="BB14" s="79">
        <f t="shared" si="30"/>
        <v>3406.4487204</v>
      </c>
      <c r="BC14" s="77">
        <f t="shared" si="31"/>
        <v>166.693098</v>
      </c>
      <c r="BD14" s="79"/>
      <c r="BE14" s="78"/>
      <c r="BF14" s="78">
        <f t="shared" si="32"/>
        <v>33504.9263574</v>
      </c>
      <c r="BG14" s="78">
        <f t="shared" si="33"/>
        <v>33504.9263574</v>
      </c>
      <c r="BH14" s="79">
        <f t="shared" si="34"/>
        <v>6989.6685819</v>
      </c>
      <c r="BI14" s="77">
        <f t="shared" si="35"/>
        <v>342.03641550000003</v>
      </c>
      <c r="BJ14" s="79"/>
      <c r="BK14" s="78"/>
      <c r="BL14" s="78">
        <f t="shared" si="36"/>
        <v>386.79317519999995</v>
      </c>
      <c r="BM14" s="78">
        <f t="shared" si="37"/>
        <v>386.79317519999995</v>
      </c>
      <c r="BN14" s="79">
        <f t="shared" si="38"/>
        <v>80.6913012</v>
      </c>
      <c r="BO14" s="77">
        <f t="shared" si="39"/>
        <v>3.9485940000000004</v>
      </c>
      <c r="BP14" s="79"/>
      <c r="BQ14" s="78"/>
      <c r="BR14" s="78">
        <f t="shared" si="40"/>
        <v>259.8244932</v>
      </c>
      <c r="BS14" s="78">
        <f t="shared" si="41"/>
        <v>259.8244932</v>
      </c>
      <c r="BT14" s="79">
        <f t="shared" si="42"/>
        <v>54.203584199999995</v>
      </c>
      <c r="BU14" s="77">
        <f t="shared" si="43"/>
        <v>2.6524289999999997</v>
      </c>
      <c r="BV14" s="79"/>
      <c r="BW14" s="78"/>
      <c r="BX14" s="78">
        <f t="shared" si="44"/>
        <v>-38.7056778</v>
      </c>
      <c r="BY14" s="78">
        <f t="shared" si="45"/>
        <v>-38.7056778</v>
      </c>
      <c r="BZ14" s="79">
        <f t="shared" si="46"/>
        <v>-8.0746293</v>
      </c>
      <c r="CA14" s="77">
        <f t="shared" si="47"/>
        <v>-0.3951285</v>
      </c>
      <c r="CB14" s="78"/>
      <c r="CC14" s="78"/>
      <c r="CD14" s="78">
        <f t="shared" si="48"/>
        <v>-25.218001200000003</v>
      </c>
      <c r="CE14" s="78">
        <f t="shared" si="49"/>
        <v>-25.218001200000003</v>
      </c>
      <c r="CF14" s="79">
        <f t="shared" si="50"/>
        <v>-5.2608822</v>
      </c>
      <c r="CG14" s="77">
        <f t="shared" si="51"/>
        <v>-0.257439</v>
      </c>
      <c r="CH14" s="79"/>
      <c r="CI14" s="78"/>
      <c r="CJ14" s="78">
        <f t="shared" si="52"/>
        <v>937.8108948000001</v>
      </c>
      <c r="CK14" s="78">
        <f t="shared" si="53"/>
        <v>937.8108948000001</v>
      </c>
      <c r="CL14" s="79">
        <f t="shared" si="54"/>
        <v>195.64249379999998</v>
      </c>
      <c r="CM14" s="77">
        <f t="shared" si="55"/>
        <v>9.573681</v>
      </c>
      <c r="CN14" s="79"/>
      <c r="CO14" s="78"/>
      <c r="CP14" s="78">
        <f t="shared" si="56"/>
        <v>5767.189926</v>
      </c>
      <c r="CQ14" s="78">
        <f t="shared" si="57"/>
        <v>5767.189926</v>
      </c>
      <c r="CR14" s="79">
        <f t="shared" si="58"/>
        <v>1203.128931</v>
      </c>
      <c r="CS14" s="77">
        <f t="shared" si="59"/>
        <v>58.874595</v>
      </c>
      <c r="CT14" s="79"/>
      <c r="CU14" s="78"/>
      <c r="CV14" s="78">
        <f t="shared" si="60"/>
        <v>38743.0654638</v>
      </c>
      <c r="CW14" s="78">
        <f t="shared" si="61"/>
        <v>38743.0654638</v>
      </c>
      <c r="CX14" s="79">
        <f t="shared" si="62"/>
        <v>8082.4289703</v>
      </c>
      <c r="CY14" s="77">
        <f t="shared" si="63"/>
        <v>395.5101735</v>
      </c>
      <c r="CZ14" s="79"/>
      <c r="DA14" s="78"/>
      <c r="DB14" s="78">
        <f t="shared" si="64"/>
        <v>5589.785241599999</v>
      </c>
      <c r="DC14" s="78">
        <f t="shared" si="65"/>
        <v>5589.785241599999</v>
      </c>
      <c r="DD14" s="79">
        <f t="shared" si="66"/>
        <v>1166.1194496</v>
      </c>
      <c r="DE14" s="77">
        <f t="shared" si="67"/>
        <v>57.063552</v>
      </c>
      <c r="DF14" s="79"/>
      <c r="DG14" s="78"/>
      <c r="DH14" s="78">
        <f t="shared" si="68"/>
        <v>11421.557853600001</v>
      </c>
      <c r="DI14" s="78">
        <f t="shared" si="69"/>
        <v>11421.557853600001</v>
      </c>
      <c r="DJ14" s="79">
        <f t="shared" si="70"/>
        <v>2382.7213716</v>
      </c>
      <c r="DK14" s="77">
        <f t="shared" si="71"/>
        <v>116.597442</v>
      </c>
      <c r="DL14" s="79"/>
      <c r="DM14" s="78"/>
      <c r="DN14" s="78">
        <f t="shared" si="72"/>
        <v>1852.3368756</v>
      </c>
      <c r="DO14" s="78">
        <f t="shared" si="73"/>
        <v>1852.3368756</v>
      </c>
      <c r="DP14" s="79">
        <f t="shared" si="74"/>
        <v>386.4273786</v>
      </c>
      <c r="DQ14" s="77">
        <f t="shared" si="75"/>
        <v>18.909657</v>
      </c>
      <c r="DR14" s="79"/>
      <c r="DS14" s="78"/>
      <c r="DT14" s="78">
        <f t="shared" si="76"/>
        <v>9502.0901316</v>
      </c>
      <c r="DU14" s="78">
        <f t="shared" si="77"/>
        <v>9502.0901316</v>
      </c>
      <c r="DV14" s="79">
        <f t="shared" si="78"/>
        <v>1982.2894146</v>
      </c>
      <c r="DW14" s="77">
        <f t="shared" si="79"/>
        <v>97.002477</v>
      </c>
      <c r="DX14" s="79"/>
      <c r="DY14" s="78"/>
      <c r="DZ14" s="78">
        <f t="shared" si="80"/>
        <v>84.9240354</v>
      </c>
      <c r="EA14" s="78">
        <f t="shared" si="81"/>
        <v>84.9240354</v>
      </c>
      <c r="EB14" s="79">
        <f t="shared" si="82"/>
        <v>17.7165249</v>
      </c>
      <c r="EC14" s="77">
        <f t="shared" si="83"/>
        <v>0.8669505000000001</v>
      </c>
      <c r="ED14" s="79"/>
      <c r="EE14" s="78"/>
      <c r="EF14" s="78">
        <f t="shared" si="84"/>
        <v>111.7675872</v>
      </c>
      <c r="EG14" s="78">
        <f t="shared" si="85"/>
        <v>111.7675872</v>
      </c>
      <c r="EH14" s="79">
        <f t="shared" si="86"/>
        <v>23.3165232</v>
      </c>
      <c r="EI14" s="77">
        <f t="shared" si="87"/>
        <v>1.140984</v>
      </c>
      <c r="EJ14" s="79"/>
      <c r="EK14" s="78"/>
      <c r="EL14" s="78">
        <f t="shared" si="88"/>
        <v>5631.742020600001</v>
      </c>
      <c r="EM14" s="78">
        <f t="shared" si="89"/>
        <v>5631.742020600001</v>
      </c>
      <c r="EN14" s="79">
        <f t="shared" si="90"/>
        <v>1174.8723111000002</v>
      </c>
      <c r="EO14" s="77">
        <f t="shared" si="91"/>
        <v>57.4918695</v>
      </c>
      <c r="EP14" s="79"/>
      <c r="EQ14" s="78"/>
      <c r="ER14" s="78">
        <f t="shared" si="92"/>
        <v>107.198472</v>
      </c>
      <c r="ES14" s="78">
        <f t="shared" si="93"/>
        <v>107.198472</v>
      </c>
      <c r="ET14" s="79">
        <f t="shared" si="94"/>
        <v>22.363332</v>
      </c>
      <c r="EU14" s="77">
        <f t="shared" si="95"/>
        <v>1.0943399999999999</v>
      </c>
      <c r="EV14" s="79"/>
      <c r="EW14" s="78"/>
      <c r="EX14" s="78">
        <f t="shared" si="96"/>
        <v>1601.7824142</v>
      </c>
      <c r="EY14" s="78">
        <f t="shared" si="97"/>
        <v>1601.7824142</v>
      </c>
      <c r="EZ14" s="79">
        <f t="shared" si="98"/>
        <v>334.15767270000003</v>
      </c>
      <c r="FA14" s="77">
        <f t="shared" si="99"/>
        <v>16.351861500000002</v>
      </c>
      <c r="FB14" s="79"/>
      <c r="FC14" s="78"/>
      <c r="FD14" s="78">
        <f t="shared" si="100"/>
        <v>1112.7113526</v>
      </c>
      <c r="FE14" s="78">
        <f t="shared" si="101"/>
        <v>1112.7113526</v>
      </c>
      <c r="FF14" s="79">
        <f t="shared" si="102"/>
        <v>232.1295531</v>
      </c>
      <c r="FG14" s="77">
        <f t="shared" si="103"/>
        <v>11.3591595</v>
      </c>
      <c r="FH14" s="79"/>
      <c r="FI14" s="78"/>
      <c r="FJ14" s="78">
        <f t="shared" si="104"/>
        <v>434.3734806</v>
      </c>
      <c r="FK14" s="78">
        <f t="shared" si="105"/>
        <v>434.3734806</v>
      </c>
      <c r="FL14" s="79">
        <f t="shared" si="106"/>
        <v>90.6173211</v>
      </c>
      <c r="FM14" s="77">
        <f t="shared" si="107"/>
        <v>4.4343195</v>
      </c>
      <c r="FN14" s="79"/>
      <c r="FO14" s="78"/>
      <c r="FP14" s="78">
        <f t="shared" si="108"/>
        <v>4881.5284518</v>
      </c>
      <c r="FQ14" s="78">
        <f t="shared" si="109"/>
        <v>4881.5284518</v>
      </c>
      <c r="FR14" s="79">
        <f t="shared" si="110"/>
        <v>1018.3656483000001</v>
      </c>
      <c r="FS14" s="77">
        <f t="shared" si="111"/>
        <v>49.8332835</v>
      </c>
      <c r="FT14" s="79"/>
      <c r="FU14" s="78"/>
      <c r="FV14" s="78">
        <f t="shared" si="112"/>
        <v>11001.9900636</v>
      </c>
      <c r="FW14" s="78">
        <f t="shared" si="113"/>
        <v>11001.9900636</v>
      </c>
      <c r="FX14" s="79">
        <f t="shared" si="114"/>
        <v>2295.1927566</v>
      </c>
      <c r="FY14" s="77">
        <f t="shared" si="115"/>
        <v>112.314267</v>
      </c>
      <c r="FZ14" s="79"/>
      <c r="GA14" s="78"/>
      <c r="GB14" s="78">
        <f t="shared" si="116"/>
        <v>1403.9924466</v>
      </c>
      <c r="GC14" s="78">
        <f t="shared" si="117"/>
        <v>1403.9924466</v>
      </c>
      <c r="GD14" s="79">
        <f t="shared" si="118"/>
        <v>292.8954921</v>
      </c>
      <c r="GE14" s="77">
        <f t="shared" si="119"/>
        <v>14.3327145</v>
      </c>
      <c r="GF14" s="79"/>
      <c r="GG14" s="78"/>
      <c r="GH14" s="78">
        <f t="shared" si="120"/>
        <v>2229.5524824000004</v>
      </c>
      <c r="GI14" s="78">
        <f t="shared" si="121"/>
        <v>2229.5524824000004</v>
      </c>
      <c r="GJ14" s="79">
        <f t="shared" si="122"/>
        <v>465.1206444</v>
      </c>
      <c r="GK14" s="77">
        <f t="shared" si="123"/>
        <v>22.760478</v>
      </c>
      <c r="GL14" s="79"/>
      <c r="GM14" s="78"/>
      <c r="GN14" s="78">
        <f t="shared" si="124"/>
        <v>10332.7464882</v>
      </c>
      <c r="GO14" s="78">
        <f t="shared" si="125"/>
        <v>10332.7464882</v>
      </c>
      <c r="GP14" s="79">
        <f t="shared" si="126"/>
        <v>2155.5777417</v>
      </c>
      <c r="GQ14" s="77">
        <f t="shared" si="127"/>
        <v>105.4822665</v>
      </c>
      <c r="GR14" s="79"/>
      <c r="GS14" s="78"/>
      <c r="GT14" s="78">
        <f t="shared" si="128"/>
        <v>548.3816916</v>
      </c>
      <c r="GU14" s="78">
        <f t="shared" si="129"/>
        <v>548.3816916</v>
      </c>
      <c r="GV14" s="79">
        <f t="shared" si="130"/>
        <v>114.40127460000001</v>
      </c>
      <c r="GW14" s="77">
        <f t="shared" si="131"/>
        <v>5.598177000000001</v>
      </c>
      <c r="GX14" s="79"/>
      <c r="GY14" s="78"/>
      <c r="GZ14" s="78">
        <f t="shared" si="132"/>
        <v>3144.0784632</v>
      </c>
      <c r="HA14" s="78">
        <f t="shared" si="133"/>
        <v>3144.0784632</v>
      </c>
      <c r="HB14" s="79">
        <f t="shared" si="134"/>
        <v>655.9055292</v>
      </c>
      <c r="HC14" s="77">
        <f t="shared" si="135"/>
        <v>32.096454</v>
      </c>
      <c r="HD14" s="79"/>
      <c r="HE14" s="79"/>
      <c r="HF14" s="79"/>
      <c r="HG14" s="79"/>
      <c r="HH14" s="79"/>
      <c r="HI14" s="79"/>
    </row>
    <row r="15" spans="1:217" s="52" customFormat="1" ht="12.75">
      <c r="A15" s="51">
        <v>44287</v>
      </c>
      <c r="C15" s="42">
        <v>5000</v>
      </c>
      <c r="D15" s="42">
        <v>439338</v>
      </c>
      <c r="E15" s="77">
        <f t="shared" si="0"/>
        <v>444338</v>
      </c>
      <c r="F15" s="77">
        <v>91653</v>
      </c>
      <c r="G15" s="77">
        <v>4485</v>
      </c>
      <c r="H15" s="79"/>
      <c r="I15" s="79">
        <f>O15+U15+AA15+AG15+AM15+AS15+AY15+BE15+BK15+BQ15+BW15+CC15+CI15+CO15+CU15+DA15+DG15+DM15+DS15+DY15+EE15+EK15+EQ15+EW15+FC15+FI15+FO15+FU15+GA15+GG15+GM15+GS15+GY15</f>
        <v>2714.1295</v>
      </c>
      <c r="J15" s="79">
        <f t="shared" si="1"/>
        <v>238484.04525420006</v>
      </c>
      <c r="K15" s="79">
        <f t="shared" si="2"/>
        <v>241198.17475420007</v>
      </c>
      <c r="L15" s="79">
        <f t="shared" si="3"/>
        <v>49751.6222127</v>
      </c>
      <c r="M15" s="79">
        <f t="shared" si="3"/>
        <v>2434.5741615</v>
      </c>
      <c r="N15" s="79"/>
      <c r="O15" s="78">
        <f t="shared" si="136"/>
        <v>330.726</v>
      </c>
      <c r="P15" s="78">
        <f t="shared" si="4"/>
        <v>29060.099877599998</v>
      </c>
      <c r="Q15" s="79">
        <f t="shared" si="5"/>
        <v>29390.825877599997</v>
      </c>
      <c r="R15" s="79">
        <f t="shared" si="6"/>
        <v>6062.4060156000005</v>
      </c>
      <c r="S15" s="77">
        <f t="shared" si="7"/>
        <v>296.661222</v>
      </c>
      <c r="T15" s="79"/>
      <c r="U15" s="78">
        <f t="shared" si="137"/>
        <v>5.648000000000001</v>
      </c>
      <c r="V15" s="78">
        <f t="shared" si="8"/>
        <v>496.2762048000001</v>
      </c>
      <c r="W15" s="78">
        <f t="shared" si="9"/>
        <v>501.9242048000001</v>
      </c>
      <c r="X15" s="79">
        <f t="shared" si="10"/>
        <v>103.5312288</v>
      </c>
      <c r="Y15" s="77">
        <f t="shared" si="11"/>
        <v>5.066255999999999</v>
      </c>
      <c r="Z15" s="79"/>
      <c r="AA15" s="79">
        <f t="shared" si="138"/>
        <v>25.497</v>
      </c>
      <c r="AB15" s="78">
        <f t="shared" si="12"/>
        <v>2240.3601971999997</v>
      </c>
      <c r="AC15" s="78">
        <f t="shared" si="13"/>
        <v>2265.8571971999995</v>
      </c>
      <c r="AD15" s="79">
        <f t="shared" si="14"/>
        <v>467.37530819999995</v>
      </c>
      <c r="AE15" s="77">
        <f t="shared" si="15"/>
        <v>22.870808999999998</v>
      </c>
      <c r="AF15" s="79"/>
      <c r="AG15" s="78">
        <f t="shared" si="139"/>
        <v>443.3985</v>
      </c>
      <c r="AH15" s="78">
        <f t="shared" si="16"/>
        <v>38960.3620386</v>
      </c>
      <c r="AI15" s="78">
        <f t="shared" si="17"/>
        <v>39403.7605386</v>
      </c>
      <c r="AJ15" s="79">
        <f t="shared" si="18"/>
        <v>8127.7605441</v>
      </c>
      <c r="AK15" s="77">
        <f t="shared" si="19"/>
        <v>397.7284545</v>
      </c>
      <c r="AL15" s="79"/>
      <c r="AM15" s="78">
        <f t="shared" si="140"/>
        <v>5.371</v>
      </c>
      <c r="AN15" s="78">
        <f t="shared" si="20"/>
        <v>471.93687960000005</v>
      </c>
      <c r="AO15" s="78">
        <f t="shared" si="21"/>
        <v>477.30787960000004</v>
      </c>
      <c r="AP15" s="79">
        <f t="shared" si="22"/>
        <v>98.4536526</v>
      </c>
      <c r="AQ15" s="77">
        <f t="shared" si="23"/>
        <v>4.817787</v>
      </c>
      <c r="AR15" s="78"/>
      <c r="AS15" s="78">
        <f t="shared" si="141"/>
        <v>4.5295000000000005</v>
      </c>
      <c r="AT15" s="78">
        <f t="shared" si="24"/>
        <v>397.9962942</v>
      </c>
      <c r="AU15" s="78">
        <f t="shared" si="25"/>
        <v>402.5257942</v>
      </c>
      <c r="AV15" s="79">
        <f t="shared" si="26"/>
        <v>83.0284527</v>
      </c>
      <c r="AW15" s="77">
        <f t="shared" si="27"/>
        <v>4.0629615</v>
      </c>
      <c r="AX15" s="79"/>
      <c r="AY15" s="78">
        <f t="shared" si="142"/>
        <v>185.834</v>
      </c>
      <c r="AZ15" s="78">
        <f t="shared" si="28"/>
        <v>16328.7875784</v>
      </c>
      <c r="BA15" s="78">
        <f t="shared" si="29"/>
        <v>16514.6215784</v>
      </c>
      <c r="BB15" s="79">
        <f t="shared" si="30"/>
        <v>3406.4487204</v>
      </c>
      <c r="BC15" s="77">
        <f t="shared" si="31"/>
        <v>166.693098</v>
      </c>
      <c r="BD15" s="79"/>
      <c r="BE15" s="78">
        <f t="shared" si="143"/>
        <v>381.3115</v>
      </c>
      <c r="BF15" s="78">
        <f t="shared" si="32"/>
        <v>33504.9263574</v>
      </c>
      <c r="BG15" s="78">
        <f t="shared" si="33"/>
        <v>33886.2378574</v>
      </c>
      <c r="BH15" s="79">
        <f t="shared" si="34"/>
        <v>6989.6685819</v>
      </c>
      <c r="BI15" s="77">
        <f t="shared" si="35"/>
        <v>342.03641550000003</v>
      </c>
      <c r="BJ15" s="79"/>
      <c r="BK15" s="78">
        <f t="shared" si="144"/>
        <v>4.402</v>
      </c>
      <c r="BL15" s="78">
        <f t="shared" si="36"/>
        <v>386.79317519999995</v>
      </c>
      <c r="BM15" s="78">
        <f t="shared" si="37"/>
        <v>391.19517519999994</v>
      </c>
      <c r="BN15" s="79">
        <f t="shared" si="38"/>
        <v>80.6913012</v>
      </c>
      <c r="BO15" s="77">
        <f t="shared" si="39"/>
        <v>3.9485940000000004</v>
      </c>
      <c r="BP15" s="79"/>
      <c r="BQ15" s="78">
        <f t="shared" si="145"/>
        <v>2.957</v>
      </c>
      <c r="BR15" s="78">
        <f t="shared" si="40"/>
        <v>259.8244932</v>
      </c>
      <c r="BS15" s="78">
        <f t="shared" si="41"/>
        <v>262.7814932</v>
      </c>
      <c r="BT15" s="79">
        <f t="shared" si="42"/>
        <v>54.203584199999995</v>
      </c>
      <c r="BU15" s="77">
        <f t="shared" si="43"/>
        <v>2.6524289999999997</v>
      </c>
      <c r="BV15" s="79"/>
      <c r="BW15" s="78">
        <f t="shared" si="146"/>
        <v>-0.44049999999999995</v>
      </c>
      <c r="BX15" s="78">
        <f t="shared" si="44"/>
        <v>-38.7056778</v>
      </c>
      <c r="BY15" s="78">
        <f t="shared" si="45"/>
        <v>-39.1461778</v>
      </c>
      <c r="BZ15" s="79">
        <f t="shared" si="46"/>
        <v>-8.0746293</v>
      </c>
      <c r="CA15" s="77">
        <f t="shared" si="47"/>
        <v>-0.3951285</v>
      </c>
      <c r="CB15" s="78"/>
      <c r="CC15" s="78">
        <f t="shared" si="147"/>
        <v>-0.28700000000000003</v>
      </c>
      <c r="CD15" s="78">
        <f t="shared" si="48"/>
        <v>-25.218001200000003</v>
      </c>
      <c r="CE15" s="78">
        <f t="shared" si="49"/>
        <v>-25.505001200000002</v>
      </c>
      <c r="CF15" s="79">
        <f t="shared" si="50"/>
        <v>-5.2608822</v>
      </c>
      <c r="CG15" s="77">
        <f t="shared" si="51"/>
        <v>-0.257439</v>
      </c>
      <c r="CH15" s="79"/>
      <c r="CI15" s="78">
        <f t="shared" si="148"/>
        <v>10.673</v>
      </c>
      <c r="CJ15" s="78">
        <f t="shared" si="52"/>
        <v>937.8108948000001</v>
      </c>
      <c r="CK15" s="78">
        <f t="shared" si="53"/>
        <v>948.4838948000001</v>
      </c>
      <c r="CL15" s="79">
        <f t="shared" si="54"/>
        <v>195.64249379999998</v>
      </c>
      <c r="CM15" s="77">
        <f t="shared" si="55"/>
        <v>9.573681</v>
      </c>
      <c r="CN15" s="79"/>
      <c r="CO15" s="78">
        <f t="shared" si="149"/>
        <v>65.635</v>
      </c>
      <c r="CP15" s="78">
        <f t="shared" si="56"/>
        <v>5767.189926</v>
      </c>
      <c r="CQ15" s="78">
        <f t="shared" si="57"/>
        <v>5832.824926</v>
      </c>
      <c r="CR15" s="79">
        <f t="shared" si="58"/>
        <v>1203.128931</v>
      </c>
      <c r="CS15" s="77">
        <f t="shared" si="59"/>
        <v>58.874595</v>
      </c>
      <c r="CT15" s="79"/>
      <c r="CU15" s="78">
        <f t="shared" si="150"/>
        <v>440.92549999999994</v>
      </c>
      <c r="CV15" s="78">
        <f t="shared" si="60"/>
        <v>38743.0654638</v>
      </c>
      <c r="CW15" s="78">
        <f t="shared" si="61"/>
        <v>39183.990963799995</v>
      </c>
      <c r="CX15" s="79">
        <f t="shared" si="62"/>
        <v>8082.4289703</v>
      </c>
      <c r="CY15" s="77">
        <f t="shared" si="63"/>
        <v>395.5101735</v>
      </c>
      <c r="CZ15" s="79"/>
      <c r="DA15" s="78">
        <f t="shared" si="151"/>
        <v>63.61599999999999</v>
      </c>
      <c r="DB15" s="78">
        <f t="shared" si="64"/>
        <v>5589.785241599999</v>
      </c>
      <c r="DC15" s="78">
        <f t="shared" si="65"/>
        <v>5653.401241599999</v>
      </c>
      <c r="DD15" s="79">
        <f t="shared" si="66"/>
        <v>1166.1194496</v>
      </c>
      <c r="DE15" s="77">
        <f t="shared" si="67"/>
        <v>57.063552</v>
      </c>
      <c r="DF15" s="79"/>
      <c r="DG15" s="78">
        <f t="shared" si="152"/>
        <v>129.986</v>
      </c>
      <c r="DH15" s="78">
        <f t="shared" si="68"/>
        <v>11421.557853600001</v>
      </c>
      <c r="DI15" s="78">
        <f t="shared" si="69"/>
        <v>11551.543853600002</v>
      </c>
      <c r="DJ15" s="79">
        <f t="shared" si="70"/>
        <v>2382.7213716</v>
      </c>
      <c r="DK15" s="77">
        <f t="shared" si="71"/>
        <v>116.597442</v>
      </c>
      <c r="DL15" s="79"/>
      <c r="DM15" s="78">
        <f t="shared" si="153"/>
        <v>21.081</v>
      </c>
      <c r="DN15" s="78">
        <f t="shared" si="72"/>
        <v>1852.3368756</v>
      </c>
      <c r="DO15" s="78">
        <f t="shared" si="73"/>
        <v>1873.4178756</v>
      </c>
      <c r="DP15" s="79">
        <f t="shared" si="74"/>
        <v>386.4273786</v>
      </c>
      <c r="DQ15" s="77">
        <f t="shared" si="75"/>
        <v>18.909657</v>
      </c>
      <c r="DR15" s="79"/>
      <c r="DS15" s="78">
        <f t="shared" si="154"/>
        <v>108.141</v>
      </c>
      <c r="DT15" s="78">
        <f t="shared" si="76"/>
        <v>9502.0901316</v>
      </c>
      <c r="DU15" s="78">
        <f t="shared" si="77"/>
        <v>9610.2311316</v>
      </c>
      <c r="DV15" s="79">
        <f t="shared" si="78"/>
        <v>1982.2894146</v>
      </c>
      <c r="DW15" s="77">
        <f t="shared" si="79"/>
        <v>97.002477</v>
      </c>
      <c r="DX15" s="79"/>
      <c r="DY15" s="78">
        <f t="shared" si="155"/>
        <v>0.9665</v>
      </c>
      <c r="DZ15" s="78">
        <f t="shared" si="80"/>
        <v>84.9240354</v>
      </c>
      <c r="EA15" s="78">
        <f t="shared" si="81"/>
        <v>85.89053539999999</v>
      </c>
      <c r="EB15" s="79">
        <f t="shared" si="82"/>
        <v>17.7165249</v>
      </c>
      <c r="EC15" s="77">
        <f t="shared" si="83"/>
        <v>0.8669505000000001</v>
      </c>
      <c r="ED15" s="79"/>
      <c r="EE15" s="78">
        <f t="shared" si="156"/>
        <v>1.272</v>
      </c>
      <c r="EF15" s="78">
        <f t="shared" si="84"/>
        <v>111.7675872</v>
      </c>
      <c r="EG15" s="78">
        <f t="shared" si="85"/>
        <v>113.0395872</v>
      </c>
      <c r="EH15" s="79">
        <f t="shared" si="86"/>
        <v>23.3165232</v>
      </c>
      <c r="EI15" s="77">
        <f t="shared" si="87"/>
        <v>1.140984</v>
      </c>
      <c r="EJ15" s="79"/>
      <c r="EK15" s="78">
        <f t="shared" si="157"/>
        <v>64.0935</v>
      </c>
      <c r="EL15" s="78">
        <f t="shared" si="88"/>
        <v>5631.742020600001</v>
      </c>
      <c r="EM15" s="78">
        <f t="shared" si="89"/>
        <v>5695.835520600001</v>
      </c>
      <c r="EN15" s="79">
        <f t="shared" si="90"/>
        <v>1174.8723111000002</v>
      </c>
      <c r="EO15" s="77">
        <f t="shared" si="91"/>
        <v>57.4918695</v>
      </c>
      <c r="EP15" s="79"/>
      <c r="EQ15" s="78">
        <f t="shared" si="158"/>
        <v>1.2200000000000002</v>
      </c>
      <c r="ER15" s="78">
        <f t="shared" si="92"/>
        <v>107.198472</v>
      </c>
      <c r="ES15" s="78">
        <f t="shared" si="93"/>
        <v>108.418472</v>
      </c>
      <c r="ET15" s="79">
        <f t="shared" si="94"/>
        <v>22.363332</v>
      </c>
      <c r="EU15" s="77">
        <f t="shared" si="95"/>
        <v>1.0943399999999999</v>
      </c>
      <c r="EV15" s="79"/>
      <c r="EW15" s="78">
        <f t="shared" si="159"/>
        <v>18.2295</v>
      </c>
      <c r="EX15" s="78">
        <f t="shared" si="96"/>
        <v>1601.7824142</v>
      </c>
      <c r="EY15" s="78">
        <f t="shared" si="97"/>
        <v>1620.0119141999999</v>
      </c>
      <c r="EZ15" s="79">
        <f t="shared" si="98"/>
        <v>334.15767270000003</v>
      </c>
      <c r="FA15" s="77">
        <f t="shared" si="99"/>
        <v>16.351861500000002</v>
      </c>
      <c r="FB15" s="79"/>
      <c r="FC15" s="78">
        <f t="shared" si="160"/>
        <v>12.663499999999999</v>
      </c>
      <c r="FD15" s="78">
        <f t="shared" si="100"/>
        <v>1112.7113526</v>
      </c>
      <c r="FE15" s="78">
        <f t="shared" si="101"/>
        <v>1125.3748526</v>
      </c>
      <c r="FF15" s="79">
        <f t="shared" si="102"/>
        <v>232.1295531</v>
      </c>
      <c r="FG15" s="77">
        <f t="shared" si="103"/>
        <v>11.3591595</v>
      </c>
      <c r="FH15" s="79"/>
      <c r="FI15" s="78">
        <f t="shared" si="161"/>
        <v>4.9435</v>
      </c>
      <c r="FJ15" s="78">
        <f t="shared" si="104"/>
        <v>434.3734806</v>
      </c>
      <c r="FK15" s="78">
        <f t="shared" si="105"/>
        <v>439.31698059999997</v>
      </c>
      <c r="FL15" s="79">
        <f t="shared" si="106"/>
        <v>90.6173211</v>
      </c>
      <c r="FM15" s="77">
        <f t="shared" si="107"/>
        <v>4.4343195</v>
      </c>
      <c r="FN15" s="79"/>
      <c r="FO15" s="78">
        <f t="shared" si="162"/>
        <v>55.5555</v>
      </c>
      <c r="FP15" s="78">
        <f t="shared" si="108"/>
        <v>4881.5284518</v>
      </c>
      <c r="FQ15" s="78">
        <f t="shared" si="109"/>
        <v>4937.0839518</v>
      </c>
      <c r="FR15" s="79">
        <f t="shared" si="110"/>
        <v>1018.3656483000001</v>
      </c>
      <c r="FS15" s="77">
        <f t="shared" si="111"/>
        <v>49.8332835</v>
      </c>
      <c r="FT15" s="79"/>
      <c r="FU15" s="78">
        <f t="shared" si="163"/>
        <v>125.211</v>
      </c>
      <c r="FV15" s="78">
        <f t="shared" si="112"/>
        <v>11001.9900636</v>
      </c>
      <c r="FW15" s="78">
        <f t="shared" si="113"/>
        <v>11127.2010636</v>
      </c>
      <c r="FX15" s="79">
        <f t="shared" si="114"/>
        <v>2295.1927566</v>
      </c>
      <c r="FY15" s="77">
        <f t="shared" si="115"/>
        <v>112.314267</v>
      </c>
      <c r="FZ15" s="79"/>
      <c r="GA15" s="78">
        <f t="shared" si="164"/>
        <v>15.978500000000002</v>
      </c>
      <c r="GB15" s="78">
        <f t="shared" si="116"/>
        <v>1403.9924466</v>
      </c>
      <c r="GC15" s="78">
        <f t="shared" si="117"/>
        <v>1419.9709466</v>
      </c>
      <c r="GD15" s="79">
        <f t="shared" si="118"/>
        <v>292.8954921</v>
      </c>
      <c r="GE15" s="77">
        <f t="shared" si="119"/>
        <v>14.3327145</v>
      </c>
      <c r="GF15" s="79"/>
      <c r="GG15" s="78">
        <f t="shared" si="165"/>
        <v>25.374000000000002</v>
      </c>
      <c r="GH15" s="78">
        <f t="shared" si="120"/>
        <v>2229.5524824000004</v>
      </c>
      <c r="GI15" s="78">
        <f t="shared" si="121"/>
        <v>2254.9264824</v>
      </c>
      <c r="GJ15" s="79">
        <f t="shared" si="122"/>
        <v>465.1206444</v>
      </c>
      <c r="GK15" s="77">
        <f t="shared" si="123"/>
        <v>22.760478</v>
      </c>
      <c r="GL15" s="79"/>
      <c r="GM15" s="78">
        <f t="shared" si="166"/>
        <v>117.59450000000001</v>
      </c>
      <c r="GN15" s="78">
        <f t="shared" si="124"/>
        <v>10332.7464882</v>
      </c>
      <c r="GO15" s="78">
        <f t="shared" si="125"/>
        <v>10450.3409882</v>
      </c>
      <c r="GP15" s="79">
        <f t="shared" si="126"/>
        <v>2155.5777417</v>
      </c>
      <c r="GQ15" s="77">
        <f t="shared" si="127"/>
        <v>105.4822665</v>
      </c>
      <c r="GR15" s="79"/>
      <c r="GS15" s="78">
        <f t="shared" si="167"/>
        <v>6.2410000000000005</v>
      </c>
      <c r="GT15" s="78">
        <f t="shared" si="128"/>
        <v>548.3816916</v>
      </c>
      <c r="GU15" s="78">
        <f t="shared" si="129"/>
        <v>554.6226915999999</v>
      </c>
      <c r="GV15" s="79">
        <f t="shared" si="130"/>
        <v>114.40127460000001</v>
      </c>
      <c r="GW15" s="77">
        <f t="shared" si="131"/>
        <v>5.598177000000001</v>
      </c>
      <c r="GX15" s="79"/>
      <c r="GY15" s="78">
        <f t="shared" si="168"/>
        <v>35.782000000000004</v>
      </c>
      <c r="GZ15" s="78">
        <f t="shared" si="132"/>
        <v>3144.0784632</v>
      </c>
      <c r="HA15" s="78">
        <f t="shared" si="133"/>
        <v>3179.8604632</v>
      </c>
      <c r="HB15" s="79">
        <f t="shared" si="134"/>
        <v>655.9055292</v>
      </c>
      <c r="HC15" s="77">
        <f t="shared" si="135"/>
        <v>32.096454</v>
      </c>
      <c r="HD15" s="79"/>
      <c r="HE15" s="79"/>
      <c r="HF15" s="79"/>
      <c r="HG15" s="79"/>
      <c r="HH15" s="79"/>
      <c r="HI15" s="79"/>
    </row>
    <row r="16" spans="1:217" s="52" customFormat="1" ht="12.75">
      <c r="A16" s="51">
        <v>44470</v>
      </c>
      <c r="C16" s="42"/>
      <c r="D16" s="42">
        <v>439263</v>
      </c>
      <c r="E16" s="77">
        <f t="shared" si="0"/>
        <v>439263</v>
      </c>
      <c r="F16" s="77">
        <v>91653</v>
      </c>
      <c r="G16" s="77">
        <v>4485</v>
      </c>
      <c r="H16" s="79"/>
      <c r="I16" s="79"/>
      <c r="J16" s="79">
        <f t="shared" si="1"/>
        <v>238443.33331170003</v>
      </c>
      <c r="K16" s="79">
        <f t="shared" si="2"/>
        <v>238443.33331170003</v>
      </c>
      <c r="L16" s="79">
        <f t="shared" si="3"/>
        <v>49751.6222127</v>
      </c>
      <c r="M16" s="79">
        <f t="shared" si="3"/>
        <v>2434.5741615</v>
      </c>
      <c r="N16" s="79"/>
      <c r="O16" s="78"/>
      <c r="P16" s="78">
        <f t="shared" si="4"/>
        <v>29055.1389876</v>
      </c>
      <c r="Q16" s="79">
        <f t="shared" si="5"/>
        <v>29055.1389876</v>
      </c>
      <c r="R16" s="79">
        <f t="shared" si="6"/>
        <v>6062.4060156000005</v>
      </c>
      <c r="S16" s="77">
        <f t="shared" si="7"/>
        <v>296.661222</v>
      </c>
      <c r="T16" s="79"/>
      <c r="U16" s="78"/>
      <c r="V16" s="78">
        <f t="shared" si="8"/>
        <v>496.1914848</v>
      </c>
      <c r="W16" s="78">
        <f t="shared" si="9"/>
        <v>496.1914848</v>
      </c>
      <c r="X16" s="79">
        <f t="shared" si="10"/>
        <v>103.5312288</v>
      </c>
      <c r="Y16" s="77">
        <f t="shared" si="11"/>
        <v>5.066255999999999</v>
      </c>
      <c r="Z16" s="79"/>
      <c r="AA16" s="79"/>
      <c r="AB16" s="78">
        <f t="shared" si="12"/>
        <v>2239.9777421999997</v>
      </c>
      <c r="AC16" s="78">
        <f t="shared" si="13"/>
        <v>2239.9777421999997</v>
      </c>
      <c r="AD16" s="79">
        <f t="shared" si="14"/>
        <v>467.37530819999995</v>
      </c>
      <c r="AE16" s="77">
        <f t="shared" si="15"/>
        <v>22.870808999999998</v>
      </c>
      <c r="AF16" s="79"/>
      <c r="AG16" s="78"/>
      <c r="AH16" s="78">
        <f t="shared" si="16"/>
        <v>38953.7110611</v>
      </c>
      <c r="AI16" s="78">
        <f t="shared" si="17"/>
        <v>38953.7110611</v>
      </c>
      <c r="AJ16" s="79">
        <f t="shared" si="18"/>
        <v>8127.7605441</v>
      </c>
      <c r="AK16" s="77">
        <f t="shared" si="19"/>
        <v>397.7284545</v>
      </c>
      <c r="AL16" s="79"/>
      <c r="AM16" s="78"/>
      <c r="AN16" s="78">
        <f t="shared" si="20"/>
        <v>471.8563146</v>
      </c>
      <c r="AO16" s="78">
        <f t="shared" si="21"/>
        <v>471.8563146</v>
      </c>
      <c r="AP16" s="79">
        <f t="shared" si="22"/>
        <v>98.4536526</v>
      </c>
      <c r="AQ16" s="77">
        <f t="shared" si="23"/>
        <v>4.817787</v>
      </c>
      <c r="AR16" s="78"/>
      <c r="AS16" s="78"/>
      <c r="AT16" s="78">
        <f t="shared" si="24"/>
        <v>397.9283517</v>
      </c>
      <c r="AU16" s="78">
        <f t="shared" si="25"/>
        <v>397.9283517</v>
      </c>
      <c r="AV16" s="79">
        <f t="shared" si="26"/>
        <v>83.0284527</v>
      </c>
      <c r="AW16" s="77">
        <f t="shared" si="27"/>
        <v>4.0629615</v>
      </c>
      <c r="AX16" s="79"/>
      <c r="AY16" s="78"/>
      <c r="AZ16" s="78">
        <f t="shared" si="28"/>
        <v>16326.000068400002</v>
      </c>
      <c r="BA16" s="78">
        <f t="shared" si="29"/>
        <v>16326.000068400002</v>
      </c>
      <c r="BB16" s="79">
        <f t="shared" si="30"/>
        <v>3406.4487204</v>
      </c>
      <c r="BC16" s="77">
        <f t="shared" si="31"/>
        <v>166.693098</v>
      </c>
      <c r="BD16" s="79"/>
      <c r="BE16" s="78"/>
      <c r="BF16" s="78">
        <f t="shared" si="32"/>
        <v>33499.2066849</v>
      </c>
      <c r="BG16" s="78">
        <f t="shared" si="33"/>
        <v>33499.2066849</v>
      </c>
      <c r="BH16" s="79">
        <f t="shared" si="34"/>
        <v>6989.6685819</v>
      </c>
      <c r="BI16" s="77">
        <f t="shared" si="35"/>
        <v>342.03641550000003</v>
      </c>
      <c r="BJ16" s="79"/>
      <c r="BK16" s="78"/>
      <c r="BL16" s="78">
        <f t="shared" si="36"/>
        <v>386.72714519999994</v>
      </c>
      <c r="BM16" s="78">
        <f t="shared" si="37"/>
        <v>386.72714519999994</v>
      </c>
      <c r="BN16" s="79">
        <f t="shared" si="38"/>
        <v>80.6913012</v>
      </c>
      <c r="BO16" s="77">
        <f t="shared" si="39"/>
        <v>3.9485940000000004</v>
      </c>
      <c r="BP16" s="79"/>
      <c r="BQ16" s="78"/>
      <c r="BR16" s="78">
        <f t="shared" si="40"/>
        <v>259.7801382</v>
      </c>
      <c r="BS16" s="78">
        <f t="shared" si="41"/>
        <v>259.7801382</v>
      </c>
      <c r="BT16" s="79">
        <f t="shared" si="42"/>
        <v>54.203584199999995</v>
      </c>
      <c r="BU16" s="77">
        <f t="shared" si="43"/>
        <v>2.6524289999999997</v>
      </c>
      <c r="BV16" s="79"/>
      <c r="BW16" s="78"/>
      <c r="BX16" s="78">
        <f t="shared" si="44"/>
        <v>-38.699070299999995</v>
      </c>
      <c r="BY16" s="78">
        <f t="shared" si="45"/>
        <v>-38.699070299999995</v>
      </c>
      <c r="BZ16" s="79">
        <f t="shared" si="46"/>
        <v>-8.0746293</v>
      </c>
      <c r="CA16" s="77">
        <f t="shared" si="47"/>
        <v>-0.3951285</v>
      </c>
      <c r="CB16" s="78"/>
      <c r="CC16" s="78"/>
      <c r="CD16" s="78">
        <f t="shared" si="48"/>
        <v>-25.2136962</v>
      </c>
      <c r="CE16" s="78">
        <f t="shared" si="49"/>
        <v>-25.2136962</v>
      </c>
      <c r="CF16" s="79">
        <f t="shared" si="50"/>
        <v>-5.2608822</v>
      </c>
      <c r="CG16" s="77">
        <f t="shared" si="51"/>
        <v>-0.257439</v>
      </c>
      <c r="CH16" s="79"/>
      <c r="CI16" s="78"/>
      <c r="CJ16" s="78">
        <f t="shared" si="52"/>
        <v>937.6507998000001</v>
      </c>
      <c r="CK16" s="78">
        <f t="shared" si="53"/>
        <v>937.6507998000001</v>
      </c>
      <c r="CL16" s="79">
        <f t="shared" si="54"/>
        <v>195.64249379999998</v>
      </c>
      <c r="CM16" s="77">
        <f t="shared" si="55"/>
        <v>9.573681</v>
      </c>
      <c r="CN16" s="79"/>
      <c r="CO16" s="78"/>
      <c r="CP16" s="78">
        <f t="shared" si="56"/>
        <v>5766.205401</v>
      </c>
      <c r="CQ16" s="78">
        <f t="shared" si="57"/>
        <v>5766.205401</v>
      </c>
      <c r="CR16" s="79">
        <f t="shared" si="58"/>
        <v>1203.128931</v>
      </c>
      <c r="CS16" s="77">
        <f t="shared" si="59"/>
        <v>58.874595</v>
      </c>
      <c r="CT16" s="79"/>
      <c r="CU16" s="78"/>
      <c r="CV16" s="78">
        <f t="shared" si="60"/>
        <v>38736.451581299996</v>
      </c>
      <c r="CW16" s="78">
        <f t="shared" si="61"/>
        <v>38736.451581299996</v>
      </c>
      <c r="CX16" s="79">
        <f t="shared" si="62"/>
        <v>8082.4289703</v>
      </c>
      <c r="CY16" s="77">
        <f t="shared" si="63"/>
        <v>395.5101735</v>
      </c>
      <c r="CZ16" s="79"/>
      <c r="DA16" s="78"/>
      <c r="DB16" s="78">
        <f t="shared" si="64"/>
        <v>5588.8310016</v>
      </c>
      <c r="DC16" s="78">
        <f t="shared" si="65"/>
        <v>5588.8310016</v>
      </c>
      <c r="DD16" s="79">
        <f t="shared" si="66"/>
        <v>1166.1194496</v>
      </c>
      <c r="DE16" s="77">
        <f t="shared" si="67"/>
        <v>57.063552</v>
      </c>
      <c r="DF16" s="79"/>
      <c r="DG16" s="78"/>
      <c r="DH16" s="78">
        <f t="shared" si="68"/>
        <v>11419.6080636</v>
      </c>
      <c r="DI16" s="78">
        <f t="shared" si="69"/>
        <v>11419.6080636</v>
      </c>
      <c r="DJ16" s="79">
        <f t="shared" si="70"/>
        <v>2382.7213716</v>
      </c>
      <c r="DK16" s="77">
        <f t="shared" si="71"/>
        <v>116.597442</v>
      </c>
      <c r="DL16" s="79"/>
      <c r="DM16" s="78"/>
      <c r="DN16" s="78">
        <f t="shared" si="72"/>
        <v>1852.0206606000002</v>
      </c>
      <c r="DO16" s="78">
        <f t="shared" si="73"/>
        <v>1852.0206606000002</v>
      </c>
      <c r="DP16" s="79">
        <f t="shared" si="74"/>
        <v>386.4273786</v>
      </c>
      <c r="DQ16" s="77">
        <f t="shared" si="75"/>
        <v>18.909657</v>
      </c>
      <c r="DR16" s="79"/>
      <c r="DS16" s="78"/>
      <c r="DT16" s="78">
        <f t="shared" si="76"/>
        <v>9500.4680166</v>
      </c>
      <c r="DU16" s="78">
        <f t="shared" si="77"/>
        <v>9500.4680166</v>
      </c>
      <c r="DV16" s="79">
        <f t="shared" si="78"/>
        <v>1982.2894146</v>
      </c>
      <c r="DW16" s="77">
        <f t="shared" si="79"/>
        <v>97.002477</v>
      </c>
      <c r="DX16" s="79"/>
      <c r="DY16" s="78"/>
      <c r="DZ16" s="78">
        <f t="shared" si="80"/>
        <v>84.90953789999999</v>
      </c>
      <c r="EA16" s="78">
        <f t="shared" si="81"/>
        <v>84.90953789999999</v>
      </c>
      <c r="EB16" s="79">
        <f t="shared" si="82"/>
        <v>17.7165249</v>
      </c>
      <c r="EC16" s="77">
        <f t="shared" si="83"/>
        <v>0.8669505000000001</v>
      </c>
      <c r="ED16" s="79"/>
      <c r="EE16" s="78"/>
      <c r="EF16" s="78">
        <f t="shared" si="84"/>
        <v>111.7485072</v>
      </c>
      <c r="EG16" s="78">
        <f t="shared" si="85"/>
        <v>111.7485072</v>
      </c>
      <c r="EH16" s="79">
        <f t="shared" si="86"/>
        <v>23.3165232</v>
      </c>
      <c r="EI16" s="77">
        <f t="shared" si="87"/>
        <v>1.140984</v>
      </c>
      <c r="EJ16" s="79"/>
      <c r="EK16" s="78"/>
      <c r="EL16" s="78">
        <f t="shared" si="88"/>
        <v>5630.7806181</v>
      </c>
      <c r="EM16" s="78">
        <f t="shared" si="89"/>
        <v>5630.7806181</v>
      </c>
      <c r="EN16" s="79">
        <f t="shared" si="90"/>
        <v>1174.8723111000002</v>
      </c>
      <c r="EO16" s="77">
        <f t="shared" si="91"/>
        <v>57.4918695</v>
      </c>
      <c r="EP16" s="79"/>
      <c r="EQ16" s="78"/>
      <c r="ER16" s="78">
        <f t="shared" si="92"/>
        <v>107.180172</v>
      </c>
      <c r="ES16" s="78">
        <f t="shared" si="93"/>
        <v>107.180172</v>
      </c>
      <c r="ET16" s="79">
        <f t="shared" si="94"/>
        <v>22.363332</v>
      </c>
      <c r="EU16" s="77">
        <f t="shared" si="95"/>
        <v>1.0943399999999999</v>
      </c>
      <c r="EV16" s="79"/>
      <c r="EW16" s="78"/>
      <c r="EX16" s="78">
        <f t="shared" si="96"/>
        <v>1601.5089717</v>
      </c>
      <c r="EY16" s="78">
        <f t="shared" si="97"/>
        <v>1601.5089717</v>
      </c>
      <c r="EZ16" s="79">
        <f t="shared" si="98"/>
        <v>334.15767270000003</v>
      </c>
      <c r="FA16" s="77">
        <f t="shared" si="99"/>
        <v>16.351861500000002</v>
      </c>
      <c r="FB16" s="79"/>
      <c r="FC16" s="78"/>
      <c r="FD16" s="78">
        <f t="shared" si="100"/>
        <v>1112.5214001</v>
      </c>
      <c r="FE16" s="78">
        <f t="shared" si="101"/>
        <v>1112.5214001</v>
      </c>
      <c r="FF16" s="79">
        <f t="shared" si="102"/>
        <v>232.1295531</v>
      </c>
      <c r="FG16" s="77">
        <f t="shared" si="103"/>
        <v>11.3591595</v>
      </c>
      <c r="FH16" s="79"/>
      <c r="FI16" s="78"/>
      <c r="FJ16" s="78">
        <f t="shared" si="104"/>
        <v>434.29932809999997</v>
      </c>
      <c r="FK16" s="78">
        <f t="shared" si="105"/>
        <v>434.29932809999997</v>
      </c>
      <c r="FL16" s="79">
        <f t="shared" si="106"/>
        <v>90.6173211</v>
      </c>
      <c r="FM16" s="77">
        <f t="shared" si="107"/>
        <v>4.4343195</v>
      </c>
      <c r="FN16" s="79"/>
      <c r="FO16" s="78"/>
      <c r="FP16" s="78">
        <f t="shared" si="108"/>
        <v>4880.6951193</v>
      </c>
      <c r="FQ16" s="78">
        <f t="shared" si="109"/>
        <v>4880.6951193</v>
      </c>
      <c r="FR16" s="79">
        <f t="shared" si="110"/>
        <v>1018.3656483000001</v>
      </c>
      <c r="FS16" s="77">
        <f t="shared" si="111"/>
        <v>49.8332835</v>
      </c>
      <c r="FT16" s="79"/>
      <c r="FU16" s="78"/>
      <c r="FV16" s="78">
        <f t="shared" si="112"/>
        <v>11000.1118986</v>
      </c>
      <c r="FW16" s="78">
        <f t="shared" si="113"/>
        <v>11000.1118986</v>
      </c>
      <c r="FX16" s="79">
        <f t="shared" si="114"/>
        <v>2295.1927566</v>
      </c>
      <c r="FY16" s="77">
        <f t="shared" si="115"/>
        <v>112.314267</v>
      </c>
      <c r="FZ16" s="79"/>
      <c r="GA16" s="78"/>
      <c r="GB16" s="78">
        <f t="shared" si="116"/>
        <v>1403.7527691000003</v>
      </c>
      <c r="GC16" s="78">
        <f t="shared" si="117"/>
        <v>1403.7527691000003</v>
      </c>
      <c r="GD16" s="79">
        <f t="shared" si="118"/>
        <v>292.8954921</v>
      </c>
      <c r="GE16" s="77">
        <f t="shared" si="119"/>
        <v>14.3327145</v>
      </c>
      <c r="GF16" s="79"/>
      <c r="GG16" s="78"/>
      <c r="GH16" s="78">
        <f t="shared" si="120"/>
        <v>2229.1718724</v>
      </c>
      <c r="GI16" s="78">
        <f t="shared" si="121"/>
        <v>2229.1718724</v>
      </c>
      <c r="GJ16" s="79">
        <f t="shared" si="122"/>
        <v>465.1206444</v>
      </c>
      <c r="GK16" s="77">
        <f t="shared" si="123"/>
        <v>22.760478</v>
      </c>
      <c r="GL16" s="79"/>
      <c r="GM16" s="78"/>
      <c r="GN16" s="78">
        <f t="shared" si="124"/>
        <v>10330.9825707</v>
      </c>
      <c r="GO16" s="78">
        <f t="shared" si="125"/>
        <v>10330.9825707</v>
      </c>
      <c r="GP16" s="79">
        <f t="shared" si="126"/>
        <v>2155.5777417</v>
      </c>
      <c r="GQ16" s="77">
        <f t="shared" si="127"/>
        <v>105.4822665</v>
      </c>
      <c r="GR16" s="79"/>
      <c r="GS16" s="78"/>
      <c r="GT16" s="78">
        <f t="shared" si="128"/>
        <v>548.2880766</v>
      </c>
      <c r="GU16" s="78">
        <f t="shared" si="129"/>
        <v>548.2880766</v>
      </c>
      <c r="GV16" s="79">
        <f t="shared" si="130"/>
        <v>114.40127460000001</v>
      </c>
      <c r="GW16" s="77">
        <f t="shared" si="131"/>
        <v>5.598177000000001</v>
      </c>
      <c r="GX16" s="79"/>
      <c r="GY16" s="78"/>
      <c r="GZ16" s="78">
        <f t="shared" si="132"/>
        <v>3143.5417332</v>
      </c>
      <c r="HA16" s="78">
        <f t="shared" si="133"/>
        <v>3143.5417332</v>
      </c>
      <c r="HB16" s="79">
        <f t="shared" si="134"/>
        <v>655.9055292</v>
      </c>
      <c r="HC16" s="77">
        <f t="shared" si="135"/>
        <v>32.096454</v>
      </c>
      <c r="HD16" s="79"/>
      <c r="HE16" s="79"/>
      <c r="HF16" s="79"/>
      <c r="HG16" s="79"/>
      <c r="HH16" s="79"/>
      <c r="HI16" s="79"/>
    </row>
    <row r="17" spans="1:217" s="52" customFormat="1" ht="12.75">
      <c r="A17" s="51">
        <v>44652</v>
      </c>
      <c r="C17" s="42">
        <v>6225000</v>
      </c>
      <c r="D17" s="42">
        <v>439263</v>
      </c>
      <c r="E17" s="77">
        <f t="shared" si="0"/>
        <v>6664263</v>
      </c>
      <c r="F17" s="77">
        <v>91653</v>
      </c>
      <c r="G17" s="77">
        <v>4485</v>
      </c>
      <c r="H17" s="79"/>
      <c r="I17" s="79">
        <f>O17+U17+AA17+AG17+AM17+AS17+AY17+BE17+BK17+BQ17+BW17+CC17+CI17+CO17+CU17+DA17+DG17+DM17+DS17+DY17+EE17+EK17+EQ17+EW17+FC17+FI17+FO17+FU17+GA17+GG17+GM17+GS17+GY17</f>
        <v>3379091.2275</v>
      </c>
      <c r="J17" s="79">
        <f t="shared" si="1"/>
        <v>238443.33331170003</v>
      </c>
      <c r="K17" s="79">
        <f t="shared" si="2"/>
        <v>3617534.5608117003</v>
      </c>
      <c r="L17" s="79">
        <f t="shared" si="3"/>
        <v>49751.6222127</v>
      </c>
      <c r="M17" s="79">
        <f t="shared" si="3"/>
        <v>2434.5741615</v>
      </c>
      <c r="N17" s="79"/>
      <c r="O17" s="78">
        <f t="shared" si="136"/>
        <v>411753.87</v>
      </c>
      <c r="P17" s="78">
        <f t="shared" si="4"/>
        <v>29055.1389876</v>
      </c>
      <c r="Q17" s="79">
        <f t="shared" si="5"/>
        <v>440809.0089876</v>
      </c>
      <c r="R17" s="79">
        <f t="shared" si="6"/>
        <v>6062.4060156000005</v>
      </c>
      <c r="S17" s="77">
        <f t="shared" si="7"/>
        <v>296.661222</v>
      </c>
      <c r="T17" s="79"/>
      <c r="U17" s="78">
        <f t="shared" si="137"/>
        <v>7031.76</v>
      </c>
      <c r="V17" s="78">
        <f t="shared" si="8"/>
        <v>496.1914848</v>
      </c>
      <c r="W17" s="78">
        <f t="shared" si="9"/>
        <v>7527.9514848</v>
      </c>
      <c r="X17" s="79">
        <f t="shared" si="10"/>
        <v>103.5312288</v>
      </c>
      <c r="Y17" s="77">
        <f t="shared" si="11"/>
        <v>5.066255999999999</v>
      </c>
      <c r="Z17" s="79"/>
      <c r="AA17" s="79">
        <f t="shared" si="138"/>
        <v>31743.764999999996</v>
      </c>
      <c r="AB17" s="78">
        <f t="shared" si="12"/>
        <v>2239.9777421999997</v>
      </c>
      <c r="AC17" s="78">
        <f t="shared" si="13"/>
        <v>33983.7427422</v>
      </c>
      <c r="AD17" s="79">
        <f t="shared" si="14"/>
        <v>467.37530819999995</v>
      </c>
      <c r="AE17" s="77">
        <f t="shared" si="15"/>
        <v>22.870808999999998</v>
      </c>
      <c r="AF17" s="79"/>
      <c r="AG17" s="78">
        <f t="shared" si="139"/>
        <v>552031.1325</v>
      </c>
      <c r="AH17" s="78">
        <f t="shared" si="16"/>
        <v>38953.7110611</v>
      </c>
      <c r="AI17" s="78">
        <f t="shared" si="17"/>
        <v>590984.8435611</v>
      </c>
      <c r="AJ17" s="79">
        <f t="shared" si="18"/>
        <v>8127.7605441</v>
      </c>
      <c r="AK17" s="77">
        <f t="shared" si="19"/>
        <v>397.7284545</v>
      </c>
      <c r="AL17" s="79"/>
      <c r="AM17" s="78">
        <f t="shared" si="140"/>
        <v>6686.895</v>
      </c>
      <c r="AN17" s="78">
        <f t="shared" si="20"/>
        <v>471.8563146</v>
      </c>
      <c r="AO17" s="78">
        <f t="shared" si="21"/>
        <v>7158.7513146</v>
      </c>
      <c r="AP17" s="79">
        <f t="shared" si="22"/>
        <v>98.4536526</v>
      </c>
      <c r="AQ17" s="77">
        <f t="shared" si="23"/>
        <v>4.817787</v>
      </c>
      <c r="AR17" s="78"/>
      <c r="AS17" s="78">
        <f t="shared" si="141"/>
        <v>5639.2275</v>
      </c>
      <c r="AT17" s="78">
        <f t="shared" si="24"/>
        <v>397.9283517</v>
      </c>
      <c r="AU17" s="78">
        <f t="shared" si="25"/>
        <v>6037.1558517</v>
      </c>
      <c r="AV17" s="79">
        <f t="shared" si="26"/>
        <v>83.0284527</v>
      </c>
      <c r="AW17" s="77">
        <f t="shared" si="27"/>
        <v>4.0629615</v>
      </c>
      <c r="AX17" s="79"/>
      <c r="AY17" s="78">
        <f t="shared" si="142"/>
        <v>231363.33</v>
      </c>
      <c r="AZ17" s="78">
        <f t="shared" si="28"/>
        <v>16326.000068400002</v>
      </c>
      <c r="BA17" s="78">
        <f t="shared" si="29"/>
        <v>247689.33006839998</v>
      </c>
      <c r="BB17" s="79">
        <f t="shared" si="30"/>
        <v>3406.4487204</v>
      </c>
      <c r="BC17" s="77">
        <f t="shared" si="31"/>
        <v>166.693098</v>
      </c>
      <c r="BD17" s="79"/>
      <c r="BE17" s="78">
        <f t="shared" si="143"/>
        <v>474732.8175</v>
      </c>
      <c r="BF17" s="78">
        <f t="shared" si="32"/>
        <v>33499.2066849</v>
      </c>
      <c r="BG17" s="78">
        <f t="shared" si="33"/>
        <v>508232.0241849</v>
      </c>
      <c r="BH17" s="79">
        <f t="shared" si="34"/>
        <v>6989.6685819</v>
      </c>
      <c r="BI17" s="77">
        <f t="shared" si="35"/>
        <v>342.03641550000003</v>
      </c>
      <c r="BJ17" s="79"/>
      <c r="BK17" s="78">
        <f t="shared" si="144"/>
        <v>5480.49</v>
      </c>
      <c r="BL17" s="78">
        <f t="shared" si="36"/>
        <v>386.72714519999994</v>
      </c>
      <c r="BM17" s="78">
        <f t="shared" si="37"/>
        <v>5867.217145199999</v>
      </c>
      <c r="BN17" s="79">
        <f t="shared" si="38"/>
        <v>80.6913012</v>
      </c>
      <c r="BO17" s="77">
        <f t="shared" si="39"/>
        <v>3.9485940000000004</v>
      </c>
      <c r="BP17" s="79"/>
      <c r="BQ17" s="78">
        <f t="shared" si="145"/>
        <v>3681.465</v>
      </c>
      <c r="BR17" s="78">
        <f t="shared" si="40"/>
        <v>259.7801382</v>
      </c>
      <c r="BS17" s="78">
        <f t="shared" si="41"/>
        <v>3941.2451382</v>
      </c>
      <c r="BT17" s="79">
        <f t="shared" si="42"/>
        <v>54.203584199999995</v>
      </c>
      <c r="BU17" s="77">
        <f t="shared" si="43"/>
        <v>2.6524289999999997</v>
      </c>
      <c r="BV17" s="79"/>
      <c r="BW17" s="78">
        <f t="shared" si="146"/>
        <v>-548.4225</v>
      </c>
      <c r="BX17" s="78">
        <f t="shared" si="44"/>
        <v>-38.699070299999995</v>
      </c>
      <c r="BY17" s="78">
        <f t="shared" si="45"/>
        <v>-587.1215703</v>
      </c>
      <c r="BZ17" s="79">
        <f t="shared" si="46"/>
        <v>-8.0746293</v>
      </c>
      <c r="CA17" s="77">
        <f t="shared" si="47"/>
        <v>-0.3951285</v>
      </c>
      <c r="CB17" s="78"/>
      <c r="CC17" s="78">
        <f t="shared" si="147"/>
        <v>-357.315</v>
      </c>
      <c r="CD17" s="78">
        <f t="shared" si="48"/>
        <v>-25.2136962</v>
      </c>
      <c r="CE17" s="78">
        <f t="shared" si="49"/>
        <v>-382.5286962</v>
      </c>
      <c r="CF17" s="79">
        <f t="shared" si="50"/>
        <v>-5.2608822</v>
      </c>
      <c r="CG17" s="77">
        <f t="shared" si="51"/>
        <v>-0.257439</v>
      </c>
      <c r="CH17" s="79"/>
      <c r="CI17" s="78">
        <f t="shared" si="148"/>
        <v>13287.885</v>
      </c>
      <c r="CJ17" s="78">
        <f t="shared" si="52"/>
        <v>937.6507998000001</v>
      </c>
      <c r="CK17" s="78">
        <f t="shared" si="53"/>
        <v>14225.5357998</v>
      </c>
      <c r="CL17" s="79">
        <f t="shared" si="54"/>
        <v>195.64249379999998</v>
      </c>
      <c r="CM17" s="77">
        <f t="shared" si="55"/>
        <v>9.573681</v>
      </c>
      <c r="CN17" s="79"/>
      <c r="CO17" s="78">
        <f t="shared" si="149"/>
        <v>81715.575</v>
      </c>
      <c r="CP17" s="78">
        <f t="shared" si="56"/>
        <v>5766.205401</v>
      </c>
      <c r="CQ17" s="78">
        <f t="shared" si="57"/>
        <v>87481.780401</v>
      </c>
      <c r="CR17" s="79">
        <f t="shared" si="58"/>
        <v>1203.128931</v>
      </c>
      <c r="CS17" s="77">
        <f t="shared" si="59"/>
        <v>58.874595</v>
      </c>
      <c r="CT17" s="79"/>
      <c r="CU17" s="78">
        <f t="shared" si="150"/>
        <v>548952.2475</v>
      </c>
      <c r="CV17" s="78">
        <f t="shared" si="60"/>
        <v>38736.451581299996</v>
      </c>
      <c r="CW17" s="78">
        <f t="shared" si="61"/>
        <v>587688.6990813001</v>
      </c>
      <c r="CX17" s="79">
        <f t="shared" si="62"/>
        <v>8082.4289703</v>
      </c>
      <c r="CY17" s="77">
        <f t="shared" si="63"/>
        <v>395.5101735</v>
      </c>
      <c r="CZ17" s="79"/>
      <c r="DA17" s="78">
        <f t="shared" si="151"/>
        <v>79201.91999999998</v>
      </c>
      <c r="DB17" s="78">
        <f t="shared" si="64"/>
        <v>5588.8310016</v>
      </c>
      <c r="DC17" s="78">
        <f t="shared" si="65"/>
        <v>84790.75100159999</v>
      </c>
      <c r="DD17" s="79">
        <f t="shared" si="66"/>
        <v>1166.1194496</v>
      </c>
      <c r="DE17" s="77">
        <f t="shared" si="67"/>
        <v>57.063552</v>
      </c>
      <c r="DF17" s="79"/>
      <c r="DG17" s="78">
        <f t="shared" si="152"/>
        <v>161832.57</v>
      </c>
      <c r="DH17" s="78">
        <f t="shared" si="68"/>
        <v>11419.6080636</v>
      </c>
      <c r="DI17" s="78">
        <f t="shared" si="69"/>
        <v>173252.1780636</v>
      </c>
      <c r="DJ17" s="79">
        <f t="shared" si="70"/>
        <v>2382.7213716</v>
      </c>
      <c r="DK17" s="77">
        <f t="shared" si="71"/>
        <v>116.597442</v>
      </c>
      <c r="DL17" s="79"/>
      <c r="DM17" s="78">
        <f t="shared" si="153"/>
        <v>26245.845</v>
      </c>
      <c r="DN17" s="78">
        <f t="shared" si="72"/>
        <v>1852.0206606000002</v>
      </c>
      <c r="DO17" s="78">
        <f t="shared" si="73"/>
        <v>28097.8656606</v>
      </c>
      <c r="DP17" s="79">
        <f t="shared" si="74"/>
        <v>386.4273786</v>
      </c>
      <c r="DQ17" s="77">
        <f t="shared" si="75"/>
        <v>18.909657</v>
      </c>
      <c r="DR17" s="79"/>
      <c r="DS17" s="78">
        <f t="shared" si="154"/>
        <v>134635.545</v>
      </c>
      <c r="DT17" s="78">
        <f t="shared" si="76"/>
        <v>9500.4680166</v>
      </c>
      <c r="DU17" s="78">
        <f t="shared" si="77"/>
        <v>144136.01301660002</v>
      </c>
      <c r="DV17" s="79">
        <f t="shared" si="78"/>
        <v>1982.2894146</v>
      </c>
      <c r="DW17" s="77">
        <f t="shared" si="79"/>
        <v>97.002477</v>
      </c>
      <c r="DX17" s="79"/>
      <c r="DY17" s="78">
        <f t="shared" si="155"/>
        <v>1203.2925</v>
      </c>
      <c r="DZ17" s="78">
        <f t="shared" si="80"/>
        <v>84.90953789999999</v>
      </c>
      <c r="EA17" s="78">
        <f t="shared" si="81"/>
        <v>1288.2020379</v>
      </c>
      <c r="EB17" s="79">
        <f t="shared" si="82"/>
        <v>17.7165249</v>
      </c>
      <c r="EC17" s="77">
        <f t="shared" si="83"/>
        <v>0.8669505000000001</v>
      </c>
      <c r="ED17" s="79"/>
      <c r="EE17" s="78">
        <f t="shared" si="156"/>
        <v>1583.64</v>
      </c>
      <c r="EF17" s="78">
        <f t="shared" si="84"/>
        <v>111.7485072</v>
      </c>
      <c r="EG17" s="78">
        <f t="shared" si="85"/>
        <v>1695.3885072</v>
      </c>
      <c r="EH17" s="79">
        <f t="shared" si="86"/>
        <v>23.3165232</v>
      </c>
      <c r="EI17" s="77">
        <f t="shared" si="87"/>
        <v>1.140984</v>
      </c>
      <c r="EJ17" s="79"/>
      <c r="EK17" s="78">
        <f t="shared" si="157"/>
        <v>79796.4075</v>
      </c>
      <c r="EL17" s="78">
        <f t="shared" si="88"/>
        <v>5630.7806181</v>
      </c>
      <c r="EM17" s="78">
        <f t="shared" si="89"/>
        <v>85427.1881181</v>
      </c>
      <c r="EN17" s="79">
        <f t="shared" si="90"/>
        <v>1174.8723111000002</v>
      </c>
      <c r="EO17" s="77">
        <f t="shared" si="91"/>
        <v>57.4918695</v>
      </c>
      <c r="EP17" s="79"/>
      <c r="EQ17" s="78">
        <f t="shared" si="158"/>
        <v>1518.9</v>
      </c>
      <c r="ER17" s="78">
        <f t="shared" si="92"/>
        <v>107.180172</v>
      </c>
      <c r="ES17" s="78">
        <f t="shared" si="93"/>
        <v>1626.0801720000002</v>
      </c>
      <c r="ET17" s="79">
        <f t="shared" si="94"/>
        <v>22.363332</v>
      </c>
      <c r="EU17" s="77">
        <f t="shared" si="95"/>
        <v>1.0943399999999999</v>
      </c>
      <c r="EV17" s="79"/>
      <c r="EW17" s="78">
        <f t="shared" si="159"/>
        <v>22695.7275</v>
      </c>
      <c r="EX17" s="78">
        <f t="shared" si="96"/>
        <v>1601.5089717</v>
      </c>
      <c r="EY17" s="78">
        <f t="shared" si="97"/>
        <v>24297.236471700002</v>
      </c>
      <c r="EZ17" s="79">
        <f t="shared" si="98"/>
        <v>334.15767270000003</v>
      </c>
      <c r="FA17" s="77">
        <f t="shared" si="99"/>
        <v>16.351861500000002</v>
      </c>
      <c r="FB17" s="79"/>
      <c r="FC17" s="78">
        <f t="shared" si="160"/>
        <v>15766.0575</v>
      </c>
      <c r="FD17" s="78">
        <f t="shared" si="100"/>
        <v>1112.5214001</v>
      </c>
      <c r="FE17" s="78">
        <f t="shared" si="101"/>
        <v>16878.5789001</v>
      </c>
      <c r="FF17" s="79">
        <f t="shared" si="102"/>
        <v>232.1295531</v>
      </c>
      <c r="FG17" s="77">
        <f t="shared" si="103"/>
        <v>11.3591595</v>
      </c>
      <c r="FH17" s="79"/>
      <c r="FI17" s="78">
        <f t="shared" si="161"/>
        <v>6154.6575</v>
      </c>
      <c r="FJ17" s="78">
        <f t="shared" si="104"/>
        <v>434.29932809999997</v>
      </c>
      <c r="FK17" s="78">
        <f t="shared" si="105"/>
        <v>6588.9568281</v>
      </c>
      <c r="FL17" s="79">
        <f t="shared" si="106"/>
        <v>90.6173211</v>
      </c>
      <c r="FM17" s="77">
        <f t="shared" si="107"/>
        <v>4.4343195</v>
      </c>
      <c r="FN17" s="79"/>
      <c r="FO17" s="78">
        <f t="shared" si="162"/>
        <v>69166.5975</v>
      </c>
      <c r="FP17" s="78">
        <f t="shared" si="108"/>
        <v>4880.6951193</v>
      </c>
      <c r="FQ17" s="78">
        <f t="shared" si="109"/>
        <v>74047.2926193</v>
      </c>
      <c r="FR17" s="79">
        <f t="shared" si="110"/>
        <v>1018.3656483000001</v>
      </c>
      <c r="FS17" s="77">
        <f t="shared" si="111"/>
        <v>49.8332835</v>
      </c>
      <c r="FT17" s="79"/>
      <c r="FU17" s="78">
        <f t="shared" si="163"/>
        <v>155887.695</v>
      </c>
      <c r="FV17" s="78">
        <f t="shared" si="112"/>
        <v>11000.1118986</v>
      </c>
      <c r="FW17" s="78">
        <f t="shared" si="113"/>
        <v>166887.8068986</v>
      </c>
      <c r="FX17" s="79">
        <f t="shared" si="114"/>
        <v>2295.1927566</v>
      </c>
      <c r="FY17" s="77">
        <f t="shared" si="115"/>
        <v>112.314267</v>
      </c>
      <c r="FZ17" s="79"/>
      <c r="GA17" s="78">
        <f t="shared" si="164"/>
        <v>19893.232500000002</v>
      </c>
      <c r="GB17" s="78">
        <f t="shared" si="116"/>
        <v>1403.7527691000003</v>
      </c>
      <c r="GC17" s="78">
        <f t="shared" si="117"/>
        <v>21296.9852691</v>
      </c>
      <c r="GD17" s="79">
        <f t="shared" si="118"/>
        <v>292.8954921</v>
      </c>
      <c r="GE17" s="77">
        <f t="shared" si="119"/>
        <v>14.3327145</v>
      </c>
      <c r="GF17" s="79"/>
      <c r="GG17" s="78">
        <f t="shared" si="165"/>
        <v>31590.630000000005</v>
      </c>
      <c r="GH17" s="78">
        <f t="shared" si="120"/>
        <v>2229.1718724</v>
      </c>
      <c r="GI17" s="78">
        <f t="shared" si="121"/>
        <v>33819.80187240001</v>
      </c>
      <c r="GJ17" s="79">
        <f t="shared" si="122"/>
        <v>465.1206444</v>
      </c>
      <c r="GK17" s="77">
        <f t="shared" si="123"/>
        <v>22.760478</v>
      </c>
      <c r="GL17" s="79"/>
      <c r="GM17" s="78">
        <f t="shared" si="166"/>
        <v>146405.1525</v>
      </c>
      <c r="GN17" s="78">
        <f t="shared" si="124"/>
        <v>10330.9825707</v>
      </c>
      <c r="GO17" s="78">
        <f t="shared" si="125"/>
        <v>156736.1350707</v>
      </c>
      <c r="GP17" s="79">
        <f t="shared" si="126"/>
        <v>2155.5777417</v>
      </c>
      <c r="GQ17" s="77">
        <f t="shared" si="127"/>
        <v>105.4822665</v>
      </c>
      <c r="GR17" s="79"/>
      <c r="GS17" s="78">
        <f t="shared" si="167"/>
        <v>7770.045</v>
      </c>
      <c r="GT17" s="78">
        <f t="shared" si="128"/>
        <v>548.2880766</v>
      </c>
      <c r="GU17" s="78">
        <f t="shared" si="129"/>
        <v>8318.3330766</v>
      </c>
      <c r="GV17" s="79">
        <f t="shared" si="130"/>
        <v>114.40127460000001</v>
      </c>
      <c r="GW17" s="77">
        <f t="shared" si="131"/>
        <v>5.598177000000001</v>
      </c>
      <c r="GX17" s="79"/>
      <c r="GY17" s="78">
        <f t="shared" si="168"/>
        <v>44548.59</v>
      </c>
      <c r="GZ17" s="78">
        <f t="shared" si="132"/>
        <v>3143.5417332</v>
      </c>
      <c r="HA17" s="78">
        <f t="shared" si="133"/>
        <v>47692.131733199996</v>
      </c>
      <c r="HB17" s="79">
        <f t="shared" si="134"/>
        <v>655.9055292</v>
      </c>
      <c r="HC17" s="77">
        <f t="shared" si="135"/>
        <v>32.096454</v>
      </c>
      <c r="HD17" s="79"/>
      <c r="HE17" s="79"/>
      <c r="HF17" s="79"/>
      <c r="HG17" s="79"/>
      <c r="HH17" s="79"/>
      <c r="HI17" s="79"/>
    </row>
    <row r="18" spans="1:217" s="52" customFormat="1" ht="12.75">
      <c r="A18" s="51">
        <v>44835</v>
      </c>
      <c r="C18" s="42"/>
      <c r="D18" s="42">
        <v>283638</v>
      </c>
      <c r="E18" s="77">
        <f t="shared" si="0"/>
        <v>283638</v>
      </c>
      <c r="F18" s="77">
        <v>91653</v>
      </c>
      <c r="G18" s="77">
        <v>4485</v>
      </c>
      <c r="H18" s="79"/>
      <c r="I18" s="79"/>
      <c r="J18" s="79">
        <f t="shared" si="1"/>
        <v>153966.0526242</v>
      </c>
      <c r="K18" s="79">
        <f t="shared" si="2"/>
        <v>153966.0526242</v>
      </c>
      <c r="L18" s="79">
        <f t="shared" si="3"/>
        <v>49751.6222127</v>
      </c>
      <c r="M18" s="79">
        <f t="shared" si="3"/>
        <v>2434.5741615</v>
      </c>
      <c r="N18" s="79"/>
      <c r="O18" s="78"/>
      <c r="P18" s="78">
        <f t="shared" si="4"/>
        <v>18761.2922376</v>
      </c>
      <c r="Q18" s="79">
        <f t="shared" si="5"/>
        <v>18761.2922376</v>
      </c>
      <c r="R18" s="79">
        <f t="shared" si="6"/>
        <v>6062.4060156000005</v>
      </c>
      <c r="S18" s="77">
        <f t="shared" si="7"/>
        <v>296.661222</v>
      </c>
      <c r="T18" s="79"/>
      <c r="U18" s="78"/>
      <c r="V18" s="78">
        <f t="shared" si="8"/>
        <v>320.39748480000003</v>
      </c>
      <c r="W18" s="78">
        <f t="shared" si="9"/>
        <v>320.39748480000003</v>
      </c>
      <c r="X18" s="79">
        <f t="shared" si="10"/>
        <v>103.5312288</v>
      </c>
      <c r="Y18" s="77">
        <f t="shared" si="11"/>
        <v>5.066255999999999</v>
      </c>
      <c r="Z18" s="79"/>
      <c r="AA18" s="79"/>
      <c r="AB18" s="78">
        <f t="shared" si="12"/>
        <v>1446.3836172</v>
      </c>
      <c r="AC18" s="78">
        <f t="shared" si="13"/>
        <v>1446.3836172</v>
      </c>
      <c r="AD18" s="79">
        <f t="shared" si="14"/>
        <v>467.37530819999995</v>
      </c>
      <c r="AE18" s="77">
        <f t="shared" si="15"/>
        <v>22.870808999999998</v>
      </c>
      <c r="AF18" s="79"/>
      <c r="AG18" s="78"/>
      <c r="AH18" s="78">
        <f t="shared" si="16"/>
        <v>25152.932748599997</v>
      </c>
      <c r="AI18" s="78">
        <f t="shared" si="17"/>
        <v>25152.932748599997</v>
      </c>
      <c r="AJ18" s="79">
        <f t="shared" si="18"/>
        <v>8127.7605441</v>
      </c>
      <c r="AK18" s="77">
        <f t="shared" si="19"/>
        <v>397.7284545</v>
      </c>
      <c r="AL18" s="79"/>
      <c r="AM18" s="78"/>
      <c r="AN18" s="78">
        <f t="shared" si="20"/>
        <v>304.68393960000003</v>
      </c>
      <c r="AO18" s="78">
        <f t="shared" si="21"/>
        <v>304.68393960000003</v>
      </c>
      <c r="AP18" s="79">
        <f t="shared" si="22"/>
        <v>98.4536526</v>
      </c>
      <c r="AQ18" s="77">
        <f t="shared" si="23"/>
        <v>4.817787</v>
      </c>
      <c r="AR18" s="78"/>
      <c r="AS18" s="78"/>
      <c r="AT18" s="78">
        <f t="shared" si="24"/>
        <v>256.9476642</v>
      </c>
      <c r="AU18" s="78">
        <f t="shared" si="25"/>
        <v>256.9476642</v>
      </c>
      <c r="AV18" s="79">
        <f t="shared" si="26"/>
        <v>83.0284527</v>
      </c>
      <c r="AW18" s="77">
        <f t="shared" si="27"/>
        <v>4.0629615</v>
      </c>
      <c r="AX18" s="79"/>
      <c r="AY18" s="78"/>
      <c r="AZ18" s="78">
        <f t="shared" si="28"/>
        <v>10541.9168184</v>
      </c>
      <c r="BA18" s="78">
        <f t="shared" si="29"/>
        <v>10541.9168184</v>
      </c>
      <c r="BB18" s="79">
        <f t="shared" si="30"/>
        <v>3406.4487204</v>
      </c>
      <c r="BC18" s="77">
        <f t="shared" si="31"/>
        <v>166.693098</v>
      </c>
      <c r="BD18" s="79"/>
      <c r="BE18" s="78"/>
      <c r="BF18" s="78">
        <f t="shared" si="32"/>
        <v>21630.886247399998</v>
      </c>
      <c r="BG18" s="78">
        <f t="shared" si="33"/>
        <v>21630.886247399998</v>
      </c>
      <c r="BH18" s="79">
        <f t="shared" si="34"/>
        <v>6989.6685819</v>
      </c>
      <c r="BI18" s="77">
        <f t="shared" si="35"/>
        <v>342.03641550000003</v>
      </c>
      <c r="BJ18" s="79"/>
      <c r="BK18" s="78"/>
      <c r="BL18" s="78">
        <f t="shared" si="36"/>
        <v>249.7148952</v>
      </c>
      <c r="BM18" s="78">
        <f t="shared" si="37"/>
        <v>249.7148952</v>
      </c>
      <c r="BN18" s="79">
        <f t="shared" si="38"/>
        <v>80.6913012</v>
      </c>
      <c r="BO18" s="77">
        <f t="shared" si="39"/>
        <v>3.9485940000000004</v>
      </c>
      <c r="BP18" s="79"/>
      <c r="BQ18" s="78"/>
      <c r="BR18" s="78">
        <f t="shared" si="40"/>
        <v>167.74351319999997</v>
      </c>
      <c r="BS18" s="78">
        <f t="shared" si="41"/>
        <v>167.74351319999997</v>
      </c>
      <c r="BT18" s="79">
        <f t="shared" si="42"/>
        <v>54.203584199999995</v>
      </c>
      <c r="BU18" s="77">
        <f t="shared" si="43"/>
        <v>2.6524289999999997</v>
      </c>
      <c r="BV18" s="79"/>
      <c r="BW18" s="78"/>
      <c r="BX18" s="78">
        <f t="shared" si="44"/>
        <v>-24.9885078</v>
      </c>
      <c r="BY18" s="78">
        <f t="shared" si="45"/>
        <v>-24.9885078</v>
      </c>
      <c r="BZ18" s="79">
        <f t="shared" si="46"/>
        <v>-8.0746293</v>
      </c>
      <c r="CA18" s="77">
        <f t="shared" si="47"/>
        <v>-0.3951285</v>
      </c>
      <c r="CB18" s="78"/>
      <c r="CC18" s="78"/>
      <c r="CD18" s="78">
        <f t="shared" si="48"/>
        <v>-16.280821200000002</v>
      </c>
      <c r="CE18" s="78">
        <f t="shared" si="49"/>
        <v>-16.280821200000002</v>
      </c>
      <c r="CF18" s="79">
        <f t="shared" si="50"/>
        <v>-5.2608822</v>
      </c>
      <c r="CG18" s="77">
        <f t="shared" si="51"/>
        <v>-0.257439</v>
      </c>
      <c r="CH18" s="79"/>
      <c r="CI18" s="78"/>
      <c r="CJ18" s="78">
        <f t="shared" si="52"/>
        <v>605.4536748</v>
      </c>
      <c r="CK18" s="78">
        <f t="shared" si="53"/>
        <v>605.4536748</v>
      </c>
      <c r="CL18" s="79">
        <f t="shared" si="54"/>
        <v>195.64249379999998</v>
      </c>
      <c r="CM18" s="77">
        <f t="shared" si="55"/>
        <v>9.573681</v>
      </c>
      <c r="CN18" s="79"/>
      <c r="CO18" s="78"/>
      <c r="CP18" s="78">
        <f t="shared" si="56"/>
        <v>3723.316026</v>
      </c>
      <c r="CQ18" s="78">
        <f t="shared" si="57"/>
        <v>3723.316026</v>
      </c>
      <c r="CR18" s="79">
        <f t="shared" si="58"/>
        <v>1203.128931</v>
      </c>
      <c r="CS18" s="77">
        <f t="shared" si="59"/>
        <v>58.874595</v>
      </c>
      <c r="CT18" s="79"/>
      <c r="CU18" s="78"/>
      <c r="CV18" s="78">
        <f t="shared" si="60"/>
        <v>25012.6453938</v>
      </c>
      <c r="CW18" s="78">
        <f t="shared" si="61"/>
        <v>25012.6453938</v>
      </c>
      <c r="CX18" s="79">
        <f t="shared" si="62"/>
        <v>8082.4289703</v>
      </c>
      <c r="CY18" s="77">
        <f t="shared" si="63"/>
        <v>395.5101735</v>
      </c>
      <c r="CZ18" s="79"/>
      <c r="DA18" s="78"/>
      <c r="DB18" s="78">
        <f t="shared" si="64"/>
        <v>3608.7830016</v>
      </c>
      <c r="DC18" s="78">
        <f t="shared" si="65"/>
        <v>3608.7830016</v>
      </c>
      <c r="DD18" s="79">
        <f t="shared" si="66"/>
        <v>1166.1194496</v>
      </c>
      <c r="DE18" s="77">
        <f t="shared" si="67"/>
        <v>57.063552</v>
      </c>
      <c r="DF18" s="79"/>
      <c r="DG18" s="78"/>
      <c r="DH18" s="78">
        <f t="shared" si="68"/>
        <v>7373.7938136</v>
      </c>
      <c r="DI18" s="78">
        <f t="shared" si="69"/>
        <v>7373.7938136</v>
      </c>
      <c r="DJ18" s="79">
        <f t="shared" si="70"/>
        <v>2382.7213716</v>
      </c>
      <c r="DK18" s="77">
        <f t="shared" si="71"/>
        <v>116.597442</v>
      </c>
      <c r="DL18" s="79"/>
      <c r="DM18" s="78"/>
      <c r="DN18" s="78">
        <f t="shared" si="72"/>
        <v>1195.8745356</v>
      </c>
      <c r="DO18" s="78">
        <f t="shared" si="73"/>
        <v>1195.8745356</v>
      </c>
      <c r="DP18" s="79">
        <f t="shared" si="74"/>
        <v>386.4273786</v>
      </c>
      <c r="DQ18" s="77">
        <f t="shared" si="75"/>
        <v>18.909657</v>
      </c>
      <c r="DR18" s="79"/>
      <c r="DS18" s="78"/>
      <c r="DT18" s="78">
        <f t="shared" si="76"/>
        <v>6134.579391599999</v>
      </c>
      <c r="DU18" s="78">
        <f t="shared" si="77"/>
        <v>6134.579391599999</v>
      </c>
      <c r="DV18" s="79">
        <f t="shared" si="78"/>
        <v>1982.2894146</v>
      </c>
      <c r="DW18" s="77">
        <f t="shared" si="79"/>
        <v>97.002477</v>
      </c>
      <c r="DX18" s="79"/>
      <c r="DY18" s="78"/>
      <c r="DZ18" s="78">
        <f t="shared" si="80"/>
        <v>54.827225399999996</v>
      </c>
      <c r="EA18" s="78">
        <f t="shared" si="81"/>
        <v>54.827225399999996</v>
      </c>
      <c r="EB18" s="79">
        <f t="shared" si="82"/>
        <v>17.7165249</v>
      </c>
      <c r="EC18" s="77">
        <f t="shared" si="83"/>
        <v>0.8669505000000001</v>
      </c>
      <c r="ED18" s="79"/>
      <c r="EE18" s="78"/>
      <c r="EF18" s="78">
        <f t="shared" si="84"/>
        <v>72.1575072</v>
      </c>
      <c r="EG18" s="78">
        <f t="shared" si="85"/>
        <v>72.1575072</v>
      </c>
      <c r="EH18" s="79">
        <f t="shared" si="86"/>
        <v>23.3165232</v>
      </c>
      <c r="EI18" s="77">
        <f t="shared" si="87"/>
        <v>1.140984</v>
      </c>
      <c r="EJ18" s="79"/>
      <c r="EK18" s="78"/>
      <c r="EL18" s="78">
        <f t="shared" si="88"/>
        <v>3635.8704306</v>
      </c>
      <c r="EM18" s="78">
        <f t="shared" si="89"/>
        <v>3635.8704306</v>
      </c>
      <c r="EN18" s="79">
        <f t="shared" si="90"/>
        <v>1174.8723111000002</v>
      </c>
      <c r="EO18" s="77">
        <f t="shared" si="91"/>
        <v>57.4918695</v>
      </c>
      <c r="EP18" s="79"/>
      <c r="EQ18" s="78"/>
      <c r="ER18" s="78">
        <f t="shared" si="92"/>
        <v>69.207672</v>
      </c>
      <c r="ES18" s="78">
        <f t="shared" si="93"/>
        <v>69.207672</v>
      </c>
      <c r="ET18" s="79">
        <f t="shared" si="94"/>
        <v>22.363332</v>
      </c>
      <c r="EU18" s="77">
        <f t="shared" si="95"/>
        <v>1.0943399999999999</v>
      </c>
      <c r="EV18" s="79"/>
      <c r="EW18" s="78"/>
      <c r="EX18" s="78">
        <f t="shared" si="96"/>
        <v>1034.1157842</v>
      </c>
      <c r="EY18" s="78">
        <f t="shared" si="97"/>
        <v>1034.1157842</v>
      </c>
      <c r="EZ18" s="79">
        <f t="shared" si="98"/>
        <v>334.15767270000003</v>
      </c>
      <c r="FA18" s="77">
        <f t="shared" si="99"/>
        <v>16.351861500000002</v>
      </c>
      <c r="FB18" s="79"/>
      <c r="FC18" s="78"/>
      <c r="FD18" s="78">
        <f t="shared" si="100"/>
        <v>718.3699626</v>
      </c>
      <c r="FE18" s="78">
        <f t="shared" si="101"/>
        <v>718.3699626</v>
      </c>
      <c r="FF18" s="79">
        <f t="shared" si="102"/>
        <v>232.1295531</v>
      </c>
      <c r="FG18" s="77">
        <f t="shared" si="103"/>
        <v>11.3591595</v>
      </c>
      <c r="FH18" s="79"/>
      <c r="FI18" s="78"/>
      <c r="FJ18" s="78">
        <f t="shared" si="104"/>
        <v>280.4328906</v>
      </c>
      <c r="FK18" s="78">
        <f t="shared" si="105"/>
        <v>280.4328906</v>
      </c>
      <c r="FL18" s="79">
        <f t="shared" si="106"/>
        <v>90.6173211</v>
      </c>
      <c r="FM18" s="77">
        <f t="shared" si="107"/>
        <v>4.4343195</v>
      </c>
      <c r="FN18" s="79"/>
      <c r="FO18" s="78"/>
      <c r="FP18" s="78">
        <f t="shared" si="108"/>
        <v>3151.5301818000003</v>
      </c>
      <c r="FQ18" s="78">
        <f t="shared" si="109"/>
        <v>3151.5301818000003</v>
      </c>
      <c r="FR18" s="79">
        <f t="shared" si="110"/>
        <v>1018.3656483000001</v>
      </c>
      <c r="FS18" s="77">
        <f t="shared" si="111"/>
        <v>49.8332835</v>
      </c>
      <c r="FT18" s="79"/>
      <c r="FU18" s="78"/>
      <c r="FV18" s="78">
        <f t="shared" si="112"/>
        <v>7102.9195236</v>
      </c>
      <c r="FW18" s="78">
        <f t="shared" si="113"/>
        <v>7102.9195236</v>
      </c>
      <c r="FX18" s="79">
        <f t="shared" si="114"/>
        <v>2295.1927566</v>
      </c>
      <c r="FY18" s="77">
        <f t="shared" si="115"/>
        <v>112.314267</v>
      </c>
      <c r="FZ18" s="79"/>
      <c r="GA18" s="78"/>
      <c r="GB18" s="78">
        <f t="shared" si="116"/>
        <v>906.4219566000002</v>
      </c>
      <c r="GC18" s="78">
        <f t="shared" si="117"/>
        <v>906.4219566000002</v>
      </c>
      <c r="GD18" s="79">
        <f t="shared" si="118"/>
        <v>292.8954921</v>
      </c>
      <c r="GE18" s="77">
        <f t="shared" si="119"/>
        <v>14.3327145</v>
      </c>
      <c r="GF18" s="79"/>
      <c r="GG18" s="78"/>
      <c r="GH18" s="78">
        <f t="shared" si="120"/>
        <v>1439.4061224000002</v>
      </c>
      <c r="GI18" s="78">
        <f t="shared" si="121"/>
        <v>1439.4061224000002</v>
      </c>
      <c r="GJ18" s="79">
        <f t="shared" si="122"/>
        <v>465.1206444</v>
      </c>
      <c r="GK18" s="77">
        <f t="shared" si="123"/>
        <v>22.760478</v>
      </c>
      <c r="GL18" s="79"/>
      <c r="GM18" s="78"/>
      <c r="GN18" s="78">
        <f t="shared" si="124"/>
        <v>6670.8537582</v>
      </c>
      <c r="GO18" s="78">
        <f t="shared" si="125"/>
        <v>6670.8537582</v>
      </c>
      <c r="GP18" s="79">
        <f t="shared" si="126"/>
        <v>2155.5777417</v>
      </c>
      <c r="GQ18" s="77">
        <f t="shared" si="127"/>
        <v>105.4822665</v>
      </c>
      <c r="GR18" s="79"/>
      <c r="GS18" s="78"/>
      <c r="GT18" s="78">
        <f t="shared" si="128"/>
        <v>354.0369516</v>
      </c>
      <c r="GU18" s="78">
        <f t="shared" si="129"/>
        <v>354.0369516</v>
      </c>
      <c r="GV18" s="79">
        <f t="shared" si="130"/>
        <v>114.40127460000001</v>
      </c>
      <c r="GW18" s="77">
        <f t="shared" si="131"/>
        <v>5.598177000000001</v>
      </c>
      <c r="GX18" s="79"/>
      <c r="GY18" s="78"/>
      <c r="GZ18" s="78">
        <f t="shared" si="132"/>
        <v>2029.8269832000003</v>
      </c>
      <c r="HA18" s="78">
        <f t="shared" si="133"/>
        <v>2029.8269832000003</v>
      </c>
      <c r="HB18" s="79">
        <f t="shared" si="134"/>
        <v>655.9055292</v>
      </c>
      <c r="HC18" s="77">
        <f t="shared" si="135"/>
        <v>32.096454</v>
      </c>
      <c r="HD18" s="79"/>
      <c r="HE18" s="79"/>
      <c r="HF18" s="79"/>
      <c r="HG18" s="79"/>
      <c r="HH18" s="79"/>
      <c r="HI18" s="79"/>
    </row>
    <row r="19" spans="1:217" s="52" customFormat="1" ht="12.75">
      <c r="A19" s="51">
        <v>45017</v>
      </c>
      <c r="C19" s="42">
        <v>6540000</v>
      </c>
      <c r="D19" s="42">
        <v>283638</v>
      </c>
      <c r="E19" s="77">
        <f t="shared" si="0"/>
        <v>6823638</v>
      </c>
      <c r="F19" s="77">
        <v>91653</v>
      </c>
      <c r="G19" s="77">
        <v>4485</v>
      </c>
      <c r="H19" s="79"/>
      <c r="I19" s="79">
        <f>O19+U19+AA19+AG19+AM19+AS19+AY19+BE19+BK19+BQ19+BW19+CC19+CI19+CO19+CU19+DA19+DG19+DM19+DS19+DY19+EE19+EK19+EQ19+EW19+FC19+FI19+FO19+FU19+GA19+GG19+GM19+GS19+GY19</f>
        <v>3550081.3860000004</v>
      </c>
      <c r="J19" s="79">
        <f t="shared" si="1"/>
        <v>153966.0526242</v>
      </c>
      <c r="K19" s="79">
        <f t="shared" si="2"/>
        <v>3704047.4386242004</v>
      </c>
      <c r="L19" s="79">
        <f t="shared" si="3"/>
        <v>49751.6222127</v>
      </c>
      <c r="M19" s="79">
        <f t="shared" si="3"/>
        <v>2434.5741615</v>
      </c>
      <c r="N19" s="79"/>
      <c r="O19" s="78">
        <f t="shared" si="136"/>
        <v>432589.60799999995</v>
      </c>
      <c r="P19" s="78">
        <f t="shared" si="4"/>
        <v>18761.2922376</v>
      </c>
      <c r="Q19" s="79">
        <f t="shared" si="5"/>
        <v>451350.90023759997</v>
      </c>
      <c r="R19" s="79">
        <f t="shared" si="6"/>
        <v>6062.4060156000005</v>
      </c>
      <c r="S19" s="77">
        <f t="shared" si="7"/>
        <v>296.661222</v>
      </c>
      <c r="T19" s="79"/>
      <c r="U19" s="78">
        <f t="shared" si="137"/>
        <v>7387.584</v>
      </c>
      <c r="V19" s="78">
        <f t="shared" si="8"/>
        <v>320.39748480000003</v>
      </c>
      <c r="W19" s="78">
        <f t="shared" si="9"/>
        <v>7707.9814848</v>
      </c>
      <c r="X19" s="79">
        <f t="shared" si="10"/>
        <v>103.5312288</v>
      </c>
      <c r="Y19" s="77">
        <f t="shared" si="11"/>
        <v>5.066255999999999</v>
      </c>
      <c r="Z19" s="79"/>
      <c r="AA19" s="79">
        <f t="shared" si="138"/>
        <v>33350.075999999994</v>
      </c>
      <c r="AB19" s="78">
        <f t="shared" si="12"/>
        <v>1446.3836172</v>
      </c>
      <c r="AC19" s="78">
        <f t="shared" si="13"/>
        <v>34796.459617199995</v>
      </c>
      <c r="AD19" s="79">
        <f t="shared" si="14"/>
        <v>467.37530819999995</v>
      </c>
      <c r="AE19" s="77">
        <f t="shared" si="15"/>
        <v>22.870808999999998</v>
      </c>
      <c r="AF19" s="79"/>
      <c r="AG19" s="78">
        <f t="shared" si="139"/>
        <v>579965.238</v>
      </c>
      <c r="AH19" s="78">
        <f t="shared" si="16"/>
        <v>25152.932748599997</v>
      </c>
      <c r="AI19" s="78">
        <f t="shared" si="17"/>
        <v>605118.1707486</v>
      </c>
      <c r="AJ19" s="79">
        <f t="shared" si="18"/>
        <v>8127.7605441</v>
      </c>
      <c r="AK19" s="77">
        <f t="shared" si="19"/>
        <v>397.7284545</v>
      </c>
      <c r="AL19" s="79"/>
      <c r="AM19" s="78">
        <f t="shared" si="140"/>
        <v>7025.268</v>
      </c>
      <c r="AN19" s="78">
        <f t="shared" si="20"/>
        <v>304.68393960000003</v>
      </c>
      <c r="AO19" s="78">
        <f t="shared" si="21"/>
        <v>7329.9519396</v>
      </c>
      <c r="AP19" s="79">
        <f t="shared" si="22"/>
        <v>98.4536526</v>
      </c>
      <c r="AQ19" s="77">
        <f t="shared" si="23"/>
        <v>4.817787</v>
      </c>
      <c r="AR19" s="78"/>
      <c r="AS19" s="78">
        <f t="shared" si="141"/>
        <v>5924.585999999999</v>
      </c>
      <c r="AT19" s="78">
        <f t="shared" si="24"/>
        <v>256.9476642</v>
      </c>
      <c r="AU19" s="78">
        <f t="shared" si="25"/>
        <v>6181.533664199999</v>
      </c>
      <c r="AV19" s="79">
        <f t="shared" si="26"/>
        <v>83.0284527</v>
      </c>
      <c r="AW19" s="77">
        <f t="shared" si="27"/>
        <v>4.0629615</v>
      </c>
      <c r="AX19" s="79"/>
      <c r="AY19" s="78">
        <f t="shared" si="142"/>
        <v>243070.87200000003</v>
      </c>
      <c r="AZ19" s="78">
        <f t="shared" si="28"/>
        <v>10541.9168184</v>
      </c>
      <c r="BA19" s="78">
        <f t="shared" si="29"/>
        <v>253612.78881840003</v>
      </c>
      <c r="BB19" s="79">
        <f t="shared" si="30"/>
        <v>3406.4487204</v>
      </c>
      <c r="BC19" s="77">
        <f t="shared" si="31"/>
        <v>166.693098</v>
      </c>
      <c r="BD19" s="79"/>
      <c r="BE19" s="78">
        <f t="shared" si="143"/>
        <v>498755.442</v>
      </c>
      <c r="BF19" s="78">
        <f t="shared" si="32"/>
        <v>21630.886247399998</v>
      </c>
      <c r="BG19" s="78">
        <f t="shared" si="33"/>
        <v>520386.3282474</v>
      </c>
      <c r="BH19" s="79">
        <f t="shared" si="34"/>
        <v>6989.6685819</v>
      </c>
      <c r="BI19" s="77">
        <f t="shared" si="35"/>
        <v>342.03641550000003</v>
      </c>
      <c r="BJ19" s="79"/>
      <c r="BK19" s="78">
        <f t="shared" si="144"/>
        <v>5757.816</v>
      </c>
      <c r="BL19" s="78">
        <f t="shared" si="36"/>
        <v>249.7148952</v>
      </c>
      <c r="BM19" s="78">
        <f t="shared" si="37"/>
        <v>6007.5308952</v>
      </c>
      <c r="BN19" s="79">
        <f t="shared" si="38"/>
        <v>80.6913012</v>
      </c>
      <c r="BO19" s="77">
        <f t="shared" si="39"/>
        <v>3.9485940000000004</v>
      </c>
      <c r="BP19" s="79"/>
      <c r="BQ19" s="78">
        <f t="shared" si="145"/>
        <v>3867.756</v>
      </c>
      <c r="BR19" s="78">
        <f t="shared" si="40"/>
        <v>167.74351319999997</v>
      </c>
      <c r="BS19" s="78">
        <f t="shared" si="41"/>
        <v>4035.4995132</v>
      </c>
      <c r="BT19" s="79">
        <f t="shared" si="42"/>
        <v>54.203584199999995</v>
      </c>
      <c r="BU19" s="77">
        <f t="shared" si="43"/>
        <v>2.6524289999999997</v>
      </c>
      <c r="BV19" s="79"/>
      <c r="BW19" s="78">
        <f t="shared" si="146"/>
        <v>-576.174</v>
      </c>
      <c r="BX19" s="78">
        <f t="shared" si="44"/>
        <v>-24.9885078</v>
      </c>
      <c r="BY19" s="78">
        <f t="shared" si="45"/>
        <v>-601.1625078</v>
      </c>
      <c r="BZ19" s="79">
        <f t="shared" si="46"/>
        <v>-8.0746293</v>
      </c>
      <c r="CA19" s="77">
        <f t="shared" si="47"/>
        <v>-0.3951285</v>
      </c>
      <c r="CB19" s="78"/>
      <c r="CC19" s="78">
        <f t="shared" si="147"/>
        <v>-375.39599999999996</v>
      </c>
      <c r="CD19" s="78">
        <f t="shared" si="48"/>
        <v>-16.280821200000002</v>
      </c>
      <c r="CE19" s="78">
        <f t="shared" si="49"/>
        <v>-391.67682119999995</v>
      </c>
      <c r="CF19" s="79">
        <f t="shared" si="50"/>
        <v>-5.2608822</v>
      </c>
      <c r="CG19" s="77">
        <f t="shared" si="51"/>
        <v>-0.257439</v>
      </c>
      <c r="CH19" s="79"/>
      <c r="CI19" s="78">
        <f t="shared" si="148"/>
        <v>13960.284000000001</v>
      </c>
      <c r="CJ19" s="78">
        <f t="shared" si="52"/>
        <v>605.4536748</v>
      </c>
      <c r="CK19" s="78">
        <f t="shared" si="53"/>
        <v>14565.737674800002</v>
      </c>
      <c r="CL19" s="79">
        <f t="shared" si="54"/>
        <v>195.64249379999998</v>
      </c>
      <c r="CM19" s="77">
        <f t="shared" si="55"/>
        <v>9.573681</v>
      </c>
      <c r="CN19" s="79"/>
      <c r="CO19" s="78">
        <f t="shared" si="149"/>
        <v>85850.58</v>
      </c>
      <c r="CP19" s="78">
        <f t="shared" si="56"/>
        <v>3723.316026</v>
      </c>
      <c r="CQ19" s="78">
        <f t="shared" si="57"/>
        <v>89573.896026</v>
      </c>
      <c r="CR19" s="79">
        <f t="shared" si="58"/>
        <v>1203.128931</v>
      </c>
      <c r="CS19" s="77">
        <f t="shared" si="59"/>
        <v>58.874595</v>
      </c>
      <c r="CT19" s="79"/>
      <c r="CU19" s="78">
        <f t="shared" si="150"/>
        <v>576730.554</v>
      </c>
      <c r="CV19" s="78">
        <f t="shared" si="60"/>
        <v>25012.6453938</v>
      </c>
      <c r="CW19" s="78">
        <f t="shared" si="61"/>
        <v>601743.1993938</v>
      </c>
      <c r="CX19" s="79">
        <f t="shared" si="62"/>
        <v>8082.4289703</v>
      </c>
      <c r="CY19" s="77">
        <f t="shared" si="63"/>
        <v>395.5101735</v>
      </c>
      <c r="CZ19" s="79"/>
      <c r="DA19" s="78">
        <f t="shared" si="151"/>
        <v>83209.72799999999</v>
      </c>
      <c r="DB19" s="78">
        <f t="shared" si="64"/>
        <v>3608.7830016</v>
      </c>
      <c r="DC19" s="78">
        <f t="shared" si="65"/>
        <v>86818.51100159998</v>
      </c>
      <c r="DD19" s="79">
        <f t="shared" si="66"/>
        <v>1166.1194496</v>
      </c>
      <c r="DE19" s="77">
        <f t="shared" si="67"/>
        <v>57.063552</v>
      </c>
      <c r="DF19" s="79"/>
      <c r="DG19" s="78">
        <f t="shared" si="152"/>
        <v>170021.688</v>
      </c>
      <c r="DH19" s="78">
        <f t="shared" si="68"/>
        <v>7373.7938136</v>
      </c>
      <c r="DI19" s="78">
        <f t="shared" si="69"/>
        <v>177395.4818136</v>
      </c>
      <c r="DJ19" s="79">
        <f t="shared" si="70"/>
        <v>2382.7213716</v>
      </c>
      <c r="DK19" s="77">
        <f t="shared" si="71"/>
        <v>116.597442</v>
      </c>
      <c r="DL19" s="79"/>
      <c r="DM19" s="78">
        <f t="shared" si="153"/>
        <v>27573.947999999997</v>
      </c>
      <c r="DN19" s="78">
        <f t="shared" si="72"/>
        <v>1195.8745356</v>
      </c>
      <c r="DO19" s="78">
        <f t="shared" si="73"/>
        <v>28769.822535599997</v>
      </c>
      <c r="DP19" s="79">
        <f t="shared" si="74"/>
        <v>386.4273786</v>
      </c>
      <c r="DQ19" s="77">
        <f t="shared" si="75"/>
        <v>18.909657</v>
      </c>
      <c r="DR19" s="79"/>
      <c r="DS19" s="78">
        <f t="shared" si="154"/>
        <v>141448.42799999999</v>
      </c>
      <c r="DT19" s="78">
        <f t="shared" si="76"/>
        <v>6134.579391599999</v>
      </c>
      <c r="DU19" s="78">
        <f t="shared" si="77"/>
        <v>147583.0073916</v>
      </c>
      <c r="DV19" s="79">
        <f t="shared" si="78"/>
        <v>1982.2894146</v>
      </c>
      <c r="DW19" s="77">
        <f t="shared" si="79"/>
        <v>97.002477</v>
      </c>
      <c r="DX19" s="79"/>
      <c r="DY19" s="78">
        <f t="shared" si="155"/>
        <v>1264.182</v>
      </c>
      <c r="DZ19" s="78">
        <f t="shared" si="80"/>
        <v>54.827225399999996</v>
      </c>
      <c r="EA19" s="78">
        <f t="shared" si="81"/>
        <v>1319.0092254</v>
      </c>
      <c r="EB19" s="79">
        <f t="shared" si="82"/>
        <v>17.7165249</v>
      </c>
      <c r="EC19" s="77">
        <f t="shared" si="83"/>
        <v>0.8669505000000001</v>
      </c>
      <c r="ED19" s="79"/>
      <c r="EE19" s="78">
        <f t="shared" si="156"/>
        <v>1663.776</v>
      </c>
      <c r="EF19" s="78">
        <f t="shared" si="84"/>
        <v>72.1575072</v>
      </c>
      <c r="EG19" s="78">
        <f t="shared" si="85"/>
        <v>1735.9335072000001</v>
      </c>
      <c r="EH19" s="79">
        <f t="shared" si="86"/>
        <v>23.3165232</v>
      </c>
      <c r="EI19" s="77">
        <f t="shared" si="87"/>
        <v>1.140984</v>
      </c>
      <c r="EJ19" s="79"/>
      <c r="EK19" s="78">
        <f t="shared" si="157"/>
        <v>83834.29800000001</v>
      </c>
      <c r="EL19" s="78">
        <f t="shared" si="88"/>
        <v>3635.8704306</v>
      </c>
      <c r="EM19" s="78">
        <f t="shared" si="89"/>
        <v>87470.16843060001</v>
      </c>
      <c r="EN19" s="79">
        <f t="shared" si="90"/>
        <v>1174.8723111000002</v>
      </c>
      <c r="EO19" s="77">
        <f t="shared" si="91"/>
        <v>57.4918695</v>
      </c>
      <c r="EP19" s="79"/>
      <c r="EQ19" s="78">
        <f t="shared" si="158"/>
        <v>1595.76</v>
      </c>
      <c r="ER19" s="78">
        <f t="shared" si="92"/>
        <v>69.207672</v>
      </c>
      <c r="ES19" s="78">
        <f t="shared" si="93"/>
        <v>1664.967672</v>
      </c>
      <c r="ET19" s="79">
        <f t="shared" si="94"/>
        <v>22.363332</v>
      </c>
      <c r="EU19" s="77">
        <f t="shared" si="95"/>
        <v>1.0943399999999999</v>
      </c>
      <c r="EV19" s="79"/>
      <c r="EW19" s="78">
        <f t="shared" si="159"/>
        <v>23844.186</v>
      </c>
      <c r="EX19" s="78">
        <f t="shared" si="96"/>
        <v>1034.1157842</v>
      </c>
      <c r="EY19" s="78">
        <f t="shared" si="97"/>
        <v>24878.3017842</v>
      </c>
      <c r="EZ19" s="79">
        <f t="shared" si="98"/>
        <v>334.15767270000003</v>
      </c>
      <c r="FA19" s="77">
        <f t="shared" si="99"/>
        <v>16.351861500000002</v>
      </c>
      <c r="FB19" s="79"/>
      <c r="FC19" s="78">
        <f t="shared" si="160"/>
        <v>16563.858</v>
      </c>
      <c r="FD19" s="78">
        <f t="shared" si="100"/>
        <v>718.3699626</v>
      </c>
      <c r="FE19" s="78">
        <f t="shared" si="101"/>
        <v>17282.2279626</v>
      </c>
      <c r="FF19" s="79">
        <f t="shared" si="102"/>
        <v>232.1295531</v>
      </c>
      <c r="FG19" s="77">
        <f t="shared" si="103"/>
        <v>11.3591595</v>
      </c>
      <c r="FH19" s="79"/>
      <c r="FI19" s="78">
        <f t="shared" si="161"/>
        <v>6466.098000000001</v>
      </c>
      <c r="FJ19" s="78">
        <f t="shared" si="104"/>
        <v>280.4328906</v>
      </c>
      <c r="FK19" s="78">
        <f t="shared" si="105"/>
        <v>6746.530890600001</v>
      </c>
      <c r="FL19" s="79">
        <f t="shared" si="106"/>
        <v>90.6173211</v>
      </c>
      <c r="FM19" s="77">
        <f t="shared" si="107"/>
        <v>4.4343195</v>
      </c>
      <c r="FN19" s="79"/>
      <c r="FO19" s="78">
        <f t="shared" si="162"/>
        <v>72666.594</v>
      </c>
      <c r="FP19" s="78">
        <f t="shared" si="108"/>
        <v>3151.5301818000003</v>
      </c>
      <c r="FQ19" s="78">
        <f t="shared" si="109"/>
        <v>75818.1241818</v>
      </c>
      <c r="FR19" s="79">
        <f t="shared" si="110"/>
        <v>1018.3656483000001</v>
      </c>
      <c r="FS19" s="77">
        <f t="shared" si="111"/>
        <v>49.8332835</v>
      </c>
      <c r="FT19" s="79"/>
      <c r="FU19" s="78">
        <f t="shared" si="163"/>
        <v>163775.988</v>
      </c>
      <c r="FV19" s="78">
        <f t="shared" si="112"/>
        <v>7102.9195236</v>
      </c>
      <c r="FW19" s="78">
        <f t="shared" si="113"/>
        <v>170878.9075236</v>
      </c>
      <c r="FX19" s="79">
        <f t="shared" si="114"/>
        <v>2295.1927566</v>
      </c>
      <c r="FY19" s="77">
        <f t="shared" si="115"/>
        <v>112.314267</v>
      </c>
      <c r="FZ19" s="79"/>
      <c r="GA19" s="78">
        <f t="shared" si="164"/>
        <v>20899.878</v>
      </c>
      <c r="GB19" s="78">
        <f t="shared" si="116"/>
        <v>906.4219566000002</v>
      </c>
      <c r="GC19" s="78">
        <f t="shared" si="117"/>
        <v>21806.2999566</v>
      </c>
      <c r="GD19" s="79">
        <f t="shared" si="118"/>
        <v>292.8954921</v>
      </c>
      <c r="GE19" s="77">
        <f t="shared" si="119"/>
        <v>14.3327145</v>
      </c>
      <c r="GF19" s="79"/>
      <c r="GG19" s="78">
        <f t="shared" si="165"/>
        <v>33189.192</v>
      </c>
      <c r="GH19" s="78">
        <f t="shared" si="120"/>
        <v>1439.4061224000002</v>
      </c>
      <c r="GI19" s="78">
        <f t="shared" si="121"/>
        <v>34628.598122400006</v>
      </c>
      <c r="GJ19" s="79">
        <f t="shared" si="122"/>
        <v>465.1206444</v>
      </c>
      <c r="GK19" s="77">
        <f t="shared" si="123"/>
        <v>22.760478</v>
      </c>
      <c r="GL19" s="79"/>
      <c r="GM19" s="78">
        <f t="shared" si="166"/>
        <v>153813.606</v>
      </c>
      <c r="GN19" s="78">
        <f t="shared" si="124"/>
        <v>6670.8537582</v>
      </c>
      <c r="GO19" s="78">
        <f t="shared" si="125"/>
        <v>160484.4597582</v>
      </c>
      <c r="GP19" s="79">
        <f t="shared" si="126"/>
        <v>2155.5777417</v>
      </c>
      <c r="GQ19" s="77">
        <f t="shared" si="127"/>
        <v>105.4822665</v>
      </c>
      <c r="GR19" s="79"/>
      <c r="GS19" s="78">
        <f t="shared" si="167"/>
        <v>8163.228</v>
      </c>
      <c r="GT19" s="78">
        <f t="shared" si="128"/>
        <v>354.0369516</v>
      </c>
      <c r="GU19" s="78">
        <f t="shared" si="129"/>
        <v>8517.2649516</v>
      </c>
      <c r="GV19" s="79">
        <f t="shared" si="130"/>
        <v>114.40127460000001</v>
      </c>
      <c r="GW19" s="77">
        <f t="shared" si="131"/>
        <v>5.598177000000001</v>
      </c>
      <c r="GX19" s="79"/>
      <c r="GY19" s="78">
        <f t="shared" si="168"/>
        <v>46802.85600000001</v>
      </c>
      <c r="GZ19" s="78">
        <f t="shared" si="132"/>
        <v>2029.8269832000003</v>
      </c>
      <c r="HA19" s="78">
        <f t="shared" si="133"/>
        <v>48832.68298320001</v>
      </c>
      <c r="HB19" s="79">
        <f t="shared" si="134"/>
        <v>655.9055292</v>
      </c>
      <c r="HC19" s="77">
        <f t="shared" si="135"/>
        <v>32.096454</v>
      </c>
      <c r="HD19" s="79"/>
      <c r="HE19" s="79"/>
      <c r="HF19" s="79"/>
      <c r="HG19" s="79"/>
      <c r="HH19" s="79"/>
      <c r="HI19" s="79"/>
    </row>
    <row r="20" spans="1:217" s="52" customFormat="1" ht="12.75">
      <c r="A20" s="51">
        <v>45200</v>
      </c>
      <c r="C20" s="42"/>
      <c r="D20" s="42">
        <v>120138</v>
      </c>
      <c r="E20" s="77">
        <f t="shared" si="0"/>
        <v>120138</v>
      </c>
      <c r="F20" s="77">
        <v>91653</v>
      </c>
      <c r="G20" s="77">
        <v>4485</v>
      </c>
      <c r="H20" s="79"/>
      <c r="I20" s="79"/>
      <c r="J20" s="79">
        <f t="shared" si="1"/>
        <v>65214.0179742</v>
      </c>
      <c r="K20" s="79">
        <f t="shared" si="2"/>
        <v>65214.0179742</v>
      </c>
      <c r="L20" s="79">
        <f t="shared" si="3"/>
        <v>49751.6222127</v>
      </c>
      <c r="M20" s="79">
        <f t="shared" si="3"/>
        <v>2434.5741615</v>
      </c>
      <c r="N20" s="79"/>
      <c r="O20" s="78"/>
      <c r="P20" s="78">
        <f t="shared" si="4"/>
        <v>7946.5520375999995</v>
      </c>
      <c r="Q20" s="79">
        <f t="shared" si="5"/>
        <v>7946.5520375999995</v>
      </c>
      <c r="R20" s="79">
        <f t="shared" si="6"/>
        <v>6062.4060156000005</v>
      </c>
      <c r="S20" s="77">
        <f t="shared" si="7"/>
        <v>296.661222</v>
      </c>
      <c r="T20" s="79"/>
      <c r="U20" s="78"/>
      <c r="V20" s="78">
        <f t="shared" si="8"/>
        <v>135.70788480000002</v>
      </c>
      <c r="W20" s="78">
        <f t="shared" si="9"/>
        <v>135.70788480000002</v>
      </c>
      <c r="X20" s="79">
        <f t="shared" si="10"/>
        <v>103.5312288</v>
      </c>
      <c r="Y20" s="77">
        <f t="shared" si="11"/>
        <v>5.066255999999999</v>
      </c>
      <c r="Z20" s="79"/>
      <c r="AA20" s="79"/>
      <c r="AB20" s="78">
        <f t="shared" si="12"/>
        <v>612.6317171999999</v>
      </c>
      <c r="AC20" s="78">
        <f t="shared" si="13"/>
        <v>612.6317171999999</v>
      </c>
      <c r="AD20" s="79">
        <f t="shared" si="14"/>
        <v>467.37530819999995</v>
      </c>
      <c r="AE20" s="77">
        <f t="shared" si="15"/>
        <v>22.870808999999998</v>
      </c>
      <c r="AF20" s="79"/>
      <c r="AG20" s="78"/>
      <c r="AH20" s="78">
        <f t="shared" si="16"/>
        <v>10653.8017986</v>
      </c>
      <c r="AI20" s="78">
        <f t="shared" si="17"/>
        <v>10653.8017986</v>
      </c>
      <c r="AJ20" s="79">
        <f t="shared" si="18"/>
        <v>8127.7605441</v>
      </c>
      <c r="AK20" s="77">
        <f t="shared" si="19"/>
        <v>397.7284545</v>
      </c>
      <c r="AL20" s="79"/>
      <c r="AM20" s="78"/>
      <c r="AN20" s="78">
        <f t="shared" si="20"/>
        <v>129.0522396</v>
      </c>
      <c r="AO20" s="78">
        <f t="shared" si="21"/>
        <v>129.0522396</v>
      </c>
      <c r="AP20" s="79">
        <f t="shared" si="22"/>
        <v>98.4536526</v>
      </c>
      <c r="AQ20" s="77">
        <f t="shared" si="23"/>
        <v>4.817787</v>
      </c>
      <c r="AR20" s="78"/>
      <c r="AS20" s="78"/>
      <c r="AT20" s="78">
        <f t="shared" si="24"/>
        <v>108.8330142</v>
      </c>
      <c r="AU20" s="78">
        <f t="shared" si="25"/>
        <v>108.8330142</v>
      </c>
      <c r="AV20" s="79">
        <f t="shared" si="26"/>
        <v>83.0284527</v>
      </c>
      <c r="AW20" s="77">
        <f t="shared" si="27"/>
        <v>4.0629615</v>
      </c>
      <c r="AX20" s="79"/>
      <c r="AY20" s="78"/>
      <c r="AZ20" s="78">
        <f t="shared" si="28"/>
        <v>4465.1450184000005</v>
      </c>
      <c r="BA20" s="78">
        <f t="shared" si="29"/>
        <v>4465.1450184000005</v>
      </c>
      <c r="BB20" s="79">
        <f t="shared" si="30"/>
        <v>3406.4487204</v>
      </c>
      <c r="BC20" s="77">
        <f t="shared" si="31"/>
        <v>166.693098</v>
      </c>
      <c r="BD20" s="79"/>
      <c r="BE20" s="78"/>
      <c r="BF20" s="78">
        <f t="shared" si="32"/>
        <v>9162.000197399999</v>
      </c>
      <c r="BG20" s="78">
        <f t="shared" si="33"/>
        <v>9162.000197399999</v>
      </c>
      <c r="BH20" s="79">
        <f t="shared" si="34"/>
        <v>6989.6685819</v>
      </c>
      <c r="BI20" s="77">
        <f t="shared" si="35"/>
        <v>342.03641550000003</v>
      </c>
      <c r="BJ20" s="79"/>
      <c r="BK20" s="78"/>
      <c r="BL20" s="78">
        <f t="shared" si="36"/>
        <v>105.76949519999998</v>
      </c>
      <c r="BM20" s="78">
        <f t="shared" si="37"/>
        <v>105.76949519999998</v>
      </c>
      <c r="BN20" s="79">
        <f t="shared" si="38"/>
        <v>80.6913012</v>
      </c>
      <c r="BO20" s="77">
        <f t="shared" si="39"/>
        <v>3.9485940000000004</v>
      </c>
      <c r="BP20" s="79"/>
      <c r="BQ20" s="78"/>
      <c r="BR20" s="78">
        <f t="shared" si="40"/>
        <v>71.0496132</v>
      </c>
      <c r="BS20" s="78">
        <f t="shared" si="41"/>
        <v>71.0496132</v>
      </c>
      <c r="BT20" s="79">
        <f t="shared" si="42"/>
        <v>54.203584199999995</v>
      </c>
      <c r="BU20" s="77">
        <f t="shared" si="43"/>
        <v>2.6524289999999997</v>
      </c>
      <c r="BV20" s="79"/>
      <c r="BW20" s="78"/>
      <c r="BX20" s="78">
        <f t="shared" si="44"/>
        <v>-10.5841578</v>
      </c>
      <c r="BY20" s="78">
        <f t="shared" si="45"/>
        <v>-10.5841578</v>
      </c>
      <c r="BZ20" s="79">
        <f t="shared" si="46"/>
        <v>-8.0746293</v>
      </c>
      <c r="CA20" s="77">
        <f t="shared" si="47"/>
        <v>-0.3951285</v>
      </c>
      <c r="CB20" s="78"/>
      <c r="CC20" s="78"/>
      <c r="CD20" s="78">
        <f t="shared" si="48"/>
        <v>-6.8959212</v>
      </c>
      <c r="CE20" s="78">
        <f t="shared" si="49"/>
        <v>-6.8959212</v>
      </c>
      <c r="CF20" s="79">
        <f t="shared" si="50"/>
        <v>-5.2608822</v>
      </c>
      <c r="CG20" s="77">
        <f t="shared" si="51"/>
        <v>-0.257439</v>
      </c>
      <c r="CH20" s="79"/>
      <c r="CI20" s="78"/>
      <c r="CJ20" s="78">
        <f t="shared" si="52"/>
        <v>256.4465748</v>
      </c>
      <c r="CK20" s="78">
        <f t="shared" si="53"/>
        <v>256.4465748</v>
      </c>
      <c r="CL20" s="79">
        <f t="shared" si="54"/>
        <v>195.64249379999998</v>
      </c>
      <c r="CM20" s="77">
        <f t="shared" si="55"/>
        <v>9.573681</v>
      </c>
      <c r="CN20" s="79"/>
      <c r="CO20" s="78"/>
      <c r="CP20" s="78">
        <f t="shared" si="56"/>
        <v>1577.051526</v>
      </c>
      <c r="CQ20" s="78">
        <f t="shared" si="57"/>
        <v>1577.051526</v>
      </c>
      <c r="CR20" s="79">
        <f t="shared" si="58"/>
        <v>1203.128931</v>
      </c>
      <c r="CS20" s="77">
        <f t="shared" si="59"/>
        <v>58.874595</v>
      </c>
      <c r="CT20" s="79"/>
      <c r="CU20" s="78"/>
      <c r="CV20" s="78">
        <f t="shared" si="60"/>
        <v>10594.3815438</v>
      </c>
      <c r="CW20" s="78">
        <f t="shared" si="61"/>
        <v>10594.3815438</v>
      </c>
      <c r="CX20" s="79">
        <f t="shared" si="62"/>
        <v>8082.4289703</v>
      </c>
      <c r="CY20" s="77">
        <f t="shared" si="63"/>
        <v>395.5101735</v>
      </c>
      <c r="CZ20" s="79"/>
      <c r="DA20" s="78"/>
      <c r="DB20" s="78">
        <f t="shared" si="64"/>
        <v>1528.5398015999997</v>
      </c>
      <c r="DC20" s="78">
        <f t="shared" si="65"/>
        <v>1528.5398015999997</v>
      </c>
      <c r="DD20" s="79">
        <f t="shared" si="66"/>
        <v>1166.1194496</v>
      </c>
      <c r="DE20" s="77">
        <f t="shared" si="67"/>
        <v>57.063552</v>
      </c>
      <c r="DF20" s="79"/>
      <c r="DG20" s="78"/>
      <c r="DH20" s="78">
        <f t="shared" si="68"/>
        <v>3123.2516136000004</v>
      </c>
      <c r="DI20" s="78">
        <f t="shared" si="69"/>
        <v>3123.2516136000004</v>
      </c>
      <c r="DJ20" s="79">
        <f t="shared" si="70"/>
        <v>2382.7213716</v>
      </c>
      <c r="DK20" s="77">
        <f t="shared" si="71"/>
        <v>116.597442</v>
      </c>
      <c r="DL20" s="79"/>
      <c r="DM20" s="78"/>
      <c r="DN20" s="78">
        <f t="shared" si="72"/>
        <v>506.5258356</v>
      </c>
      <c r="DO20" s="78">
        <f t="shared" si="73"/>
        <v>506.5258356</v>
      </c>
      <c r="DP20" s="79">
        <f t="shared" si="74"/>
        <v>386.4273786</v>
      </c>
      <c r="DQ20" s="77">
        <f t="shared" si="75"/>
        <v>18.909657</v>
      </c>
      <c r="DR20" s="79"/>
      <c r="DS20" s="78"/>
      <c r="DT20" s="78">
        <f t="shared" si="76"/>
        <v>2598.3686916</v>
      </c>
      <c r="DU20" s="78">
        <f t="shared" si="77"/>
        <v>2598.3686916</v>
      </c>
      <c r="DV20" s="79">
        <f t="shared" si="78"/>
        <v>1982.2894146</v>
      </c>
      <c r="DW20" s="77">
        <f t="shared" si="79"/>
        <v>97.002477</v>
      </c>
      <c r="DX20" s="79"/>
      <c r="DY20" s="78"/>
      <c r="DZ20" s="78">
        <f t="shared" si="80"/>
        <v>23.2226754</v>
      </c>
      <c r="EA20" s="78">
        <f t="shared" si="81"/>
        <v>23.2226754</v>
      </c>
      <c r="EB20" s="79">
        <f t="shared" si="82"/>
        <v>17.7165249</v>
      </c>
      <c r="EC20" s="77">
        <f t="shared" si="83"/>
        <v>0.8669505000000001</v>
      </c>
      <c r="ED20" s="79"/>
      <c r="EE20" s="78"/>
      <c r="EF20" s="78">
        <f t="shared" si="84"/>
        <v>30.5631072</v>
      </c>
      <c r="EG20" s="78">
        <f t="shared" si="85"/>
        <v>30.5631072</v>
      </c>
      <c r="EH20" s="79">
        <f t="shared" si="86"/>
        <v>23.3165232</v>
      </c>
      <c r="EI20" s="77">
        <f t="shared" si="87"/>
        <v>1.140984</v>
      </c>
      <c r="EJ20" s="79"/>
      <c r="EK20" s="78"/>
      <c r="EL20" s="78">
        <f t="shared" si="88"/>
        <v>1540.0129806</v>
      </c>
      <c r="EM20" s="78">
        <f t="shared" si="89"/>
        <v>1540.0129806</v>
      </c>
      <c r="EN20" s="79">
        <f t="shared" si="90"/>
        <v>1174.8723111000002</v>
      </c>
      <c r="EO20" s="77">
        <f t="shared" si="91"/>
        <v>57.4918695</v>
      </c>
      <c r="EP20" s="79"/>
      <c r="EQ20" s="78"/>
      <c r="ER20" s="78">
        <f t="shared" si="92"/>
        <v>29.313672</v>
      </c>
      <c r="ES20" s="78">
        <f t="shared" si="93"/>
        <v>29.313672</v>
      </c>
      <c r="ET20" s="79">
        <f t="shared" si="94"/>
        <v>22.363332</v>
      </c>
      <c r="EU20" s="77">
        <f t="shared" si="95"/>
        <v>1.0943399999999999</v>
      </c>
      <c r="EV20" s="79"/>
      <c r="EW20" s="78"/>
      <c r="EX20" s="78">
        <f t="shared" si="96"/>
        <v>438.0111342</v>
      </c>
      <c r="EY20" s="78">
        <f t="shared" si="97"/>
        <v>438.0111342</v>
      </c>
      <c r="EZ20" s="79">
        <f t="shared" si="98"/>
        <v>334.15767270000003</v>
      </c>
      <c r="FA20" s="77">
        <f t="shared" si="99"/>
        <v>16.351861500000002</v>
      </c>
      <c r="FB20" s="79"/>
      <c r="FC20" s="78"/>
      <c r="FD20" s="78">
        <f t="shared" si="100"/>
        <v>304.2735126</v>
      </c>
      <c r="FE20" s="78">
        <f t="shared" si="101"/>
        <v>304.2735126</v>
      </c>
      <c r="FF20" s="79">
        <f t="shared" si="102"/>
        <v>232.1295531</v>
      </c>
      <c r="FG20" s="77">
        <f t="shared" si="103"/>
        <v>11.3591595</v>
      </c>
      <c r="FH20" s="79"/>
      <c r="FI20" s="78"/>
      <c r="FJ20" s="78">
        <f t="shared" si="104"/>
        <v>118.7804406</v>
      </c>
      <c r="FK20" s="78">
        <f t="shared" si="105"/>
        <v>118.7804406</v>
      </c>
      <c r="FL20" s="79">
        <f t="shared" si="106"/>
        <v>90.6173211</v>
      </c>
      <c r="FM20" s="77">
        <f t="shared" si="107"/>
        <v>4.4343195</v>
      </c>
      <c r="FN20" s="79"/>
      <c r="FO20" s="78"/>
      <c r="FP20" s="78">
        <f t="shared" si="108"/>
        <v>1334.8653318</v>
      </c>
      <c r="FQ20" s="78">
        <f t="shared" si="109"/>
        <v>1334.8653318</v>
      </c>
      <c r="FR20" s="79">
        <f t="shared" si="110"/>
        <v>1018.3656483000001</v>
      </c>
      <c r="FS20" s="77">
        <f t="shared" si="111"/>
        <v>49.8332835</v>
      </c>
      <c r="FT20" s="79"/>
      <c r="FU20" s="78"/>
      <c r="FV20" s="78">
        <f t="shared" si="112"/>
        <v>3008.5198236</v>
      </c>
      <c r="FW20" s="78">
        <f t="shared" si="113"/>
        <v>3008.5198236</v>
      </c>
      <c r="FX20" s="79">
        <f t="shared" si="114"/>
        <v>2295.1927566</v>
      </c>
      <c r="FY20" s="77">
        <f t="shared" si="115"/>
        <v>112.314267</v>
      </c>
      <c r="FZ20" s="79"/>
      <c r="GA20" s="78"/>
      <c r="GB20" s="78">
        <f t="shared" si="116"/>
        <v>383.9250066000001</v>
      </c>
      <c r="GC20" s="78">
        <f t="shared" si="117"/>
        <v>383.9250066000001</v>
      </c>
      <c r="GD20" s="79">
        <f t="shared" si="118"/>
        <v>292.8954921</v>
      </c>
      <c r="GE20" s="77">
        <f t="shared" si="119"/>
        <v>14.3327145</v>
      </c>
      <c r="GF20" s="79"/>
      <c r="GG20" s="78"/>
      <c r="GH20" s="78">
        <f t="shared" si="120"/>
        <v>609.6763224000001</v>
      </c>
      <c r="GI20" s="78">
        <f t="shared" si="121"/>
        <v>609.6763224000001</v>
      </c>
      <c r="GJ20" s="79">
        <f t="shared" si="122"/>
        <v>465.1206444</v>
      </c>
      <c r="GK20" s="77">
        <f t="shared" si="123"/>
        <v>22.760478</v>
      </c>
      <c r="GL20" s="79"/>
      <c r="GM20" s="78"/>
      <c r="GN20" s="78">
        <f t="shared" si="124"/>
        <v>2825.5136082</v>
      </c>
      <c r="GO20" s="78">
        <f t="shared" si="125"/>
        <v>2825.5136082</v>
      </c>
      <c r="GP20" s="79">
        <f t="shared" si="126"/>
        <v>2155.5777417</v>
      </c>
      <c r="GQ20" s="77">
        <f t="shared" si="127"/>
        <v>105.4822665</v>
      </c>
      <c r="GR20" s="79"/>
      <c r="GS20" s="78"/>
      <c r="GT20" s="78">
        <f t="shared" si="128"/>
        <v>149.9562516</v>
      </c>
      <c r="GU20" s="78">
        <f t="shared" si="129"/>
        <v>149.9562516</v>
      </c>
      <c r="GV20" s="79">
        <f t="shared" si="130"/>
        <v>114.40127460000001</v>
      </c>
      <c r="GW20" s="77">
        <f t="shared" si="131"/>
        <v>5.598177000000001</v>
      </c>
      <c r="GX20" s="79"/>
      <c r="GY20" s="78"/>
      <c r="GZ20" s="78">
        <f t="shared" si="132"/>
        <v>859.7555832000002</v>
      </c>
      <c r="HA20" s="78">
        <f t="shared" si="133"/>
        <v>859.7555832000002</v>
      </c>
      <c r="HB20" s="79">
        <f t="shared" si="134"/>
        <v>655.9055292</v>
      </c>
      <c r="HC20" s="77">
        <f t="shared" si="135"/>
        <v>32.096454</v>
      </c>
      <c r="HD20" s="79"/>
      <c r="HE20" s="79"/>
      <c r="HF20" s="79"/>
      <c r="HG20" s="79"/>
      <c r="HH20" s="79"/>
      <c r="HI20" s="79"/>
    </row>
    <row r="21" spans="1:217" s="52" customFormat="1" ht="12.75">
      <c r="A21" s="51">
        <v>45383</v>
      </c>
      <c r="C21" s="42">
        <v>6865000</v>
      </c>
      <c r="D21" s="42">
        <v>120138</v>
      </c>
      <c r="E21" s="77">
        <f t="shared" si="0"/>
        <v>6985138</v>
      </c>
      <c r="F21" s="77">
        <v>91653</v>
      </c>
      <c r="G21" s="77">
        <v>4485</v>
      </c>
      <c r="H21" s="79"/>
      <c r="I21" s="79">
        <f>O21+U21+AA21+AG21+AM21+AS21+AY21+BE21+BK21+BQ21+BW21+CC21+CI21+CO21+CU21+DA21+DG21+DM21+DS21+DY21+EE21+EK21+EQ21+EW21+FC21+FI21+FO21+FU21+GA21+GG21+GM21+GS21+GY21</f>
        <v>3726499.8035</v>
      </c>
      <c r="J21" s="79">
        <f t="shared" si="1"/>
        <v>65214.0179742</v>
      </c>
      <c r="K21" s="79">
        <f t="shared" si="2"/>
        <v>3791713.8214742</v>
      </c>
      <c r="L21" s="79">
        <f t="shared" si="3"/>
        <v>49751.6222127</v>
      </c>
      <c r="M21" s="79">
        <f t="shared" si="3"/>
        <v>2434.5741615</v>
      </c>
      <c r="N21" s="79"/>
      <c r="O21" s="78">
        <f t="shared" si="136"/>
        <v>454086.79799999995</v>
      </c>
      <c r="P21" s="78">
        <f t="shared" si="4"/>
        <v>7946.5520375999995</v>
      </c>
      <c r="Q21" s="79">
        <f>O21+P21</f>
        <v>462033.3500376</v>
      </c>
      <c r="R21" s="79">
        <f t="shared" si="6"/>
        <v>6062.4060156000005</v>
      </c>
      <c r="S21" s="77">
        <f t="shared" si="7"/>
        <v>296.661222</v>
      </c>
      <c r="T21" s="79"/>
      <c r="U21" s="78">
        <f t="shared" si="137"/>
        <v>7754.704000000001</v>
      </c>
      <c r="V21" s="78">
        <f t="shared" si="8"/>
        <v>135.70788480000002</v>
      </c>
      <c r="W21" s="78">
        <f t="shared" si="9"/>
        <v>7890.411884800001</v>
      </c>
      <c r="X21" s="79">
        <f t="shared" si="10"/>
        <v>103.5312288</v>
      </c>
      <c r="Y21" s="77">
        <f t="shared" si="11"/>
        <v>5.066255999999999</v>
      </c>
      <c r="Z21" s="79"/>
      <c r="AA21" s="79">
        <f t="shared" si="138"/>
        <v>35007.380999999994</v>
      </c>
      <c r="AB21" s="78">
        <f t="shared" si="12"/>
        <v>612.6317171999999</v>
      </c>
      <c r="AC21" s="78">
        <f t="shared" si="13"/>
        <v>35620.01271719999</v>
      </c>
      <c r="AD21" s="79">
        <f t="shared" si="14"/>
        <v>467.37530819999995</v>
      </c>
      <c r="AE21" s="77">
        <f t="shared" si="15"/>
        <v>22.870808999999998</v>
      </c>
      <c r="AF21" s="79"/>
      <c r="AG21" s="78">
        <f t="shared" si="139"/>
        <v>608786.1405</v>
      </c>
      <c r="AH21" s="78">
        <f t="shared" si="16"/>
        <v>10653.8017986</v>
      </c>
      <c r="AI21" s="78">
        <f t="shared" si="17"/>
        <v>619439.9422986</v>
      </c>
      <c r="AJ21" s="79">
        <f t="shared" si="18"/>
        <v>8127.7605441</v>
      </c>
      <c r="AK21" s="77">
        <f t="shared" si="19"/>
        <v>397.7284545</v>
      </c>
      <c r="AL21" s="79"/>
      <c r="AM21" s="78">
        <f t="shared" si="140"/>
        <v>7374.383000000001</v>
      </c>
      <c r="AN21" s="78">
        <f t="shared" si="20"/>
        <v>129.0522396</v>
      </c>
      <c r="AO21" s="78">
        <f t="shared" si="21"/>
        <v>7503.4352396</v>
      </c>
      <c r="AP21" s="79">
        <f t="shared" si="22"/>
        <v>98.4536526</v>
      </c>
      <c r="AQ21" s="77">
        <f t="shared" si="23"/>
        <v>4.817787</v>
      </c>
      <c r="AR21" s="78"/>
      <c r="AS21" s="78">
        <f t="shared" si="141"/>
        <v>6219.0035</v>
      </c>
      <c r="AT21" s="78">
        <f t="shared" si="24"/>
        <v>108.8330142</v>
      </c>
      <c r="AU21" s="78">
        <f t="shared" si="25"/>
        <v>6327.8365142</v>
      </c>
      <c r="AV21" s="79">
        <f t="shared" si="26"/>
        <v>83.0284527</v>
      </c>
      <c r="AW21" s="77">
        <f t="shared" si="27"/>
        <v>4.0629615</v>
      </c>
      <c r="AX21" s="79"/>
      <c r="AY21" s="78">
        <f t="shared" si="142"/>
        <v>255150.08200000002</v>
      </c>
      <c r="AZ21" s="78">
        <f t="shared" si="28"/>
        <v>4465.1450184000005</v>
      </c>
      <c r="BA21" s="78">
        <f t="shared" si="29"/>
        <v>259615.22701840004</v>
      </c>
      <c r="BB21" s="79">
        <f t="shared" si="30"/>
        <v>3406.4487204</v>
      </c>
      <c r="BC21" s="77">
        <f t="shared" si="31"/>
        <v>166.693098</v>
      </c>
      <c r="BD21" s="79"/>
      <c r="BE21" s="78">
        <f t="shared" si="143"/>
        <v>523540.6895</v>
      </c>
      <c r="BF21" s="78">
        <f t="shared" si="32"/>
        <v>9162.000197399999</v>
      </c>
      <c r="BG21" s="78">
        <f t="shared" si="33"/>
        <v>532702.6896974</v>
      </c>
      <c r="BH21" s="79">
        <f t="shared" si="34"/>
        <v>6989.6685819</v>
      </c>
      <c r="BI21" s="77">
        <f t="shared" si="35"/>
        <v>342.03641550000003</v>
      </c>
      <c r="BJ21" s="79"/>
      <c r="BK21" s="78">
        <f t="shared" si="144"/>
        <v>6043.946</v>
      </c>
      <c r="BL21" s="78">
        <f t="shared" si="36"/>
        <v>105.76949519999998</v>
      </c>
      <c r="BM21" s="78">
        <f t="shared" si="37"/>
        <v>6149.7154952</v>
      </c>
      <c r="BN21" s="79">
        <f t="shared" si="38"/>
        <v>80.6913012</v>
      </c>
      <c r="BO21" s="77">
        <f t="shared" si="39"/>
        <v>3.9485940000000004</v>
      </c>
      <c r="BP21" s="79"/>
      <c r="BQ21" s="78">
        <f t="shared" si="145"/>
        <v>4059.961</v>
      </c>
      <c r="BR21" s="78">
        <f t="shared" si="40"/>
        <v>71.0496132</v>
      </c>
      <c r="BS21" s="78">
        <f t="shared" si="41"/>
        <v>4131.0106132</v>
      </c>
      <c r="BT21" s="79">
        <f t="shared" si="42"/>
        <v>54.203584199999995</v>
      </c>
      <c r="BU21" s="77">
        <f t="shared" si="43"/>
        <v>2.6524289999999997</v>
      </c>
      <c r="BV21" s="79"/>
      <c r="BW21" s="78">
        <f t="shared" si="146"/>
        <v>-604.8065</v>
      </c>
      <c r="BX21" s="78">
        <f t="shared" si="44"/>
        <v>-10.5841578</v>
      </c>
      <c r="BY21" s="78">
        <f t="shared" si="45"/>
        <v>-615.3906578</v>
      </c>
      <c r="BZ21" s="79">
        <f t="shared" si="46"/>
        <v>-8.0746293</v>
      </c>
      <c r="CA21" s="77">
        <f t="shared" si="47"/>
        <v>-0.3951285</v>
      </c>
      <c r="CB21" s="78"/>
      <c r="CC21" s="78">
        <f t="shared" si="147"/>
        <v>-394.051</v>
      </c>
      <c r="CD21" s="78">
        <f t="shared" si="48"/>
        <v>-6.8959212</v>
      </c>
      <c r="CE21" s="78">
        <f t="shared" si="49"/>
        <v>-400.94692119999996</v>
      </c>
      <c r="CF21" s="79">
        <f t="shared" si="50"/>
        <v>-5.2608822</v>
      </c>
      <c r="CG21" s="77">
        <f t="shared" si="51"/>
        <v>-0.257439</v>
      </c>
      <c r="CH21" s="79"/>
      <c r="CI21" s="78">
        <f t="shared" si="148"/>
        <v>14654.029000000002</v>
      </c>
      <c r="CJ21" s="78">
        <f t="shared" si="52"/>
        <v>256.4465748</v>
      </c>
      <c r="CK21" s="78">
        <f t="shared" si="53"/>
        <v>14910.475574800003</v>
      </c>
      <c r="CL21" s="79">
        <f t="shared" si="54"/>
        <v>195.64249379999998</v>
      </c>
      <c r="CM21" s="77">
        <f t="shared" si="55"/>
        <v>9.573681</v>
      </c>
      <c r="CN21" s="79"/>
      <c r="CO21" s="78">
        <f t="shared" si="149"/>
        <v>90116.855</v>
      </c>
      <c r="CP21" s="78">
        <f t="shared" si="56"/>
        <v>1577.051526</v>
      </c>
      <c r="CQ21" s="78">
        <f t="shared" si="57"/>
        <v>91693.90652599999</v>
      </c>
      <c r="CR21" s="79">
        <f t="shared" si="58"/>
        <v>1203.128931</v>
      </c>
      <c r="CS21" s="77">
        <f t="shared" si="59"/>
        <v>58.874595</v>
      </c>
      <c r="CT21" s="79"/>
      <c r="CU21" s="78">
        <f t="shared" si="150"/>
        <v>605390.7115</v>
      </c>
      <c r="CV21" s="78">
        <f t="shared" si="60"/>
        <v>10594.3815438</v>
      </c>
      <c r="CW21" s="78">
        <f t="shared" si="61"/>
        <v>615985.0930438</v>
      </c>
      <c r="CX21" s="79">
        <f t="shared" si="62"/>
        <v>8082.4289703</v>
      </c>
      <c r="CY21" s="77">
        <f t="shared" si="63"/>
        <v>395.5101735</v>
      </c>
      <c r="CZ21" s="79"/>
      <c r="DA21" s="78">
        <f t="shared" si="151"/>
        <v>87344.76799999998</v>
      </c>
      <c r="DB21" s="78">
        <f t="shared" si="64"/>
        <v>1528.5398015999997</v>
      </c>
      <c r="DC21" s="78">
        <f t="shared" si="65"/>
        <v>88873.30780159998</v>
      </c>
      <c r="DD21" s="79">
        <f t="shared" si="66"/>
        <v>1166.1194496</v>
      </c>
      <c r="DE21" s="77">
        <f t="shared" si="67"/>
        <v>57.063552</v>
      </c>
      <c r="DF21" s="79"/>
      <c r="DG21" s="78">
        <f t="shared" si="152"/>
        <v>178470.77800000002</v>
      </c>
      <c r="DH21" s="78">
        <f t="shared" si="68"/>
        <v>3123.2516136000004</v>
      </c>
      <c r="DI21" s="78">
        <f t="shared" si="69"/>
        <v>181594.02961360003</v>
      </c>
      <c r="DJ21" s="79">
        <f t="shared" si="70"/>
        <v>2382.7213716</v>
      </c>
      <c r="DK21" s="77">
        <f t="shared" si="71"/>
        <v>116.597442</v>
      </c>
      <c r="DL21" s="79"/>
      <c r="DM21" s="78">
        <f t="shared" si="153"/>
        <v>28944.213</v>
      </c>
      <c r="DN21" s="78">
        <f t="shared" si="72"/>
        <v>506.5258356</v>
      </c>
      <c r="DO21" s="78">
        <f t="shared" si="73"/>
        <v>29450.7388356</v>
      </c>
      <c r="DP21" s="79">
        <f t="shared" si="74"/>
        <v>386.4273786</v>
      </c>
      <c r="DQ21" s="77">
        <f t="shared" si="75"/>
        <v>18.909657</v>
      </c>
      <c r="DR21" s="79"/>
      <c r="DS21" s="78">
        <f t="shared" si="154"/>
        <v>148477.593</v>
      </c>
      <c r="DT21" s="78">
        <f t="shared" si="76"/>
        <v>2598.3686916</v>
      </c>
      <c r="DU21" s="78">
        <f t="shared" si="77"/>
        <v>151075.96169159998</v>
      </c>
      <c r="DV21" s="79">
        <f t="shared" si="78"/>
        <v>1982.2894146</v>
      </c>
      <c r="DW21" s="77">
        <f t="shared" si="79"/>
        <v>97.002477</v>
      </c>
      <c r="DX21" s="79"/>
      <c r="DY21" s="78">
        <f t="shared" si="155"/>
        <v>1327.0045</v>
      </c>
      <c r="DZ21" s="78">
        <f t="shared" si="80"/>
        <v>23.2226754</v>
      </c>
      <c r="EA21" s="78">
        <f t="shared" si="81"/>
        <v>1350.2271754</v>
      </c>
      <c r="EB21" s="79">
        <f t="shared" si="82"/>
        <v>17.7165249</v>
      </c>
      <c r="EC21" s="77">
        <f t="shared" si="83"/>
        <v>0.8669505000000001</v>
      </c>
      <c r="ED21" s="79"/>
      <c r="EE21" s="78">
        <f t="shared" si="156"/>
        <v>1746.4560000000001</v>
      </c>
      <c r="EF21" s="78">
        <f t="shared" si="84"/>
        <v>30.5631072</v>
      </c>
      <c r="EG21" s="78">
        <f t="shared" si="85"/>
        <v>1777.0191072000002</v>
      </c>
      <c r="EH21" s="79">
        <f t="shared" si="86"/>
        <v>23.3165232</v>
      </c>
      <c r="EI21" s="77">
        <f t="shared" si="87"/>
        <v>1.140984</v>
      </c>
      <c r="EJ21" s="79"/>
      <c r="EK21" s="78">
        <f t="shared" si="157"/>
        <v>88000.37550000001</v>
      </c>
      <c r="EL21" s="78">
        <f t="shared" si="88"/>
        <v>1540.0129806</v>
      </c>
      <c r="EM21" s="78">
        <f t="shared" si="89"/>
        <v>89540.38848060001</v>
      </c>
      <c r="EN21" s="79">
        <f t="shared" si="90"/>
        <v>1174.8723111000002</v>
      </c>
      <c r="EO21" s="77">
        <f t="shared" si="91"/>
        <v>57.4918695</v>
      </c>
      <c r="EP21" s="79"/>
      <c r="EQ21" s="78">
        <f t="shared" si="158"/>
        <v>1675.06</v>
      </c>
      <c r="ER21" s="78">
        <f t="shared" si="92"/>
        <v>29.313672</v>
      </c>
      <c r="ES21" s="78">
        <f t="shared" si="93"/>
        <v>1704.373672</v>
      </c>
      <c r="ET21" s="79">
        <f t="shared" si="94"/>
        <v>22.363332</v>
      </c>
      <c r="EU21" s="77">
        <f t="shared" si="95"/>
        <v>1.0943399999999999</v>
      </c>
      <c r="EV21" s="79"/>
      <c r="EW21" s="78">
        <f t="shared" si="159"/>
        <v>25029.1035</v>
      </c>
      <c r="EX21" s="78">
        <f t="shared" si="96"/>
        <v>438.0111342</v>
      </c>
      <c r="EY21" s="78">
        <f t="shared" si="97"/>
        <v>25467.1146342</v>
      </c>
      <c r="EZ21" s="79">
        <f t="shared" si="98"/>
        <v>334.15767270000003</v>
      </c>
      <c r="FA21" s="77">
        <f t="shared" si="99"/>
        <v>16.351861500000002</v>
      </c>
      <c r="FB21" s="79"/>
      <c r="FC21" s="78">
        <f t="shared" si="160"/>
        <v>17386.9855</v>
      </c>
      <c r="FD21" s="78">
        <f t="shared" si="100"/>
        <v>304.2735126</v>
      </c>
      <c r="FE21" s="78">
        <f t="shared" si="101"/>
        <v>17691.2590126</v>
      </c>
      <c r="FF21" s="79">
        <f t="shared" si="102"/>
        <v>232.1295531</v>
      </c>
      <c r="FG21" s="77">
        <f t="shared" si="103"/>
        <v>11.3591595</v>
      </c>
      <c r="FH21" s="79"/>
      <c r="FI21" s="78">
        <f t="shared" si="161"/>
        <v>6787.4255</v>
      </c>
      <c r="FJ21" s="78">
        <f t="shared" si="104"/>
        <v>118.7804406</v>
      </c>
      <c r="FK21" s="78">
        <f t="shared" si="105"/>
        <v>6906.2059406</v>
      </c>
      <c r="FL21" s="79">
        <f t="shared" si="106"/>
        <v>90.6173211</v>
      </c>
      <c r="FM21" s="77">
        <f t="shared" si="107"/>
        <v>4.4343195</v>
      </c>
      <c r="FN21" s="79"/>
      <c r="FO21" s="78">
        <f t="shared" si="162"/>
        <v>76277.70150000001</v>
      </c>
      <c r="FP21" s="78">
        <f t="shared" si="108"/>
        <v>1334.8653318</v>
      </c>
      <c r="FQ21" s="78">
        <f t="shared" si="109"/>
        <v>77612.56683180001</v>
      </c>
      <c r="FR21" s="79">
        <f t="shared" si="110"/>
        <v>1018.3656483000001</v>
      </c>
      <c r="FS21" s="77">
        <f t="shared" si="111"/>
        <v>49.8332835</v>
      </c>
      <c r="FT21" s="79"/>
      <c r="FU21" s="78">
        <f t="shared" si="163"/>
        <v>171914.703</v>
      </c>
      <c r="FV21" s="78">
        <f t="shared" si="112"/>
        <v>3008.5198236</v>
      </c>
      <c r="FW21" s="78">
        <f t="shared" si="113"/>
        <v>174923.22282360002</v>
      </c>
      <c r="FX21" s="79">
        <f t="shared" si="114"/>
        <v>2295.1927566</v>
      </c>
      <c r="FY21" s="77">
        <f t="shared" si="115"/>
        <v>112.314267</v>
      </c>
      <c r="FZ21" s="79"/>
      <c r="GA21" s="78">
        <f t="shared" si="164"/>
        <v>21938.4805</v>
      </c>
      <c r="GB21" s="78">
        <f t="shared" si="116"/>
        <v>383.9250066000001</v>
      </c>
      <c r="GC21" s="78">
        <f t="shared" si="117"/>
        <v>22322.4055066</v>
      </c>
      <c r="GD21" s="79">
        <f t="shared" si="118"/>
        <v>292.8954921</v>
      </c>
      <c r="GE21" s="77">
        <f t="shared" si="119"/>
        <v>14.3327145</v>
      </c>
      <c r="GF21" s="79"/>
      <c r="GG21" s="78">
        <f t="shared" si="165"/>
        <v>34838.502</v>
      </c>
      <c r="GH21" s="78">
        <f t="shared" si="120"/>
        <v>609.6763224000001</v>
      </c>
      <c r="GI21" s="78">
        <f t="shared" si="121"/>
        <v>35448.1783224</v>
      </c>
      <c r="GJ21" s="79">
        <f t="shared" si="122"/>
        <v>465.1206444</v>
      </c>
      <c r="GK21" s="77">
        <f t="shared" si="123"/>
        <v>22.760478</v>
      </c>
      <c r="GL21" s="79"/>
      <c r="GM21" s="78">
        <f t="shared" si="166"/>
        <v>161457.2485</v>
      </c>
      <c r="GN21" s="78">
        <f t="shared" si="124"/>
        <v>2825.5136082</v>
      </c>
      <c r="GO21" s="78">
        <f t="shared" si="125"/>
        <v>164282.7621082</v>
      </c>
      <c r="GP21" s="79">
        <f t="shared" si="126"/>
        <v>2155.5777417</v>
      </c>
      <c r="GQ21" s="77">
        <f t="shared" si="127"/>
        <v>105.4822665</v>
      </c>
      <c r="GR21" s="79"/>
      <c r="GS21" s="78">
        <f t="shared" si="167"/>
        <v>8568.893</v>
      </c>
      <c r="GT21" s="78">
        <f t="shared" si="128"/>
        <v>149.9562516</v>
      </c>
      <c r="GU21" s="78">
        <f t="shared" si="129"/>
        <v>8718.8492516</v>
      </c>
      <c r="GV21" s="79">
        <f t="shared" si="130"/>
        <v>114.40127460000001</v>
      </c>
      <c r="GW21" s="77">
        <f t="shared" si="131"/>
        <v>5.598177000000001</v>
      </c>
      <c r="GX21" s="79"/>
      <c r="GY21" s="78">
        <f t="shared" si="168"/>
        <v>49128.68600000001</v>
      </c>
      <c r="GZ21" s="78">
        <f t="shared" si="132"/>
        <v>859.7555832000002</v>
      </c>
      <c r="HA21" s="78">
        <f t="shared" si="133"/>
        <v>49988.44158320001</v>
      </c>
      <c r="HB21" s="79">
        <f t="shared" si="134"/>
        <v>655.9055292</v>
      </c>
      <c r="HC21" s="77">
        <f t="shared" si="135"/>
        <v>32.096454</v>
      </c>
      <c r="HD21" s="79"/>
      <c r="HE21" s="79"/>
      <c r="HF21" s="79"/>
      <c r="HG21" s="79"/>
      <c r="HH21" s="79"/>
      <c r="HI21" s="79"/>
    </row>
    <row r="22" spans="3:217" ht="12.75">
      <c r="C22" s="80"/>
      <c r="D22" s="80"/>
      <c r="E22" s="80"/>
      <c r="F22" s="80"/>
      <c r="G22" s="80"/>
      <c r="H22" s="78"/>
      <c r="I22" s="78"/>
      <c r="J22" s="79"/>
      <c r="K22" s="78"/>
      <c r="L22" s="78"/>
      <c r="M22" s="80"/>
      <c r="N22" s="78"/>
      <c r="O22" s="78"/>
      <c r="P22" s="78"/>
      <c r="Q22" s="78"/>
      <c r="R22" s="78"/>
      <c r="S22" s="80"/>
      <c r="T22" s="78"/>
      <c r="U22" s="78"/>
      <c r="V22" s="78"/>
      <c r="W22" s="78"/>
      <c r="X22" s="78"/>
      <c r="Y22" s="80"/>
      <c r="Z22" s="78"/>
      <c r="AA22" s="79"/>
      <c r="AB22" s="78"/>
      <c r="AC22" s="78"/>
      <c r="AD22" s="78"/>
      <c r="AE22" s="80"/>
      <c r="AF22" s="78"/>
      <c r="AG22" s="78"/>
      <c r="AH22" s="78"/>
      <c r="AI22" s="78"/>
      <c r="AJ22" s="78"/>
      <c r="AK22" s="80"/>
      <c r="AL22" s="78"/>
      <c r="AM22" s="78"/>
      <c r="AN22" s="78"/>
      <c r="AO22" s="78"/>
      <c r="AP22" s="78"/>
      <c r="AQ22" s="80"/>
      <c r="AR22" s="78"/>
      <c r="AS22" s="78"/>
      <c r="AT22" s="78"/>
      <c r="AU22" s="78"/>
      <c r="AV22" s="78"/>
      <c r="AW22" s="80"/>
      <c r="AX22" s="78"/>
      <c r="AY22" s="78"/>
      <c r="AZ22" s="78"/>
      <c r="BA22" s="78"/>
      <c r="BB22" s="78"/>
      <c r="BC22" s="80"/>
      <c r="BD22" s="78"/>
      <c r="BE22" s="78"/>
      <c r="BF22" s="78"/>
      <c r="BG22" s="78"/>
      <c r="BH22" s="78"/>
      <c r="BI22" s="80"/>
      <c r="BJ22" s="78"/>
      <c r="BK22" s="78"/>
      <c r="BL22" s="78"/>
      <c r="BM22" s="78"/>
      <c r="BN22" s="78"/>
      <c r="BO22" s="80"/>
      <c r="BP22" s="78"/>
      <c r="BQ22" s="78"/>
      <c r="BR22" s="78"/>
      <c r="BS22" s="78"/>
      <c r="BT22" s="78"/>
      <c r="BU22" s="80"/>
      <c r="BV22" s="78"/>
      <c r="BW22" s="78"/>
      <c r="BX22" s="78"/>
      <c r="BY22" s="78"/>
      <c r="BZ22" s="78"/>
      <c r="CA22" s="80"/>
      <c r="CB22" s="78"/>
      <c r="CC22" s="78"/>
      <c r="CD22" s="78"/>
      <c r="CE22" s="78"/>
      <c r="CF22" s="78"/>
      <c r="CG22" s="80"/>
      <c r="CH22" s="78"/>
      <c r="CI22" s="78"/>
      <c r="CJ22" s="78"/>
      <c r="CK22" s="78"/>
      <c r="CL22" s="78"/>
      <c r="CM22" s="80"/>
      <c r="CN22" s="78"/>
      <c r="CO22" s="78"/>
      <c r="CP22" s="78"/>
      <c r="CQ22" s="78"/>
      <c r="CR22" s="78"/>
      <c r="CS22" s="80"/>
      <c r="CT22" s="78"/>
      <c r="CU22" s="78"/>
      <c r="CV22" s="78"/>
      <c r="CW22" s="78"/>
      <c r="CX22" s="78"/>
      <c r="CY22" s="80"/>
      <c r="CZ22" s="78"/>
      <c r="DA22" s="78"/>
      <c r="DB22" s="78"/>
      <c r="DC22" s="78"/>
      <c r="DD22" s="78"/>
      <c r="DE22" s="80"/>
      <c r="DF22" s="78"/>
      <c r="DG22" s="78"/>
      <c r="DH22" s="78"/>
      <c r="DI22" s="78"/>
      <c r="DJ22" s="78"/>
      <c r="DK22" s="80"/>
      <c r="DL22" s="78"/>
      <c r="DM22" s="78"/>
      <c r="DN22" s="78"/>
      <c r="DO22" s="78"/>
      <c r="DP22" s="78"/>
      <c r="DQ22" s="80"/>
      <c r="DR22" s="78"/>
      <c r="DS22" s="78"/>
      <c r="DT22" s="78"/>
      <c r="DU22" s="78"/>
      <c r="DV22" s="78"/>
      <c r="DW22" s="80"/>
      <c r="DX22" s="78"/>
      <c r="DY22" s="78"/>
      <c r="DZ22" s="78"/>
      <c r="EA22" s="78"/>
      <c r="EB22" s="78"/>
      <c r="EC22" s="80"/>
      <c r="ED22" s="78"/>
      <c r="EE22" s="78"/>
      <c r="EF22" s="78"/>
      <c r="EG22" s="78"/>
      <c r="EH22" s="78"/>
      <c r="EI22" s="80"/>
      <c r="EJ22" s="78"/>
      <c r="EK22" s="78"/>
      <c r="EL22" s="78"/>
      <c r="EM22" s="78"/>
      <c r="EN22" s="78"/>
      <c r="EO22" s="80"/>
      <c r="EP22" s="78"/>
      <c r="EQ22" s="78"/>
      <c r="ER22" s="78"/>
      <c r="ES22" s="78"/>
      <c r="ET22" s="78"/>
      <c r="EU22" s="80"/>
      <c r="EV22" s="78"/>
      <c r="EW22" s="78"/>
      <c r="EX22" s="78"/>
      <c r="EY22" s="78"/>
      <c r="EZ22" s="78"/>
      <c r="FA22" s="80"/>
      <c r="FB22" s="78"/>
      <c r="FC22" s="78"/>
      <c r="FD22" s="78"/>
      <c r="FE22" s="78"/>
      <c r="FF22" s="78"/>
      <c r="FG22" s="80"/>
      <c r="FH22" s="78"/>
      <c r="FI22" s="78"/>
      <c r="FJ22" s="78"/>
      <c r="FK22" s="78"/>
      <c r="FL22" s="78"/>
      <c r="FM22" s="80"/>
      <c r="FN22" s="78"/>
      <c r="FO22" s="78"/>
      <c r="FP22" s="78"/>
      <c r="FQ22" s="78"/>
      <c r="FR22" s="78"/>
      <c r="FS22" s="80"/>
      <c r="FT22" s="78"/>
      <c r="FU22" s="78"/>
      <c r="FV22" s="78"/>
      <c r="FW22" s="78"/>
      <c r="FX22" s="78"/>
      <c r="FY22" s="80"/>
      <c r="FZ22" s="78"/>
      <c r="GA22" s="78"/>
      <c r="GB22" s="78"/>
      <c r="GC22" s="78"/>
      <c r="GD22" s="78"/>
      <c r="GE22" s="80"/>
      <c r="GF22" s="78"/>
      <c r="GG22" s="78"/>
      <c r="GH22" s="78"/>
      <c r="GI22" s="78"/>
      <c r="GJ22" s="78"/>
      <c r="GK22" s="80"/>
      <c r="GL22" s="78"/>
      <c r="GM22" s="78"/>
      <c r="GN22" s="78"/>
      <c r="GO22" s="78"/>
      <c r="GP22" s="78"/>
      <c r="GQ22" s="80"/>
      <c r="GR22" s="78"/>
      <c r="GS22" s="78"/>
      <c r="GT22" s="78"/>
      <c r="GU22" s="78"/>
      <c r="GV22" s="78"/>
      <c r="GW22" s="80"/>
      <c r="GX22" s="78"/>
      <c r="GY22" s="78"/>
      <c r="GZ22" s="78"/>
      <c r="HA22" s="78"/>
      <c r="HB22" s="78"/>
      <c r="HC22" s="80"/>
      <c r="HD22" s="78"/>
      <c r="HE22" s="78"/>
      <c r="HF22" s="78"/>
      <c r="HG22" s="78"/>
      <c r="HH22" s="78"/>
      <c r="HI22" s="78"/>
    </row>
    <row r="23" spans="1:217" ht="13.5" thickBot="1">
      <c r="A23" s="31" t="s">
        <v>4</v>
      </c>
      <c r="C23" s="81">
        <f>SUM(C8:C22)</f>
        <v>19645000</v>
      </c>
      <c r="D23" s="81">
        <f>SUM(D8:D22)</f>
        <v>5201532</v>
      </c>
      <c r="E23" s="81">
        <f>SUM(E8:E22)</f>
        <v>24846532</v>
      </c>
      <c r="F23" s="81">
        <f>SUM(F8:F22)</f>
        <v>1283142</v>
      </c>
      <c r="G23" s="81">
        <f>SUM(G8:G22)</f>
        <v>62790</v>
      </c>
      <c r="H23" s="78"/>
      <c r="I23" s="81">
        <f>SUM(I8:I22)</f>
        <v>10663814.8055</v>
      </c>
      <c r="J23" s="81">
        <f>SUM(J8:J22)</f>
        <v>2823526.2892788006</v>
      </c>
      <c r="K23" s="81">
        <f>SUM(K8:K22)</f>
        <v>13487341.094778802</v>
      </c>
      <c r="L23" s="81">
        <f>SUM(L8:L22)</f>
        <v>696522.7109778</v>
      </c>
      <c r="M23" s="81">
        <f>SUM(M8:M22)</f>
        <v>34084.038261</v>
      </c>
      <c r="N23" s="78"/>
      <c r="O23" s="81">
        <f>SUM(O8:O22)</f>
        <v>1299422.454</v>
      </c>
      <c r="P23" s="81">
        <f>SUM(P8:P22)</f>
        <v>344056.3744464001</v>
      </c>
      <c r="Q23" s="81">
        <f>SUM(Q8:Q22)</f>
        <v>1643478.8284464</v>
      </c>
      <c r="R23" s="81">
        <f>SUM(R8:R22)</f>
        <v>84873.68421840001</v>
      </c>
      <c r="S23" s="81">
        <f>SUM(S8:S22)</f>
        <v>4153.257108000001</v>
      </c>
      <c r="T23" s="78"/>
      <c r="U23" s="81">
        <f>SUM(U8:U22)</f>
        <v>22190.992000000002</v>
      </c>
      <c r="V23" s="81">
        <f>SUM(V8:V22)</f>
        <v>5875.650547199999</v>
      </c>
      <c r="W23" s="81">
        <f>SUM(W8:W22)</f>
        <v>28066.642547199997</v>
      </c>
      <c r="X23" s="81">
        <f>SUM(X8:X22)</f>
        <v>1449.4372031999999</v>
      </c>
      <c r="Y23" s="81">
        <f>SUM(Y8:Y22)</f>
        <v>70.92758399999997</v>
      </c>
      <c r="Z23" s="78"/>
      <c r="AA23" s="81">
        <f>SUM(AA8:AA22)</f>
        <v>100177.71299999999</v>
      </c>
      <c r="AB23" s="81">
        <f>SUM(AB8:AB22)</f>
        <v>26524.6922808</v>
      </c>
      <c r="AC23" s="81">
        <f>SUM(AC8:AC22)</f>
        <v>126702.40528079998</v>
      </c>
      <c r="AD23" s="81">
        <f>SUM(AD8:AD22)</f>
        <v>6543.2543148</v>
      </c>
      <c r="AE23" s="81">
        <f>SUM(AE8:AE22)</f>
        <v>320.19132600000006</v>
      </c>
      <c r="AF23" s="78"/>
      <c r="AG23" s="81">
        <f>SUM(AG8:AG22)</f>
        <v>1742112.7065</v>
      </c>
      <c r="AH23" s="81">
        <f>SUM(AH8:AH22)</f>
        <v>461270.2973004001</v>
      </c>
      <c r="AI23" s="81">
        <f>SUM(AI8:AI22)</f>
        <v>2203383.0038003996</v>
      </c>
      <c r="AJ23" s="81">
        <f>SUM(AJ8:AJ22)</f>
        <v>113788.64761740001</v>
      </c>
      <c r="AK23" s="81">
        <f>SUM(AK8:AK22)</f>
        <v>5568.198363000001</v>
      </c>
      <c r="AL23" s="78"/>
      <c r="AM23" s="81">
        <f>SUM(AM8:AM22)</f>
        <v>21102.659000000003</v>
      </c>
      <c r="AN23" s="81">
        <f>SUM(AN8:AN22)</f>
        <v>5587.485674399999</v>
      </c>
      <c r="AO23" s="81">
        <f>SUM(AO8:AO22)</f>
        <v>26690.144674400002</v>
      </c>
      <c r="AP23" s="81">
        <f>SUM(AP8:AP22)</f>
        <v>1378.3511363999996</v>
      </c>
      <c r="AQ23" s="81">
        <f>SUM(AQ8:AQ22)</f>
        <v>67.44901800000001</v>
      </c>
      <c r="AR23" s="78"/>
      <c r="AS23" s="81">
        <f>SUM(AS8:AS22)</f>
        <v>17796.405499999997</v>
      </c>
      <c r="AT23" s="81">
        <f>SUM(AT8:AT22)</f>
        <v>4712.0678388000015</v>
      </c>
      <c r="AU23" s="81">
        <f>SUM(AU8:AU22)</f>
        <v>22508.473338800002</v>
      </c>
      <c r="AV23" s="81">
        <f>SUM(AV8:AV22)</f>
        <v>1162.3983377999998</v>
      </c>
      <c r="AW23" s="81">
        <f>SUM(AW8:AW22)</f>
        <v>56.881461</v>
      </c>
      <c r="AX23" s="78"/>
      <c r="AY23" s="81">
        <f>SUM(AY8:AY22)</f>
        <v>730141.7860000001</v>
      </c>
      <c r="AZ23" s="81">
        <f>SUM(AZ8:AZ22)</f>
        <v>193324.29953760005</v>
      </c>
      <c r="BA23" s="81">
        <f>SUM(BA8:BA22)</f>
        <v>923466.0855376001</v>
      </c>
      <c r="BB23" s="81">
        <f>SUM(BB8:BB22)</f>
        <v>47690.28208560002</v>
      </c>
      <c r="BC23" s="81">
        <f>SUM(BC8:BC22)</f>
        <v>2333.703372</v>
      </c>
      <c r="BD23" s="78"/>
      <c r="BE23" s="81">
        <f>SUM(BE8:BE22)</f>
        <v>1498172.8835</v>
      </c>
      <c r="BF23" s="81">
        <f>SUM(BF8:BF22)</f>
        <v>396680.79384359997</v>
      </c>
      <c r="BG23" s="81">
        <f>SUM(BG8:BG22)</f>
        <v>1894853.6773436</v>
      </c>
      <c r="BH23" s="81">
        <f>SUM(BH8:BH22)</f>
        <v>97855.36014659998</v>
      </c>
      <c r="BI23" s="81">
        <f>SUM(BI8:BI22)</f>
        <v>4788.509817000001</v>
      </c>
      <c r="BJ23" s="78"/>
      <c r="BK23" s="81">
        <f>SUM(BK8:BK22)</f>
        <v>17295.458</v>
      </c>
      <c r="BL23" s="81">
        <f>SUM(BL8:BL22)</f>
        <v>4579.4287728</v>
      </c>
      <c r="BM23" s="81">
        <f>SUM(BM8:BM22)</f>
        <v>21874.8867728</v>
      </c>
      <c r="BN23" s="81">
        <f>SUM(BN8:BN22)</f>
        <v>1129.6782168</v>
      </c>
      <c r="BO23" s="81">
        <f>SUM(BO8:BO22)</f>
        <v>55.280316000000006</v>
      </c>
      <c r="BP23" s="78"/>
      <c r="BQ23" s="81">
        <f>SUM(BQ8:BQ22)</f>
        <v>11618.053</v>
      </c>
      <c r="BR23" s="81">
        <f>SUM(BR8:BR22)</f>
        <v>3076.1860247999994</v>
      </c>
      <c r="BS23" s="81">
        <f>SUM(BS8:BS22)</f>
        <v>14694.239024800001</v>
      </c>
      <c r="BT23" s="81">
        <f>SUM(BT8:BT22)</f>
        <v>758.8501788000002</v>
      </c>
      <c r="BU23" s="81">
        <f>SUM(BU8:BU22)</f>
        <v>37.134005999999985</v>
      </c>
      <c r="BV23" s="78"/>
      <c r="BW23" s="81">
        <f>SUM(BW8:BW22)</f>
        <v>-1730.7245000000003</v>
      </c>
      <c r="BX23" s="81">
        <f>SUM(BX8:BX22)</f>
        <v>-458.2549692</v>
      </c>
      <c r="BY23" s="81">
        <f>SUM(BY8:BY22)</f>
        <v>-2188.9794692</v>
      </c>
      <c r="BZ23" s="81">
        <f>SUM(BZ8:BZ22)</f>
        <v>-113.04481019999999</v>
      </c>
      <c r="CA23" s="81">
        <f>SUM(CA8:CA22)</f>
        <v>-5.531799000000001</v>
      </c>
      <c r="CB23" s="80"/>
      <c r="CC23" s="81">
        <f>SUM(CC8:CC22)</f>
        <v>-1127.6229999999998</v>
      </c>
      <c r="CD23" s="81">
        <f>SUM(CD8:CD22)</f>
        <v>-298.5679368</v>
      </c>
      <c r="CE23" s="81">
        <f>SUM(CE8:CE22)</f>
        <v>-1426.1909368</v>
      </c>
      <c r="CF23" s="81">
        <f>SUM(CF8:CF22)</f>
        <v>-73.6523508</v>
      </c>
      <c r="CG23" s="81">
        <f>SUM(CG8:CG22)</f>
        <v>-3.6041459999999983</v>
      </c>
      <c r="CH23" s="78"/>
      <c r="CI23" s="81">
        <f>SUM(CI8:CI22)</f>
        <v>41934.217000000004</v>
      </c>
      <c r="CJ23" s="81">
        <f>SUM(CJ8:CJ22)</f>
        <v>11103.190207200001</v>
      </c>
      <c r="CK23" s="81">
        <f>SUM(CK8:CK22)</f>
        <v>53037.407207200005</v>
      </c>
      <c r="CL23" s="81">
        <f>SUM(CL8:CL22)</f>
        <v>2738.9949131999997</v>
      </c>
      <c r="CM23" s="81">
        <f>SUM(CM8:CM22)</f>
        <v>134.03153399999997</v>
      </c>
      <c r="CN23" s="78"/>
      <c r="CO23" s="81">
        <f>SUM(CO8:CO22)</f>
        <v>257879.91499999998</v>
      </c>
      <c r="CP23" s="81">
        <f>SUM(CP8:CP22)</f>
        <v>68280.510564</v>
      </c>
      <c r="CQ23" s="81">
        <f>SUM(CQ8:CQ22)</f>
        <v>326160.425564</v>
      </c>
      <c r="CR23" s="81">
        <f>SUM(CR8:CR22)</f>
        <v>16843.805033999997</v>
      </c>
      <c r="CS23" s="81">
        <f>SUM(CS8:CS22)</f>
        <v>824.24433</v>
      </c>
      <c r="CT23" s="78"/>
      <c r="CU23" s="81">
        <f>SUM(CU8:CU22)</f>
        <v>1732396.2895000002</v>
      </c>
      <c r="CV23" s="81">
        <f>SUM(CV8:CV22)</f>
        <v>458697.61957319995</v>
      </c>
      <c r="CW23" s="81">
        <f>SUM(CW8:CW22)</f>
        <v>2191093.9090732</v>
      </c>
      <c r="CX23" s="81">
        <f>SUM(CX8:CX22)</f>
        <v>113154.00558419999</v>
      </c>
      <c r="CY23" s="81">
        <f>SUM(CY8:CY22)</f>
        <v>5537.142428999999</v>
      </c>
      <c r="CZ23" s="78"/>
      <c r="DA23" s="81">
        <f>SUM(DA8:DA22)</f>
        <v>249947.26399999997</v>
      </c>
      <c r="DB23" s="81">
        <f>SUM(DB8:DB22)</f>
        <v>66180.13194239998</v>
      </c>
      <c r="DC23" s="81">
        <f>SUM(DC8:DC22)</f>
        <v>316127.3959423999</v>
      </c>
      <c r="DD23" s="81">
        <f>SUM(DD8:DD22)</f>
        <v>16325.672294400005</v>
      </c>
      <c r="DE23" s="81">
        <f>SUM(DE8:DE22)</f>
        <v>798.8897279999999</v>
      </c>
      <c r="DF23" s="78"/>
      <c r="DG23" s="81">
        <f>SUM(DG8:DG22)</f>
        <v>510714.99400000006</v>
      </c>
      <c r="DH23" s="81">
        <f>SUM(DH8:DH22)</f>
        <v>135225.2677104</v>
      </c>
      <c r="DI23" s="81">
        <f>SUM(DI8:DI22)</f>
        <v>645940.2617104</v>
      </c>
      <c r="DJ23" s="81">
        <f>SUM(DJ8:DJ22)</f>
        <v>33358.0992024</v>
      </c>
      <c r="DK23" s="81">
        <f>SUM(DK8:DK22)</f>
        <v>1632.364188</v>
      </c>
      <c r="DL23" s="78"/>
      <c r="DM23" s="81">
        <f>SUM(DM8:DM22)</f>
        <v>82827.249</v>
      </c>
      <c r="DN23" s="81">
        <f>SUM(DN8:DN22)</f>
        <v>21930.699218400005</v>
      </c>
      <c r="DO23" s="81">
        <f>SUM(DO8:DO22)</f>
        <v>104757.9482184</v>
      </c>
      <c r="DP23" s="81">
        <f>SUM(DP8:DP22)</f>
        <v>5409.9833004</v>
      </c>
      <c r="DQ23" s="81">
        <f>SUM(DQ8:DQ22)</f>
        <v>264.735198</v>
      </c>
      <c r="DR23" s="78"/>
      <c r="DS23" s="81">
        <f>SUM(DS8:DS22)</f>
        <v>424885.989</v>
      </c>
      <c r="DT23" s="81">
        <f>SUM(DT8:DT22)</f>
        <v>112499.7744024</v>
      </c>
      <c r="DU23" s="81">
        <f>SUM(DU8:DU22)</f>
        <v>537385.7634024</v>
      </c>
      <c r="DV23" s="81">
        <f>SUM(DV8:DV22)</f>
        <v>27752.051804400002</v>
      </c>
      <c r="DW23" s="81">
        <f>SUM(DW8:DW22)</f>
        <v>1358.034678</v>
      </c>
      <c r="DX23" s="78"/>
      <c r="DY23" s="81">
        <f>SUM(DY8:DY22)</f>
        <v>3797.3785</v>
      </c>
      <c r="DZ23" s="81">
        <f>SUM(DZ8:DZ22)</f>
        <v>1005.4561355999999</v>
      </c>
      <c r="EA23" s="81">
        <f>SUM(EA8:EA22)</f>
        <v>4802.8346356</v>
      </c>
      <c r="EB23" s="81">
        <f>SUM(EB8:EB22)</f>
        <v>248.03134859999997</v>
      </c>
      <c r="EC23" s="81">
        <f>SUM(EC8:EC22)</f>
        <v>12.137306999999998</v>
      </c>
      <c r="ED23" s="78"/>
      <c r="EE23" s="81">
        <f>SUM(EE8:EE22)</f>
        <v>4997.688</v>
      </c>
      <c r="EF23" s="81">
        <f>SUM(EF8:EF22)</f>
        <v>1323.2697408000001</v>
      </c>
      <c r="EG23" s="81">
        <f>SUM(EG8:EG22)</f>
        <v>6320.9577408000005</v>
      </c>
      <c r="EH23" s="81">
        <f>SUM(EH8:EH22)</f>
        <v>326.4313248</v>
      </c>
      <c r="EI23" s="81">
        <f>SUM(EI8:EI22)</f>
        <v>15.973775999999996</v>
      </c>
      <c r="EJ23" s="78"/>
      <c r="EK23" s="81">
        <f>SUM(EK8:EK22)</f>
        <v>251823.3615</v>
      </c>
      <c r="EL23" s="81">
        <f>SUM(EL8:EL22)</f>
        <v>66676.8782484</v>
      </c>
      <c r="EM23" s="81">
        <f>SUM(EM8:EM22)</f>
        <v>318500.23974840005</v>
      </c>
      <c r="EN23" s="81">
        <f>SUM(EN8:EN22)</f>
        <v>16448.212355400003</v>
      </c>
      <c r="EO23" s="81">
        <f>SUM(EO8:EO22)</f>
        <v>804.886173</v>
      </c>
      <c r="EP23" s="78"/>
      <c r="EQ23" s="81">
        <f>SUM(EQ8:EQ22)</f>
        <v>4793.38</v>
      </c>
      <c r="ER23" s="81">
        <f>SUM(ER8:ER22)</f>
        <v>1269.173808</v>
      </c>
      <c r="ES23" s="81">
        <f>SUM(ES8:ES22)</f>
        <v>6062.553808000001</v>
      </c>
      <c r="ET23" s="81">
        <f>SUM(ET8:ET22)</f>
        <v>313.0866480000001</v>
      </c>
      <c r="EU23" s="81">
        <f>SUM(EU8:EU22)</f>
        <v>15.320759999999993</v>
      </c>
      <c r="EV23" s="78"/>
      <c r="EW23" s="81">
        <f>SUM(EW8:EW22)</f>
        <v>71623.7055</v>
      </c>
      <c r="EX23" s="81">
        <f>SUM(EX8:EX22)</f>
        <v>18964.2655188</v>
      </c>
      <c r="EY23" s="81">
        <f>SUM(EY8:EY22)</f>
        <v>90587.9710188</v>
      </c>
      <c r="EZ23" s="81">
        <f>SUM(EZ8:EZ22)</f>
        <v>4678.207417800001</v>
      </c>
      <c r="FA23" s="81">
        <f>SUM(FA8:FA22)</f>
        <v>228.9260610000001</v>
      </c>
      <c r="FB23" s="78"/>
      <c r="FC23" s="81">
        <f>SUM(FC8:FC22)</f>
        <v>49754.8915</v>
      </c>
      <c r="FD23" s="81">
        <f>SUM(FD8:FD22)</f>
        <v>13173.920096400003</v>
      </c>
      <c r="FE23" s="81">
        <f>SUM(FE8:FE22)</f>
        <v>62928.8115964</v>
      </c>
      <c r="FF23" s="81">
        <f>SUM(FF8:FF22)</f>
        <v>3249.8137434000005</v>
      </c>
      <c r="FG23" s="81">
        <f>SUM(FG8:FG22)</f>
        <v>159.02823300000003</v>
      </c>
      <c r="FH23" s="78"/>
      <c r="FI23" s="81">
        <f>SUM(FI8:FI22)</f>
        <v>19423.0115</v>
      </c>
      <c r="FJ23" s="81">
        <f>SUM(FJ8:FJ22)</f>
        <v>5142.754688399999</v>
      </c>
      <c r="FK23" s="81">
        <f>SUM(FK8:FK22)</f>
        <v>24565.7661884</v>
      </c>
      <c r="FL23" s="81">
        <f>SUM(FL8:FL22)</f>
        <v>1268.6424954000001</v>
      </c>
      <c r="FM23" s="81">
        <f>SUM(FM8:FM22)</f>
        <v>62.080473000000005</v>
      </c>
      <c r="FN23" s="78"/>
      <c r="FO23" s="81">
        <f>SUM(FO8:FO22)</f>
        <v>218277.55950000003</v>
      </c>
      <c r="FP23" s="81">
        <f>SUM(FP8:FP22)</f>
        <v>57794.74220519999</v>
      </c>
      <c r="FQ23" s="81">
        <f>SUM(FQ8:FQ22)</f>
        <v>276072.3017052</v>
      </c>
      <c r="FR23" s="81">
        <f>SUM(FR8:FR22)</f>
        <v>14257.119076199999</v>
      </c>
      <c r="FS23" s="81">
        <f>SUM(FS8:FS22)</f>
        <v>697.665969</v>
      </c>
      <c r="FT23" s="78"/>
      <c r="FU23" s="81">
        <f>SUM(FU8:FU22)</f>
        <v>491954.019</v>
      </c>
      <c r="FV23" s="81">
        <f>SUM(FV8:FV22)</f>
        <v>130257.80465039998</v>
      </c>
      <c r="FW23" s="81">
        <f>SUM(FW8:FW22)</f>
        <v>622211.8236504</v>
      </c>
      <c r="FX23" s="81">
        <f>SUM(FX8:FX22)</f>
        <v>32132.698592400007</v>
      </c>
      <c r="FY23" s="81">
        <f>SUM(FY8:FY22)</f>
        <v>1572.3997379999998</v>
      </c>
      <c r="FZ23" s="78"/>
      <c r="GA23" s="81">
        <f>SUM(GA8:GA22)</f>
        <v>62779.52650000001</v>
      </c>
      <c r="GB23" s="81">
        <f>SUM(GB8:GB22)</f>
        <v>16622.535812399998</v>
      </c>
      <c r="GC23" s="81">
        <f>SUM(GC8:GC22)</f>
        <v>79402.0623124</v>
      </c>
      <c r="GD23" s="81">
        <f>SUM(GD8:GD22)</f>
        <v>4100.5368894</v>
      </c>
      <c r="GE23" s="81">
        <f>SUM(GE8:GE22)</f>
        <v>200.65800300000004</v>
      </c>
      <c r="GF23" s="78"/>
      <c r="GG23" s="81">
        <f>SUM(GG8:GG22)</f>
        <v>99694.446</v>
      </c>
      <c r="GH23" s="81">
        <f>SUM(GH8:GH22)</f>
        <v>26396.734593600006</v>
      </c>
      <c r="GI23" s="81">
        <f>SUM(GI8:GI22)</f>
        <v>126091.18059360003</v>
      </c>
      <c r="GJ23" s="81">
        <f>SUM(GJ8:GJ22)</f>
        <v>6511.6890216</v>
      </c>
      <c r="GK23" s="81">
        <f>SUM(GK8:GK22)</f>
        <v>318.646692</v>
      </c>
      <c r="GL23" s="78"/>
      <c r="GM23" s="81">
        <f>SUM(GM8:GM22)</f>
        <v>462028.7905</v>
      </c>
      <c r="GN23" s="81">
        <f>SUM(GN8:GN22)</f>
        <v>122334.31095479999</v>
      </c>
      <c r="GO23" s="81">
        <f>SUM(GO8:GO22)</f>
        <v>584363.1014548</v>
      </c>
      <c r="GP23" s="81">
        <f>SUM(GP8:GP22)</f>
        <v>30178.08838379999</v>
      </c>
      <c r="GQ23" s="81">
        <f>SUM(GQ8:GQ22)</f>
        <v>1476.7517309999998</v>
      </c>
      <c r="GR23" s="78"/>
      <c r="GS23" s="81">
        <f>SUM(GS8:GS22)</f>
        <v>24520.889</v>
      </c>
      <c r="GT23" s="81">
        <f>SUM(GT8:GT22)</f>
        <v>6492.552242399999</v>
      </c>
      <c r="GU23" s="81">
        <f>SUM(GU8:GU22)</f>
        <v>31013.4412424</v>
      </c>
      <c r="GV23" s="81">
        <f>SUM(GV8:GV22)</f>
        <v>1601.6178444000004</v>
      </c>
      <c r="GW23" s="81">
        <f>SUM(GW8:GW22)</f>
        <v>78.37447800000002</v>
      </c>
      <c r="GX23" s="78"/>
      <c r="GY23" s="81">
        <f>SUM(GY8:GY22)</f>
        <v>140587.478</v>
      </c>
      <c r="GZ23" s="81">
        <f>SUM(GZ8:GZ22)</f>
        <v>37224.2436048</v>
      </c>
      <c r="HA23" s="81">
        <f>SUM(HA8:HA22)</f>
        <v>177811.72160480003</v>
      </c>
      <c r="HB23" s="81">
        <f>SUM(HB8:HB22)</f>
        <v>9182.677408800002</v>
      </c>
      <c r="HC23" s="81">
        <f>SUM(HC8:HC22)</f>
        <v>449.350356</v>
      </c>
      <c r="HD23" s="78"/>
      <c r="HE23" s="78"/>
      <c r="HF23" s="78"/>
      <c r="HG23" s="78"/>
      <c r="HH23" s="78"/>
      <c r="HI23" s="78"/>
    </row>
    <row r="24" ht="13.5" thickTop="1"/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</sheetData>
  <sheetProtection/>
  <printOptions/>
  <pageMargins left="0.75" right="0.75" top="1" bottom="1" header="0.5" footer="0.5"/>
  <pageSetup orientation="landscape" scale="72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851562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2018-01-22T20:59:25Z</cp:lastPrinted>
  <dcterms:created xsi:type="dcterms:W3CDTF">1998-02-23T20:58:01Z</dcterms:created>
  <dcterms:modified xsi:type="dcterms:W3CDTF">2018-01-22T21:00:03Z</dcterms:modified>
  <cp:category/>
  <cp:version/>
  <cp:contentType/>
  <cp:contentStatus/>
</cp:coreProperties>
</file>