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activeTab="0"/>
  </bookViews>
  <sheets>
    <sheet name="2010(D&amp;E)" sheetId="1" r:id="rId1"/>
    <sheet name="Academic Project " sheetId="2" r:id="rId2"/>
    <sheet name="Percentage - Final" sheetId="3" r:id="rId3"/>
    <sheet name="Percentage-090111" sheetId="4" r:id="rId4"/>
  </sheets>
  <definedNames>
    <definedName name="_xlnm.Print_Area" localSheetId="2">'Percentage - Final'!$A$1:$R$65</definedName>
    <definedName name="_xlnm.Print_Titles" localSheetId="0">'2010(D&amp;E)'!$A:$A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<sst xmlns="http://schemas.openxmlformats.org/spreadsheetml/2006/main" count="802" uniqueCount="179">
  <si>
    <t>Payment</t>
  </si>
  <si>
    <t xml:space="preserve">   UMCP Fraternity/Sorority Houses (Auxiliary)</t>
  </si>
  <si>
    <t xml:space="preserve">   UMCP High Rise Residence -27th (Auxiliary)</t>
  </si>
  <si>
    <t xml:space="preserve">   UMCP High Rise Residence -29th (Auxiliary)</t>
  </si>
  <si>
    <t xml:space="preserve">      UMCP SCUB Utilities Facility (Auxiliary)</t>
  </si>
  <si>
    <t xml:space="preserve">        UMB New Campus Center (Auxiliary)</t>
  </si>
  <si>
    <t xml:space="preserve"> UMBC Hillcrest Demolition Parking (Auxiliary)</t>
  </si>
  <si>
    <t xml:space="preserve">     UMBC Dining Hall Upgrades (Auxiliary)</t>
  </si>
  <si>
    <t xml:space="preserve"> USMO Shady Grove Parking Garage (Auxiliary)</t>
  </si>
  <si>
    <t xml:space="preserve">         BSU New Student Center (Auxiliary)</t>
  </si>
  <si>
    <t xml:space="preserve">           CSU Parking Garage (Auxiliary)</t>
  </si>
  <si>
    <t xml:space="preserve">       FSU Lane Center Renovation (Auxiliary)</t>
  </si>
  <si>
    <t xml:space="preserve">       SU Dormitory Renovations (Auxiliary)</t>
  </si>
  <si>
    <t xml:space="preserve">      TU Resident Hall Renovations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</si>
  <si>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</si>
  <si>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</si>
  <si>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</si>
  <si>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</si>
  <si>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</si>
  <si>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UMCP Facilities Renewal (Academic)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</si>
  <si>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</si>
  <si>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</si>
  <si>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</si>
  <si>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USMO Shady Grove Edu Ctr (Academic)</t>
  </si>
  <si>
    <t xml:space="preserve">       BSU Facilities Renewal (Academic)</t>
  </si>
  <si>
    <t>BSU Fine and performing Arts Center (Academic)</t>
  </si>
  <si>
    <t xml:space="preserve">        CSU Facilities Renewal (Academic)</t>
  </si>
  <si>
    <t xml:space="preserve">  CSU New Physical Edu. Complex (Academic)</t>
  </si>
  <si>
    <t xml:space="preserve">          CSU Emergency Projects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</si>
  <si>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</si>
  <si>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</si>
  <si>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</si>
  <si>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</si>
  <si>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</si>
  <si>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</si>
  <si>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</si>
  <si>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</si>
  <si>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</si>
  <si>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</si>
  <si>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</si>
  <si>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</si>
  <si>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</si>
  <si>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USMO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</si>
  <si>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</si>
  <si>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</si>
  <si>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</si>
  <si>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</si>
  <si>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</si>
  <si>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</si>
  <si>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</si>
  <si>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</si>
  <si>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</si>
  <si>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</si>
  <si>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</si>
  <si>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25th Acad</t>
  </si>
  <si>
    <t>Emergency Project</t>
  </si>
  <si>
    <t>28,29th Acad</t>
  </si>
  <si>
    <t>Pharmacy Hall Addition and Renovation</t>
  </si>
  <si>
    <t>Shady Grove Education Center III</t>
  </si>
  <si>
    <t>27th Acad</t>
  </si>
  <si>
    <t xml:space="preserve">New Physical Education Complex </t>
  </si>
  <si>
    <t>22nd Acad</t>
  </si>
  <si>
    <t>28,29th Aux</t>
  </si>
  <si>
    <t>Fraternity/Sorority Houses Renovation</t>
  </si>
  <si>
    <t>27th Aux</t>
  </si>
  <si>
    <t>High Rise Residence Hall A/C</t>
  </si>
  <si>
    <t>29th Aux</t>
  </si>
  <si>
    <t>26th Aux</t>
  </si>
  <si>
    <t>SCUB Utilities Facility</t>
  </si>
  <si>
    <t>Hillcrest Demolition/Parking Lot</t>
  </si>
  <si>
    <t>Resident Hall Renovations</t>
  </si>
  <si>
    <t>Shady Grove Center Parking Garage</t>
  </si>
  <si>
    <t>28th Aux</t>
  </si>
  <si>
    <t>New Student Center</t>
  </si>
  <si>
    <t>Parking Garage</t>
  </si>
  <si>
    <t>Lane Center Renovation/Addition</t>
  </si>
  <si>
    <t>Dormitory Renovations, Campus-Wide</t>
  </si>
  <si>
    <t>30th Aux</t>
  </si>
  <si>
    <t>Mixed-Use Development - Student Housing</t>
  </si>
  <si>
    <t>31st Aux</t>
  </si>
  <si>
    <t>Student Housing - West Village PH I</t>
  </si>
  <si>
    <t>Towson Center Arena Improvement</t>
  </si>
  <si>
    <t>West Village Dining Commons</t>
  </si>
  <si>
    <t>West Village Parking Structure</t>
  </si>
  <si>
    <t>Percent by Institution:</t>
  </si>
  <si>
    <t>29, 32 Acad</t>
  </si>
  <si>
    <t>College of Liberal Arts Complex</t>
  </si>
  <si>
    <t>Utilities Upgrade/Site Improvement</t>
  </si>
  <si>
    <t>32nd Aux</t>
  </si>
  <si>
    <t>29,32th Aux</t>
  </si>
  <si>
    <t>27,28,29th Aux</t>
  </si>
  <si>
    <t xml:space="preserve">          Distribution of Debt Services</t>
  </si>
  <si>
    <t xml:space="preserve">       University System of Maryland</t>
  </si>
  <si>
    <t xml:space="preserve">       UMES Utilities Upgrade (Academic)</t>
  </si>
  <si>
    <t xml:space="preserve">          FSU Emergency Projects (Academic)</t>
  </si>
  <si>
    <t xml:space="preserve"> TU College of Liberal Arts Complex (Academic)</t>
  </si>
  <si>
    <t xml:space="preserve">          UB Emergency Projects (Academic)</t>
  </si>
  <si>
    <t xml:space="preserve">   UMCP High Rise Residence - 32nd (Auxiliary)</t>
  </si>
  <si>
    <t xml:space="preserve">              University System of Maryland</t>
  </si>
  <si>
    <t xml:space="preserve">                Distribution of Debt Services</t>
  </si>
  <si>
    <t>Athletic Practice Fields</t>
  </si>
  <si>
    <t>22,25,28th Acad</t>
  </si>
  <si>
    <t>26,29th Acad</t>
  </si>
  <si>
    <t>19,24,32th Acad</t>
  </si>
  <si>
    <t>28,29,32 Acad</t>
  </si>
  <si>
    <t>27,28,29,32th Acad</t>
  </si>
  <si>
    <t>24,25,26,27,28,29, 32th Acad</t>
  </si>
  <si>
    <t>32nd,29th Acad</t>
  </si>
  <si>
    <t>CSS and Residence Halls C SCUB Exp</t>
  </si>
  <si>
    <t>New Recreation and Athletics</t>
  </si>
  <si>
    <t>28,29,30,32th Aux</t>
  </si>
  <si>
    <t>Burdick  PH2 Air Conditioning</t>
  </si>
  <si>
    <t>West Village Infrastructure &amp; Site Improve</t>
  </si>
  <si>
    <t/>
  </si>
  <si>
    <t>2010 Series D &amp; E Bonds</t>
  </si>
  <si>
    <t>2010D &amp; 2010E Bonds</t>
  </si>
  <si>
    <t>2010 Series D &amp; E Bond Funded Projects</t>
  </si>
  <si>
    <t>2010 Series D &amp; 2010 Series E Bond Funded Projects</t>
  </si>
  <si>
    <t>32nd Acad</t>
  </si>
  <si>
    <t>Fine and Performing Arts Center</t>
  </si>
  <si>
    <t>26,27,29th Acad</t>
  </si>
  <si>
    <t>Campus-Wide Safety &amp; Circulation Improve</t>
  </si>
  <si>
    <t>28,29,32nd Acad</t>
  </si>
  <si>
    <t>26th Acad</t>
  </si>
  <si>
    <t>25,26th Acad</t>
  </si>
  <si>
    <t>26,27,28th Aux</t>
  </si>
  <si>
    <t>New Campus Center</t>
  </si>
  <si>
    <t>Dining Hall: Upgrades</t>
  </si>
  <si>
    <t>New Parking Garage &amp; Property Acquisition</t>
  </si>
  <si>
    <t>2010E Balance</t>
  </si>
  <si>
    <t>2010E</t>
  </si>
  <si>
    <t>Balance</t>
  </si>
  <si>
    <t xml:space="preserve">         UMCP Emergency Projects (Academic) </t>
  </si>
  <si>
    <t xml:space="preserve">        UMB Facilities Renewal (Academic)</t>
  </si>
  <si>
    <t xml:space="preserve">       UMB Phamacy Hall Addition (Academic)</t>
  </si>
  <si>
    <t xml:space="preserve">      UMES Emergency Projects (Academic)</t>
  </si>
  <si>
    <t xml:space="preserve">   CEES Emergency Projects (Academic)</t>
  </si>
  <si>
    <t xml:space="preserve"> TU Campus-Wide Safety/Circulation (Acad)</t>
  </si>
  <si>
    <t xml:space="preserve"> UMCP CSS/Residence Halls SCUB Exp (Aux)</t>
  </si>
  <si>
    <t>UMBC New Recreation and Athletics (Auxiliary)</t>
  </si>
  <si>
    <t xml:space="preserve">      TU West Village Infrastructure (Auxiliary)</t>
  </si>
  <si>
    <t xml:space="preserve">   UMBC Resident Hall Renovations (Auxiliary)</t>
  </si>
  <si>
    <t xml:space="preserve">  UMBC Athletic Practice Fields (Auxiliary)</t>
  </si>
  <si>
    <t xml:space="preserve"> SU Mixed-Used Student Housing (Auxiliary)</t>
  </si>
  <si>
    <t>SU Parking Garage &amp; Property Acquisition (Auxi)</t>
  </si>
  <si>
    <t xml:space="preserve">    TU Burdick PH2 Air Conditioning (Auxiliary)</t>
  </si>
  <si>
    <t xml:space="preserve"> TU Student Housing - West Village I (Auxiliary)</t>
  </si>
  <si>
    <t xml:space="preserve">  TU West Village Dining Commons (Auxiliary)</t>
  </si>
  <si>
    <t xml:space="preserve">  TU West Village Parking Structure (Auxiliary)</t>
  </si>
  <si>
    <t xml:space="preserve"> TU Towson Ceter Arena Improvement (Auxiliary)</t>
  </si>
  <si>
    <t>33rd Acad</t>
  </si>
  <si>
    <t>New Performing Arts &amp; Humanities Facility</t>
  </si>
  <si>
    <t>29, 32, 33 Acad</t>
  </si>
  <si>
    <t>28,29,32,33 Acad</t>
  </si>
  <si>
    <t>26,29,32 Acad</t>
  </si>
  <si>
    <t>29, 32nd Acad</t>
  </si>
  <si>
    <t>26,27,28,29th Acad</t>
  </si>
  <si>
    <t>25,26,28th Acad</t>
  </si>
  <si>
    <t>19,22,25,28th Acad</t>
  </si>
  <si>
    <t>33rd Aux</t>
  </si>
  <si>
    <t>Replace Carroll, Caroline, Wicomico</t>
  </si>
  <si>
    <t>28,29,30,32,33th Aux</t>
  </si>
  <si>
    <t>Parking System Improvements</t>
  </si>
  <si>
    <t>28,29,32th Aux</t>
  </si>
  <si>
    <t>31,32 Aux</t>
  </si>
  <si>
    <t>29,32nd Aux</t>
  </si>
  <si>
    <t>Ward Hall Renovation, Health Center</t>
  </si>
  <si>
    <t>Surface Lots</t>
  </si>
  <si>
    <t>UMBC New Performing Arts &amp; Humanities (Acad)</t>
  </si>
  <si>
    <t xml:space="preserve">         UMCES Facilities Renewal (Academic)</t>
  </si>
  <si>
    <t xml:space="preserve">          UB Facilities Renewal (Academic)</t>
  </si>
  <si>
    <t xml:space="preserve"> UMCP Replace Carrol/Caroline/Wicomico (Aux)</t>
  </si>
  <si>
    <t xml:space="preserve">        Total Academic Projects - 2010D &amp; E</t>
  </si>
  <si>
    <t xml:space="preserve">           Total Auxiliary Projects - 2010D &amp; E</t>
  </si>
  <si>
    <t>Total Debt Service 2010 Series D &amp; E</t>
  </si>
  <si>
    <t>Amort of</t>
  </si>
  <si>
    <t>Premium</t>
  </si>
  <si>
    <t xml:space="preserve">      UMCP/UMBI Facilities Renewal (Academic)</t>
  </si>
  <si>
    <t xml:space="preserve">  USM( Paid off by TU FY12) (Aux)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</si>
</sst>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0000%"/>
    <numFmt numFmtId="174" formatCode="_(* #,##0.0_);_(* \(#,##0.0\);_(* &quot;-&quot;??_);_(@_)"/>
    <numFmt numFmtId="175" formatCode="_(* #,##0_);_(* \(#,##0\);_(* &quot;-&quot;??_);_(@_)"/>
    <numFmt numFmtId="176" formatCode="_(* #,##0.00000_);_(* \(#,##0.00000\);_(* &quot;-&quot;?????_);_(@_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>
      <alignment horizontal="right"/>
    </xf>
    <xf numFmtId="38" fontId="0" fillId="0" borderId="12" xfId="0" applyNumberFormat="1" applyBorder="1" applyAlignment="1" quotePrefix="1">
      <alignment horizontal="lef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>
      <alignment horizontal="right"/>
    </xf>
    <xf numFmtId="38" fontId="0" fillId="0" borderId="14" xfId="0" applyNumberFormat="1" applyBorder="1" applyAlignment="1">
      <alignment horizontal="right"/>
    </xf>
    <xf numFmtId="3" fontId="0" fillId="0" borderId="12" xfId="0" applyNumberFormat="1" applyBorder="1" applyAlignment="1" quotePrefix="1">
      <alignment horizontal="left"/>
    </xf>
    <xf numFmtId="3" fontId="0" fillId="0" borderId="14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/>
    </xf>
    <xf numFmtId="173" fontId="0" fillId="0" borderId="13" xfId="0" applyNumberFormat="1" applyBorder="1" applyAlignment="1">
      <alignment/>
    </xf>
    <xf numFmtId="173" fontId="0" fillId="0" borderId="11" xfId="0" applyNumberFormat="1" applyBorder="1" applyAlignment="1">
      <alignment horizontal="right"/>
    </xf>
    <xf numFmtId="173" fontId="0" fillId="0" borderId="13" xfId="0" applyNumberFormat="1" applyBorder="1" applyAlignment="1">
      <alignment horizontal="right"/>
    </xf>
    <xf numFmtId="173" fontId="0" fillId="0" borderId="12" xfId="0" applyNumberFormat="1" applyBorder="1" applyAlignment="1" quotePrefix="1">
      <alignment horizontal="right"/>
    </xf>
    <xf numFmtId="173" fontId="0" fillId="0" borderId="14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11" xfId="0" applyNumberFormat="1" applyBorder="1" applyAlignment="1">
      <alignment/>
    </xf>
    <xf numFmtId="172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12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3" xfId="0" applyNumberFormat="1" applyBorder="1" applyAlignment="1">
      <alignment horizontal="center"/>
    </xf>
    <xf numFmtId="38" fontId="0" fillId="0" borderId="15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173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40" fontId="0" fillId="0" borderId="12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0" fontId="0" fillId="0" borderId="21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2" xfId="0" applyNumberFormat="1" applyBorder="1" applyAlignment="1">
      <alignment horizontal="right"/>
    </xf>
    <xf numFmtId="173" fontId="0" fillId="0" borderId="2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 quotePrefix="1">
      <alignment horizontal="right"/>
    </xf>
    <xf numFmtId="173" fontId="0" fillId="0" borderId="19" xfId="0" applyNumberFormat="1" applyBorder="1" applyAlignment="1">
      <alignment/>
    </xf>
    <xf numFmtId="173" fontId="0" fillId="0" borderId="22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73" fontId="0" fillId="0" borderId="0" xfId="0" applyNumberFormat="1" applyBorder="1" applyAlignment="1">
      <alignment horizontal="right"/>
    </xf>
    <xf numFmtId="0" fontId="0" fillId="0" borderId="0" xfId="0" applyAlignment="1" quotePrefix="1">
      <alignment/>
    </xf>
    <xf numFmtId="38" fontId="0" fillId="0" borderId="20" xfId="0" applyNumberFormat="1" applyBorder="1" applyAlignment="1">
      <alignment horizontal="center"/>
    </xf>
    <xf numFmtId="40" fontId="0" fillId="0" borderId="0" xfId="0" applyNumberFormat="1" applyFill="1" applyBorder="1" applyAlignment="1">
      <alignment horizontal="right"/>
    </xf>
    <xf numFmtId="40" fontId="0" fillId="0" borderId="0" xfId="0" applyNumberFormat="1" applyFill="1" applyBorder="1" applyAlignment="1">
      <alignment horizontal="center"/>
    </xf>
    <xf numFmtId="40" fontId="0" fillId="0" borderId="0" xfId="0" applyNumberFormat="1" applyFill="1" applyAlignment="1">
      <alignment/>
    </xf>
    <xf numFmtId="175" fontId="0" fillId="0" borderId="0" xfId="42" applyNumberFormat="1" applyFont="1" applyAlignment="1">
      <alignment/>
    </xf>
    <xf numFmtId="38" fontId="0" fillId="33" borderId="14" xfId="0" applyNumberFormat="1" applyFill="1" applyBorder="1" applyAlignment="1">
      <alignment horizontal="centerContinuous"/>
    </xf>
    <xf numFmtId="38" fontId="0" fillId="33" borderId="11" xfId="0" applyNumberFormat="1" applyFill="1" applyBorder="1" applyAlignment="1">
      <alignment horizontal="centerContinuous"/>
    </xf>
    <xf numFmtId="38" fontId="0" fillId="0" borderId="11" xfId="0" applyNumberFormat="1" applyBorder="1" applyAlignment="1">
      <alignment horizontal="center"/>
    </xf>
    <xf numFmtId="38" fontId="0" fillId="34" borderId="11" xfId="0" applyNumberFormat="1" applyFont="1" applyFill="1" applyBorder="1" applyAlignment="1">
      <alignment horizontal="right"/>
    </xf>
    <xf numFmtId="38" fontId="0" fillId="34" borderId="0" xfId="0" applyNumberFormat="1" applyFont="1" applyFill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3" fontId="2" fillId="0" borderId="12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Q565"/>
  <sheetViews>
    <sheetView tabSelected="1" zoomScale="150" zoomScaleNormal="1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9" sqref="D9"/>
    </sheetView>
  </sheetViews>
  <sheetFormatPr defaultColWidth="13.7109375" defaultRowHeight="12.75"/>
  <cols>
    <col min="1" max="1" width="9.7109375" style="36" customWidth="1"/>
    <col min="2" max="2" width="3.7109375" style="0" customWidth="1"/>
    <col min="3" max="6" width="13.7109375" style="3" customWidth="1"/>
    <col min="7" max="7" width="3.7109375" style="5" customWidth="1"/>
    <col min="8" max="11" width="13.7109375" style="5" customWidth="1"/>
    <col min="12" max="12" width="3.7109375" style="5" customWidth="1"/>
    <col min="13" max="16" width="13.7109375" style="0" customWidth="1"/>
    <col min="17" max="17" width="3.7109375" style="5" customWidth="1"/>
    <col min="18" max="21" width="13.7109375" style="0" customWidth="1"/>
    <col min="22" max="22" width="3.7109375" style="5" customWidth="1"/>
    <col min="23" max="26" width="13.7109375" style="0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0" customWidth="1"/>
    <col min="47" max="47" width="3.7109375" style="5" customWidth="1"/>
    <col min="48" max="51" width="13.7109375" style="0" customWidth="1"/>
    <col min="52" max="52" width="3.7109375" style="6" customWidth="1"/>
    <col min="53" max="56" width="13.7109375" style="0" customWidth="1"/>
    <col min="57" max="57" width="3.7109375" style="6" customWidth="1"/>
    <col min="58" max="61" width="13.7109375" style="0" customWidth="1"/>
    <col min="62" max="62" width="3.7109375" style="0" customWidth="1"/>
    <col min="63" max="66" width="13.7109375" style="6" customWidth="1"/>
    <col min="67" max="67" width="3.7109375" style="6" customWidth="1"/>
    <col min="68" max="71" width="13.7109375" style="6" customWidth="1"/>
    <col min="72" max="72" width="3.7109375" style="6" customWidth="1"/>
    <col min="73" max="76" width="12.7109375" style="6" customWidth="1"/>
    <col min="77" max="77" width="3.7109375" style="6" customWidth="1"/>
    <col min="78" max="81" width="13.7109375" style="6" customWidth="1"/>
    <col min="82" max="82" width="3.7109375" style="6" customWidth="1"/>
    <col min="83" max="86" width="13.7109375" style="6" customWidth="1"/>
    <col min="87" max="87" width="3.7109375" style="6" customWidth="1"/>
    <col min="88" max="91" width="13.7109375" style="6" customWidth="1"/>
    <col min="92" max="92" width="3.7109375" style="6" customWidth="1"/>
    <col min="93" max="96" width="13.7109375" style="6" customWidth="1"/>
    <col min="97" max="97" width="3.7109375" style="6" customWidth="1"/>
    <col min="98" max="101" width="13.7109375" style="6" customWidth="1"/>
    <col min="102" max="102" width="3.7109375" style="6" customWidth="1"/>
    <col min="103" max="106" width="13.7109375" style="6" customWidth="1"/>
    <col min="107" max="107" width="3.7109375" style="6" customWidth="1"/>
    <col min="108" max="111" width="13.7109375" style="6" customWidth="1"/>
    <col min="112" max="112" width="3.7109375" style="6" customWidth="1"/>
    <col min="113" max="116" width="12.7109375" style="6" customWidth="1"/>
    <col min="117" max="117" width="3.7109375" style="6" customWidth="1"/>
    <col min="118" max="121" width="13.7109375" style="6" customWidth="1"/>
    <col min="122" max="122" width="3.7109375" style="6" customWidth="1"/>
    <col min="123" max="126" width="13.7109375" style="6" customWidth="1"/>
    <col min="127" max="127" width="3.7109375" style="6" customWidth="1"/>
    <col min="128" max="131" width="13.7109375" style="6" customWidth="1"/>
    <col min="132" max="132" width="3.7109375" style="6" customWidth="1"/>
    <col min="133" max="136" width="13.7109375" style="6" customWidth="1"/>
    <col min="137" max="137" width="3.7109375" style="6" customWidth="1"/>
    <col min="138" max="141" width="13.7109375" style="6" customWidth="1"/>
    <col min="142" max="142" width="3.7109375" style="6" customWidth="1"/>
    <col min="143" max="146" width="13.7109375" style="6" customWidth="1"/>
    <col min="147" max="147" width="3.7109375" style="6" customWidth="1"/>
    <col min="148" max="151" width="13.7109375" style="6" customWidth="1"/>
    <col min="152" max="152" width="3.7109375" style="6" customWidth="1"/>
    <col min="153" max="156" width="13.7109375" style="6" customWidth="1"/>
    <col min="157" max="157" width="3.7109375" style="6" customWidth="1"/>
    <col min="158" max="160" width="13.7109375" style="6" customWidth="1"/>
    <col min="161" max="161" width="3.7109375" style="0" customWidth="1"/>
  </cols>
  <sheetData>
    <row r="1" spans="1:153" ht="12.75">
      <c r="A1" s="1"/>
      <c r="B1" s="2"/>
      <c r="C1" s="4" t="s">
        <v>98</v>
      </c>
      <c r="D1" s="4"/>
      <c r="H1" s="4"/>
      <c r="M1" s="4" t="s">
        <v>98</v>
      </c>
      <c r="AB1" s="4" t="s">
        <v>98</v>
      </c>
      <c r="AQ1" s="4" t="s">
        <v>98</v>
      </c>
      <c r="BK1" s="4" t="s">
        <v>98</v>
      </c>
      <c r="BP1" s="4"/>
      <c r="BU1" s="4"/>
      <c r="BZ1" s="4" t="s">
        <v>98</v>
      </c>
      <c r="CT1" s="4" t="s">
        <v>98</v>
      </c>
      <c r="DI1" s="4" t="s">
        <v>98</v>
      </c>
      <c r="DX1" s="4" t="s">
        <v>98</v>
      </c>
      <c r="EH1" s="4"/>
      <c r="EW1" s="4" t="s">
        <v>98</v>
      </c>
    </row>
    <row r="2" spans="1:153" ht="12.75">
      <c r="A2" s="1"/>
      <c r="B2" s="2"/>
      <c r="C2" s="4" t="s">
        <v>99</v>
      </c>
      <c r="D2" s="4"/>
      <c r="H2" s="4"/>
      <c r="M2" s="4" t="s">
        <v>99</v>
      </c>
      <c r="AB2" s="4" t="s">
        <v>99</v>
      </c>
      <c r="AQ2" s="4" t="s">
        <v>99</v>
      </c>
      <c r="BK2" s="4" t="s">
        <v>99</v>
      </c>
      <c r="BP2" s="4"/>
      <c r="BU2" s="4"/>
      <c r="BZ2" s="4" t="s">
        <v>99</v>
      </c>
      <c r="CT2" s="4" t="s">
        <v>99</v>
      </c>
      <c r="DI2" s="4" t="s">
        <v>99</v>
      </c>
      <c r="DX2" s="4" t="s">
        <v>99</v>
      </c>
      <c r="EH2" s="4"/>
      <c r="EW2" s="4" t="s">
        <v>99</v>
      </c>
    </row>
    <row r="3" spans="1:153" ht="12.75">
      <c r="A3" s="1"/>
      <c r="B3" s="2"/>
      <c r="C3" s="4" t="s">
        <v>117</v>
      </c>
      <c r="D3" s="7"/>
      <c r="H3" s="4"/>
      <c r="M3" s="4" t="s">
        <v>117</v>
      </c>
      <c r="N3" s="8"/>
      <c r="AB3" s="4" t="s">
        <v>117</v>
      </c>
      <c r="AQ3" s="4" t="s">
        <v>117</v>
      </c>
      <c r="BK3" s="4" t="s">
        <v>117</v>
      </c>
      <c r="BP3" s="4"/>
      <c r="BU3" s="4"/>
      <c r="BZ3" s="4" t="s">
        <v>117</v>
      </c>
      <c r="CT3" s="4" t="s">
        <v>117</v>
      </c>
      <c r="DI3" s="4" t="s">
        <v>117</v>
      </c>
      <c r="DX3" s="4" t="s">
        <v>117</v>
      </c>
      <c r="EH3" s="4"/>
      <c r="EW3" s="4" t="s">
        <v>117</v>
      </c>
    </row>
    <row r="4" spans="1:4" ht="12.75">
      <c r="A4" s="1"/>
      <c r="B4" s="2"/>
      <c r="C4" s="4"/>
      <c r="D4" s="4"/>
    </row>
    <row r="5" spans="1:160" ht="12.75">
      <c r="A5" s="9" t="s">
        <v>0</v>
      </c>
      <c r="C5" s="79" t="s">
        <v>174</v>
      </c>
      <c r="D5" s="79"/>
      <c r="E5" s="80"/>
      <c r="F5" s="10"/>
      <c r="H5" s="11" t="s">
        <v>172</v>
      </c>
      <c r="I5" s="12"/>
      <c r="J5" s="13"/>
      <c r="K5" s="82"/>
      <c r="M5" s="11" t="s">
        <v>173</v>
      </c>
      <c r="N5" s="14"/>
      <c r="O5" s="13"/>
      <c r="P5" s="82"/>
      <c r="R5" s="18" t="s">
        <v>171</v>
      </c>
      <c r="S5" s="16"/>
      <c r="T5" s="17"/>
      <c r="U5" s="82"/>
      <c r="W5" s="15" t="s">
        <v>1</v>
      </c>
      <c r="X5" s="16"/>
      <c r="Y5" s="17"/>
      <c r="Z5" s="82"/>
      <c r="AB5" s="18" t="s">
        <v>2</v>
      </c>
      <c r="AC5" s="16"/>
      <c r="AD5" s="17"/>
      <c r="AE5" s="82"/>
      <c r="AG5" s="18" t="s">
        <v>3</v>
      </c>
      <c r="AH5" s="16"/>
      <c r="AI5" s="17"/>
      <c r="AJ5" s="82"/>
      <c r="AL5" s="18" t="s">
        <v>97</v>
      </c>
      <c r="AM5" s="16"/>
      <c r="AN5" s="17"/>
      <c r="AO5" s="82"/>
      <c r="AQ5" s="18" t="s">
        <v>138</v>
      </c>
      <c r="AR5" s="16"/>
      <c r="AS5" s="17"/>
      <c r="AT5" s="82"/>
      <c r="AV5" s="15" t="s">
        <v>4</v>
      </c>
      <c r="AW5" s="16"/>
      <c r="AX5" s="17"/>
      <c r="AY5" s="82"/>
      <c r="BA5" s="15" t="s">
        <v>5</v>
      </c>
      <c r="BB5" s="16"/>
      <c r="BC5" s="17"/>
      <c r="BD5" s="82"/>
      <c r="BF5" s="18" t="s">
        <v>139</v>
      </c>
      <c r="BG5" s="16"/>
      <c r="BH5" s="17"/>
      <c r="BI5" s="82"/>
      <c r="BJ5" s="19"/>
      <c r="BK5" s="18" t="s">
        <v>141</v>
      </c>
      <c r="BL5" s="16"/>
      <c r="BM5" s="17"/>
      <c r="BN5" s="82"/>
      <c r="BP5" s="18" t="s">
        <v>6</v>
      </c>
      <c r="BQ5" s="16"/>
      <c r="BR5" s="17"/>
      <c r="BS5" s="82"/>
      <c r="BU5" s="18" t="s">
        <v>142</v>
      </c>
      <c r="BV5" s="16"/>
      <c r="BW5" s="17"/>
      <c r="BX5" s="82"/>
      <c r="BZ5" s="15" t="s">
        <v>7</v>
      </c>
      <c r="CA5" s="16"/>
      <c r="CB5" s="17"/>
      <c r="CC5" s="82"/>
      <c r="CE5" s="15" t="s">
        <v>8</v>
      </c>
      <c r="CF5" s="16"/>
      <c r="CG5" s="17"/>
      <c r="CH5" s="82"/>
      <c r="CJ5" s="85" t="s">
        <v>178</v>
      </c>
      <c r="CK5" s="16"/>
      <c r="CL5" s="17"/>
      <c r="CM5" s="82"/>
      <c r="CO5" s="15" t="s">
        <v>9</v>
      </c>
      <c r="CP5" s="16"/>
      <c r="CQ5" s="17"/>
      <c r="CR5" s="82"/>
      <c r="CT5" s="15" t="s">
        <v>10</v>
      </c>
      <c r="CU5" s="16"/>
      <c r="CV5" s="17"/>
      <c r="CW5" s="82"/>
      <c r="CY5" s="15" t="s">
        <v>11</v>
      </c>
      <c r="CZ5" s="16"/>
      <c r="DA5" s="17"/>
      <c r="DB5" s="82"/>
      <c r="DD5" s="15" t="s">
        <v>12</v>
      </c>
      <c r="DE5" s="16"/>
      <c r="DF5" s="17"/>
      <c r="DG5" s="82"/>
      <c r="DI5" s="18" t="s">
        <v>143</v>
      </c>
      <c r="DJ5" s="16"/>
      <c r="DK5" s="17"/>
      <c r="DL5" s="82"/>
      <c r="DN5" s="15" t="s">
        <v>144</v>
      </c>
      <c r="DO5" s="16"/>
      <c r="DP5" s="17"/>
      <c r="DQ5" s="82"/>
      <c r="DS5" s="15" t="s">
        <v>145</v>
      </c>
      <c r="DT5" s="16"/>
      <c r="DU5" s="17"/>
      <c r="DV5" s="82"/>
      <c r="DX5" s="15" t="s">
        <v>146</v>
      </c>
      <c r="DY5" s="16"/>
      <c r="DZ5" s="17"/>
      <c r="EA5" s="82"/>
      <c r="EC5" s="18" t="s">
        <v>13</v>
      </c>
      <c r="ED5" s="16"/>
      <c r="EE5" s="17"/>
      <c r="EF5" s="82"/>
      <c r="EH5" s="18" t="s">
        <v>149</v>
      </c>
      <c r="EI5" s="16"/>
      <c r="EJ5" s="17"/>
      <c r="EK5" s="82"/>
      <c r="EM5" s="18" t="s">
        <v>147</v>
      </c>
      <c r="EN5" s="16"/>
      <c r="EO5" s="17"/>
      <c r="EP5" s="82"/>
      <c r="ER5" s="18" t="s">
        <v>148</v>
      </c>
      <c r="ES5" s="16"/>
      <c r="ET5" s="17"/>
      <c r="EU5" s="82"/>
      <c r="EW5" s="18" t="s">
        <v>140</v>
      </c>
      <c r="EX5" s="16"/>
      <c r="EY5" s="17"/>
      <c r="EZ5" s="82"/>
      <c r="FA5" s="19"/>
      <c r="FB5" s="18" t="s">
        <v>14</v>
      </c>
      <c r="FC5" s="16"/>
      <c r="FD5" s="17"/>
    </row>
    <row r="6" spans="1:160" s="8" customFormat="1" ht="12.75">
      <c r="A6" s="20" t="s">
        <v>15</v>
      </c>
      <c r="C6" s="41"/>
      <c r="D6" s="42" t="s">
        <v>115</v>
      </c>
      <c r="E6" s="13"/>
      <c r="F6" s="81" t="s">
        <v>175</v>
      </c>
      <c r="G6" s="5"/>
      <c r="H6" s="21">
        <v>0.1422725</v>
      </c>
      <c r="I6" s="22">
        <v>0.223231</v>
      </c>
      <c r="J6" s="23"/>
      <c r="K6" s="81" t="s">
        <v>175</v>
      </c>
      <c r="L6" s="5"/>
      <c r="M6" s="21">
        <f>W6+AB6+AG6+AL6+AQ6+AV6+BA6+BF6+BK6+BP6+BU6+BZ6+CE6+CO6+CT6+CY6+DD6+DI6+DN6+DS6+DX6+EC6+EH6+EM6+ER6+EW6+FB6</f>
        <v>0.8577275</v>
      </c>
      <c r="N6" s="24">
        <f>S6+X6+AC6+AH6+AM6+AR6+AW6+BB6+BG6+BL6+BQ6+BV6+CA6+CF6+CP6+CU6+CZ6+DE6+DJ6+DO6+DT6+DY6+ED6+EI6+CK6+EN6+ES6+EX6</f>
        <v>0.7767690000000002</v>
      </c>
      <c r="O6" s="23"/>
      <c r="P6" s="81" t="s">
        <v>175</v>
      </c>
      <c r="Q6" s="5"/>
      <c r="R6" s="25">
        <v>0</v>
      </c>
      <c r="S6" s="26">
        <v>0.0002172</v>
      </c>
      <c r="T6" s="23"/>
      <c r="U6" s="81" t="s">
        <v>175</v>
      </c>
      <c r="V6" s="5"/>
      <c r="W6" s="25">
        <v>0.0028932</v>
      </c>
      <c r="X6" s="26">
        <v>0.0231145</v>
      </c>
      <c r="Y6" s="23"/>
      <c r="Z6" s="81" t="s">
        <v>175</v>
      </c>
      <c r="AA6" s="5"/>
      <c r="AB6" s="25">
        <v>0.0013944</v>
      </c>
      <c r="AC6" s="26">
        <v>0.0014183</v>
      </c>
      <c r="AD6" s="23"/>
      <c r="AE6" s="81" t="s">
        <v>175</v>
      </c>
      <c r="AF6" s="5"/>
      <c r="AG6" s="25">
        <v>0.0093135</v>
      </c>
      <c r="AH6" s="26">
        <v>0.0102579</v>
      </c>
      <c r="AI6" s="23"/>
      <c r="AJ6" s="81" t="s">
        <v>175</v>
      </c>
      <c r="AK6" s="5"/>
      <c r="AL6" s="25">
        <v>0.0039354</v>
      </c>
      <c r="AM6" s="26">
        <v>0.0081136</v>
      </c>
      <c r="AN6" s="23"/>
      <c r="AO6" s="81" t="s">
        <v>175</v>
      </c>
      <c r="AP6" s="5"/>
      <c r="AQ6" s="25">
        <v>0.0021448</v>
      </c>
      <c r="AR6" s="26">
        <v>0.0021644</v>
      </c>
      <c r="AS6" s="23"/>
      <c r="AT6" s="81" t="s">
        <v>175</v>
      </c>
      <c r="AU6" s="5"/>
      <c r="AV6" s="25">
        <v>0.0242511</v>
      </c>
      <c r="AW6" s="26">
        <v>0.0244732</v>
      </c>
      <c r="AX6" s="23"/>
      <c r="AY6" s="81" t="s">
        <v>175</v>
      </c>
      <c r="BA6" s="25">
        <v>0.0004264</v>
      </c>
      <c r="BB6" s="26">
        <v>0.0004303</v>
      </c>
      <c r="BC6" s="23"/>
      <c r="BD6" s="81" t="s">
        <v>175</v>
      </c>
      <c r="BF6" s="25">
        <v>9.1E-05</v>
      </c>
      <c r="BG6" s="26">
        <v>9.19E-05</v>
      </c>
      <c r="BH6" s="23"/>
      <c r="BI6" s="81" t="s">
        <v>175</v>
      </c>
      <c r="BJ6" s="72"/>
      <c r="BK6" s="25">
        <v>0.0835219</v>
      </c>
      <c r="BL6" s="26">
        <v>0.087894</v>
      </c>
      <c r="BM6" s="23"/>
      <c r="BN6" s="81" t="s">
        <v>175</v>
      </c>
      <c r="BP6" s="25">
        <v>0.000168</v>
      </c>
      <c r="BQ6" s="26">
        <v>0.0001695</v>
      </c>
      <c r="BR6" s="23"/>
      <c r="BS6" s="81" t="s">
        <v>175</v>
      </c>
      <c r="BU6" s="25">
        <v>9.98E-05</v>
      </c>
      <c r="BV6" s="26">
        <v>0.0001007</v>
      </c>
      <c r="BW6" s="23"/>
      <c r="BX6" s="81" t="s">
        <v>175</v>
      </c>
      <c r="BZ6" s="25">
        <v>0.0062262</v>
      </c>
      <c r="CA6" s="26">
        <v>0.0062832</v>
      </c>
      <c r="CB6" s="23"/>
      <c r="CC6" s="81" t="s">
        <v>175</v>
      </c>
      <c r="CE6" s="25">
        <v>3.24E-05</v>
      </c>
      <c r="CF6" s="26">
        <v>0.0006637</v>
      </c>
      <c r="CG6" s="23"/>
      <c r="CH6" s="81" t="s">
        <v>175</v>
      </c>
      <c r="CJ6" s="25">
        <v>0</v>
      </c>
      <c r="CK6" s="26">
        <v>0.0018131</v>
      </c>
      <c r="CL6" s="23"/>
      <c r="CM6" s="81" t="s">
        <v>175</v>
      </c>
      <c r="CO6" s="25">
        <v>0.0122709</v>
      </c>
      <c r="CP6" s="26">
        <v>0.0177351</v>
      </c>
      <c r="CQ6" s="23"/>
      <c r="CR6" s="81" t="s">
        <v>175</v>
      </c>
      <c r="CT6" s="25">
        <v>5.78E-05</v>
      </c>
      <c r="CU6" s="26">
        <v>0.0024492</v>
      </c>
      <c r="CV6" s="23"/>
      <c r="CW6" s="81" t="s">
        <v>175</v>
      </c>
      <c r="CY6" s="25">
        <v>0.0096951</v>
      </c>
      <c r="CZ6" s="26">
        <v>0.009784</v>
      </c>
      <c r="DA6" s="23"/>
      <c r="DB6" s="81" t="s">
        <v>175</v>
      </c>
      <c r="DD6" s="25">
        <v>0.0662914</v>
      </c>
      <c r="DE6" s="26">
        <v>0.078675</v>
      </c>
      <c r="DF6" s="23"/>
      <c r="DG6" s="81" t="s">
        <v>175</v>
      </c>
      <c r="DI6" s="25">
        <v>0.08456</v>
      </c>
      <c r="DJ6" s="26">
        <v>0.1175335</v>
      </c>
      <c r="DK6" s="23"/>
      <c r="DL6" s="81" t="s">
        <v>175</v>
      </c>
      <c r="DN6" s="25">
        <v>0.0005018</v>
      </c>
      <c r="DO6" s="26">
        <v>0.0009796</v>
      </c>
      <c r="DP6" s="23"/>
      <c r="DQ6" s="81" t="s">
        <v>175</v>
      </c>
      <c r="DS6" s="25">
        <v>0.0224714</v>
      </c>
      <c r="DT6" s="26">
        <v>0.0375623</v>
      </c>
      <c r="DU6" s="23"/>
      <c r="DV6" s="81" t="s">
        <v>175</v>
      </c>
      <c r="DX6" s="25">
        <v>0.0498319</v>
      </c>
      <c r="DY6" s="26">
        <v>0.0626721</v>
      </c>
      <c r="DZ6" s="23"/>
      <c r="EA6" s="81" t="s">
        <v>175</v>
      </c>
      <c r="EC6" s="25">
        <v>0.0149322</v>
      </c>
      <c r="ED6" s="26">
        <v>0.0536561</v>
      </c>
      <c r="EE6" s="23"/>
      <c r="EF6" s="81" t="s">
        <v>175</v>
      </c>
      <c r="EH6" s="25">
        <v>0.0231774</v>
      </c>
      <c r="EI6" s="26">
        <v>0.0532049</v>
      </c>
      <c r="EJ6" s="23"/>
      <c r="EK6" s="81" t="s">
        <v>175</v>
      </c>
      <c r="EM6" s="25">
        <v>0.0657351</v>
      </c>
      <c r="EN6" s="26">
        <v>0.0771446</v>
      </c>
      <c r="EO6" s="23"/>
      <c r="EP6" s="81" t="s">
        <v>175</v>
      </c>
      <c r="ER6" s="25">
        <v>0.0583439</v>
      </c>
      <c r="ES6" s="26">
        <v>0.0977162</v>
      </c>
      <c r="ET6" s="23"/>
      <c r="EU6" s="81" t="s">
        <v>175</v>
      </c>
      <c r="EW6" s="25">
        <v>0.000332</v>
      </c>
      <c r="EX6" s="26">
        <v>0.0004509</v>
      </c>
      <c r="EY6" s="23"/>
      <c r="EZ6" s="81" t="s">
        <v>175</v>
      </c>
      <c r="FA6" s="27"/>
      <c r="FB6" s="25">
        <v>0.3150285</v>
      </c>
      <c r="FC6" s="26"/>
      <c r="FD6" s="28"/>
    </row>
    <row r="7" spans="1:160" ht="12.75">
      <c r="A7" s="29"/>
      <c r="C7" s="30" t="s">
        <v>16</v>
      </c>
      <c r="D7" s="30" t="s">
        <v>17</v>
      </c>
      <c r="E7" s="30" t="s">
        <v>18</v>
      </c>
      <c r="F7" s="30" t="s">
        <v>176</v>
      </c>
      <c r="H7" s="30" t="s">
        <v>16</v>
      </c>
      <c r="I7" s="30" t="s">
        <v>17</v>
      </c>
      <c r="J7" s="30" t="s">
        <v>18</v>
      </c>
      <c r="K7" s="30" t="s">
        <v>176</v>
      </c>
      <c r="M7" s="30" t="s">
        <v>16</v>
      </c>
      <c r="N7" s="30" t="s">
        <v>17</v>
      </c>
      <c r="O7" s="30" t="s">
        <v>18</v>
      </c>
      <c r="P7" s="30" t="s">
        <v>176</v>
      </c>
      <c r="R7" s="31" t="s">
        <v>16</v>
      </c>
      <c r="S7" s="31" t="s">
        <v>17</v>
      </c>
      <c r="T7" s="31" t="s">
        <v>18</v>
      </c>
      <c r="U7" s="30" t="s">
        <v>176</v>
      </c>
      <c r="W7" s="31" t="s">
        <v>16</v>
      </c>
      <c r="X7" s="31" t="s">
        <v>17</v>
      </c>
      <c r="Y7" s="31" t="s">
        <v>18</v>
      </c>
      <c r="Z7" s="30" t="s">
        <v>176</v>
      </c>
      <c r="AB7" s="31" t="s">
        <v>16</v>
      </c>
      <c r="AC7" s="31" t="s">
        <v>17</v>
      </c>
      <c r="AD7" s="31" t="s">
        <v>18</v>
      </c>
      <c r="AE7" s="30" t="s">
        <v>176</v>
      </c>
      <c r="AG7" s="31" t="s">
        <v>16</v>
      </c>
      <c r="AH7" s="31" t="s">
        <v>17</v>
      </c>
      <c r="AI7" s="31" t="s">
        <v>18</v>
      </c>
      <c r="AJ7" s="30" t="s">
        <v>176</v>
      </c>
      <c r="AL7" s="31" t="s">
        <v>16</v>
      </c>
      <c r="AM7" s="31" t="s">
        <v>17</v>
      </c>
      <c r="AN7" s="31" t="s">
        <v>18</v>
      </c>
      <c r="AO7" s="30" t="s">
        <v>176</v>
      </c>
      <c r="AQ7" s="31" t="s">
        <v>16</v>
      </c>
      <c r="AR7" s="31" t="s">
        <v>17</v>
      </c>
      <c r="AS7" s="31" t="s">
        <v>18</v>
      </c>
      <c r="AT7" s="30" t="s">
        <v>176</v>
      </c>
      <c r="AV7" s="31" t="s">
        <v>16</v>
      </c>
      <c r="AW7" s="31" t="s">
        <v>17</v>
      </c>
      <c r="AX7" s="31" t="s">
        <v>18</v>
      </c>
      <c r="AY7" s="30" t="s">
        <v>176</v>
      </c>
      <c r="BA7" s="31" t="s">
        <v>16</v>
      </c>
      <c r="BB7" s="31" t="s">
        <v>17</v>
      </c>
      <c r="BC7" s="31" t="s">
        <v>18</v>
      </c>
      <c r="BD7" s="30" t="s">
        <v>176</v>
      </c>
      <c r="BF7" s="31" t="s">
        <v>16</v>
      </c>
      <c r="BG7" s="31" t="s">
        <v>17</v>
      </c>
      <c r="BH7" s="31" t="s">
        <v>18</v>
      </c>
      <c r="BI7" s="30" t="s">
        <v>176</v>
      </c>
      <c r="BJ7" s="32"/>
      <c r="BK7" s="31" t="s">
        <v>16</v>
      </c>
      <c r="BL7" s="31" t="s">
        <v>17</v>
      </c>
      <c r="BM7" s="31" t="s">
        <v>18</v>
      </c>
      <c r="BN7" s="30" t="s">
        <v>176</v>
      </c>
      <c r="BP7" s="31" t="s">
        <v>16</v>
      </c>
      <c r="BQ7" s="31" t="s">
        <v>17</v>
      </c>
      <c r="BR7" s="31" t="s">
        <v>18</v>
      </c>
      <c r="BS7" s="30" t="s">
        <v>176</v>
      </c>
      <c r="BU7" s="31" t="s">
        <v>16</v>
      </c>
      <c r="BV7" s="31" t="s">
        <v>17</v>
      </c>
      <c r="BW7" s="31" t="s">
        <v>18</v>
      </c>
      <c r="BX7" s="30" t="s">
        <v>176</v>
      </c>
      <c r="BZ7" s="31" t="s">
        <v>16</v>
      </c>
      <c r="CA7" s="31" t="s">
        <v>17</v>
      </c>
      <c r="CB7" s="31" t="s">
        <v>18</v>
      </c>
      <c r="CC7" s="30" t="s">
        <v>176</v>
      </c>
      <c r="CE7" s="31" t="s">
        <v>16</v>
      </c>
      <c r="CF7" s="31" t="s">
        <v>17</v>
      </c>
      <c r="CG7" s="31" t="s">
        <v>18</v>
      </c>
      <c r="CH7" s="30" t="s">
        <v>176</v>
      </c>
      <c r="CJ7" s="31" t="s">
        <v>16</v>
      </c>
      <c r="CK7" s="31" t="s">
        <v>17</v>
      </c>
      <c r="CL7" s="31" t="s">
        <v>18</v>
      </c>
      <c r="CM7" s="30" t="s">
        <v>176</v>
      </c>
      <c r="CO7" s="31" t="s">
        <v>16</v>
      </c>
      <c r="CP7" s="31" t="s">
        <v>17</v>
      </c>
      <c r="CQ7" s="31" t="s">
        <v>18</v>
      </c>
      <c r="CR7" s="30" t="s">
        <v>176</v>
      </c>
      <c r="CT7" s="31" t="s">
        <v>16</v>
      </c>
      <c r="CU7" s="31" t="s">
        <v>17</v>
      </c>
      <c r="CV7" s="31" t="s">
        <v>18</v>
      </c>
      <c r="CW7" s="30" t="s">
        <v>176</v>
      </c>
      <c r="CY7" s="31" t="s">
        <v>16</v>
      </c>
      <c r="CZ7" s="31" t="s">
        <v>17</v>
      </c>
      <c r="DA7" s="31" t="s">
        <v>18</v>
      </c>
      <c r="DB7" s="30" t="s">
        <v>176</v>
      </c>
      <c r="DD7" s="31" t="s">
        <v>16</v>
      </c>
      <c r="DE7" s="31" t="s">
        <v>17</v>
      </c>
      <c r="DF7" s="31" t="s">
        <v>18</v>
      </c>
      <c r="DG7" s="30" t="s">
        <v>176</v>
      </c>
      <c r="DI7" s="31" t="s">
        <v>16</v>
      </c>
      <c r="DJ7" s="31" t="s">
        <v>17</v>
      </c>
      <c r="DK7" s="31" t="s">
        <v>18</v>
      </c>
      <c r="DL7" s="30" t="s">
        <v>176</v>
      </c>
      <c r="DN7" s="31" t="s">
        <v>16</v>
      </c>
      <c r="DO7" s="31" t="s">
        <v>17</v>
      </c>
      <c r="DP7" s="31" t="s">
        <v>18</v>
      </c>
      <c r="DQ7" s="30" t="s">
        <v>176</v>
      </c>
      <c r="DS7" s="31" t="s">
        <v>16</v>
      </c>
      <c r="DT7" s="31" t="s">
        <v>17</v>
      </c>
      <c r="DU7" s="31" t="s">
        <v>18</v>
      </c>
      <c r="DV7" s="30" t="s">
        <v>176</v>
      </c>
      <c r="DX7" s="31" t="s">
        <v>16</v>
      </c>
      <c r="DY7" s="31" t="s">
        <v>17</v>
      </c>
      <c r="DZ7" s="31" t="s">
        <v>18</v>
      </c>
      <c r="EA7" s="30" t="s">
        <v>176</v>
      </c>
      <c r="EC7" s="31" t="s">
        <v>16</v>
      </c>
      <c r="ED7" s="31" t="s">
        <v>17</v>
      </c>
      <c r="EE7" s="31" t="s">
        <v>18</v>
      </c>
      <c r="EF7" s="30" t="s">
        <v>176</v>
      </c>
      <c r="EH7" s="31" t="s">
        <v>16</v>
      </c>
      <c r="EI7" s="31" t="s">
        <v>17</v>
      </c>
      <c r="EJ7" s="31" t="s">
        <v>18</v>
      </c>
      <c r="EK7" s="30" t="s">
        <v>176</v>
      </c>
      <c r="EM7" s="31" t="s">
        <v>16</v>
      </c>
      <c r="EN7" s="31" t="s">
        <v>17</v>
      </c>
      <c r="EO7" s="31" t="s">
        <v>18</v>
      </c>
      <c r="EP7" s="30" t="s">
        <v>176</v>
      </c>
      <c r="ER7" s="31" t="s">
        <v>16</v>
      </c>
      <c r="ES7" s="31" t="s">
        <v>17</v>
      </c>
      <c r="ET7" s="31" t="s">
        <v>18</v>
      </c>
      <c r="EU7" s="30" t="s">
        <v>176</v>
      </c>
      <c r="EW7" s="31" t="s">
        <v>16</v>
      </c>
      <c r="EX7" s="31" t="s">
        <v>17</v>
      </c>
      <c r="EY7" s="31" t="s">
        <v>18</v>
      </c>
      <c r="EZ7" s="30" t="s">
        <v>176</v>
      </c>
      <c r="FA7" s="32"/>
      <c r="FB7" s="31" t="s">
        <v>16</v>
      </c>
      <c r="FC7" s="31" t="s">
        <v>17</v>
      </c>
      <c r="FD7" s="31" t="s">
        <v>18</v>
      </c>
    </row>
    <row r="8" spans="1:199" ht="12.75">
      <c r="A8" s="36">
        <v>43009</v>
      </c>
      <c r="B8" s="37"/>
      <c r="C8" s="78"/>
      <c r="D8" s="78">
        <v>1426564</v>
      </c>
      <c r="E8" s="34">
        <f aca="true" t="shared" si="0" ref="E8:E33">C8+D8</f>
        <v>1426564</v>
      </c>
      <c r="F8" s="34">
        <v>79572</v>
      </c>
      <c r="H8" s="35"/>
      <c r="I8" s="35">
        <f aca="true" t="shared" si="1" ref="I8:I33">D8*$I$6</f>
        <v>318453.308284</v>
      </c>
      <c r="J8" s="35">
        <f aca="true" t="shared" si="2" ref="J8:J33">H8+I8</f>
        <v>318453.308284</v>
      </c>
      <c r="K8" s="35">
        <f>'Academic Project '!K8</f>
        <v>17762.937132</v>
      </c>
      <c r="M8" s="35"/>
      <c r="N8" s="34">
        <f aca="true" t="shared" si="3" ref="N8:N33">S8+X8+AC8+AH8+AM8+AR8+AW8+BB8+BG8+BL8+BQ8+BV8+CA8+CF8+CP8+CU8+CZ8+DE8+DJ8+DO8+DT8+DY8+ED8+EI8+CK8+EN8+ES8+EX8+FC8</f>
        <v>1108110.691716</v>
      </c>
      <c r="O8" s="5">
        <f aca="true" t="shared" si="4" ref="O8:O33">M8+N8</f>
        <v>1108110.691716</v>
      </c>
      <c r="P8" s="34">
        <f aca="true" t="shared" si="5" ref="P8:P33">U8+Z8+AE8+AJ8+AO8+AT8+AY8+BD8+BI8+BN8+BS8+BX8+CC8+CH8+CR8+CW8+DB8+DG8+DL8+DQ8+DV8+EA8+EF8+EK8+CM8+EP8+EU8+EZ8+FE8</f>
        <v>61809.062867999986</v>
      </c>
      <c r="R8" s="35"/>
      <c r="S8" s="35">
        <f aca="true" t="shared" si="6" ref="S8:S33">$D8*S$6</f>
        <v>309.8497008</v>
      </c>
      <c r="T8" s="5">
        <f aca="true" t="shared" si="7" ref="T8:T33">R8+S8</f>
        <v>309.8497008</v>
      </c>
      <c r="U8" s="35">
        <f aca="true" t="shared" si="8" ref="U8:U33">$F8*S$6</f>
        <v>17.2830384</v>
      </c>
      <c r="W8" s="35"/>
      <c r="X8" s="35">
        <f aca="true" t="shared" si="9" ref="X8:X33">$D8*X$6</f>
        <v>32974.313578</v>
      </c>
      <c r="Y8" s="5">
        <f aca="true" t="shared" si="10" ref="Y8:Y33">W8+X8</f>
        <v>32974.313578</v>
      </c>
      <c r="Z8" s="35">
        <f aca="true" t="shared" si="11" ref="Z8:Z33">$F8*X$6</f>
        <v>1839.266994</v>
      </c>
      <c r="AB8" s="35"/>
      <c r="AC8" s="35">
        <f aca="true" t="shared" si="12" ref="AC8:AC33">$D8*AC$6</f>
        <v>2023.2957212</v>
      </c>
      <c r="AD8" s="35">
        <f aca="true" t="shared" si="13" ref="AD8:AD33">AB8+AC8</f>
        <v>2023.2957212</v>
      </c>
      <c r="AE8" s="35">
        <f aca="true" t="shared" si="14" ref="AE8:AE33">$F8*AC$6</f>
        <v>112.85696759999999</v>
      </c>
      <c r="AG8" s="35"/>
      <c r="AH8" s="35">
        <f aca="true" t="shared" si="15" ref="AH8:AH33">$D8*AH$6</f>
        <v>14633.5508556</v>
      </c>
      <c r="AI8" s="5">
        <f aca="true" t="shared" si="16" ref="AI8:AI33">AG8+AH8</f>
        <v>14633.5508556</v>
      </c>
      <c r="AJ8" s="35">
        <f aca="true" t="shared" si="17" ref="AJ8:AJ33">$F8*AH$6</f>
        <v>816.2416188000001</v>
      </c>
      <c r="AL8" s="35"/>
      <c r="AM8" s="35">
        <f aca="true" t="shared" si="18" ref="AM8:AM33">$D8*AM$6</f>
        <v>11574.5696704</v>
      </c>
      <c r="AN8" s="5">
        <f aca="true" t="shared" si="19" ref="AN8:AN33">AL8+AM8</f>
        <v>11574.5696704</v>
      </c>
      <c r="AO8" s="35">
        <f aca="true" t="shared" si="20" ref="AO8:AO33">$F8*AM$6</f>
        <v>645.6153792</v>
      </c>
      <c r="AQ8" s="35"/>
      <c r="AR8" s="35">
        <f aca="true" t="shared" si="21" ref="AR8:AR33">$D8*AR$6</f>
        <v>3087.6551216</v>
      </c>
      <c r="AS8" s="5">
        <f aca="true" t="shared" si="22" ref="AS8:AS33">AQ8+AR8</f>
        <v>3087.6551216</v>
      </c>
      <c r="AT8" s="35">
        <f aca="true" t="shared" si="23" ref="AT8:AT33">$F8*AR$6</f>
        <v>172.2256368</v>
      </c>
      <c r="AV8" s="35"/>
      <c r="AW8" s="35">
        <f aca="true" t="shared" si="24" ref="AW8:AW33">$D8*AW$6</f>
        <v>34912.5860848</v>
      </c>
      <c r="AX8" s="5">
        <f aca="true" t="shared" si="25" ref="AX8:AX33">AV8+AW8</f>
        <v>34912.5860848</v>
      </c>
      <c r="AY8" s="35">
        <f aca="true" t="shared" si="26" ref="AY8:AY33">$F8*AW$6</f>
        <v>1947.3814704000001</v>
      </c>
      <c r="AZ8" s="5"/>
      <c r="BA8" s="35"/>
      <c r="BB8" s="35">
        <f aca="true" t="shared" si="27" ref="BB8:BB33">$D8*BB$6</f>
        <v>613.8504892</v>
      </c>
      <c r="BC8" s="5">
        <f aca="true" t="shared" si="28" ref="BC8:BC33">BA8+BB8</f>
        <v>613.8504892</v>
      </c>
      <c r="BD8" s="35">
        <f aca="true" t="shared" si="29" ref="BD8:BD33">$F8*BB$6</f>
        <v>34.2398316</v>
      </c>
      <c r="BE8" s="5"/>
      <c r="BF8" s="35"/>
      <c r="BG8" s="35">
        <f aca="true" t="shared" si="30" ref="BG8:BG33">$D8*BG$6</f>
        <v>131.1012316</v>
      </c>
      <c r="BH8" s="5">
        <f aca="true" t="shared" si="31" ref="BH8:BH33">BF8+BG8</f>
        <v>131.1012316</v>
      </c>
      <c r="BI8" s="35">
        <f aca="true" t="shared" si="32" ref="BI8:BI33">$F8*BG$6</f>
        <v>7.3126668</v>
      </c>
      <c r="BJ8" s="5"/>
      <c r="BK8" s="35"/>
      <c r="BL8" s="35">
        <f aca="true" t="shared" si="33" ref="BL8:BL33">$D8*BL$6</f>
        <v>125386.416216</v>
      </c>
      <c r="BM8" s="5">
        <f aca="true" t="shared" si="34" ref="BM8:BM33">BK8+BL8</f>
        <v>125386.416216</v>
      </c>
      <c r="BN8" s="35">
        <f aca="true" t="shared" si="35" ref="BN8:BN33">$F8*BL$6</f>
        <v>6993.901368</v>
      </c>
      <c r="BO8" s="5"/>
      <c r="BP8" s="35"/>
      <c r="BQ8" s="35">
        <f aca="true" t="shared" si="36" ref="BQ8:BQ33">$D8*BQ$6</f>
        <v>241.802598</v>
      </c>
      <c r="BR8" s="5">
        <f aca="true" t="shared" si="37" ref="BR8:BR33">BP8+BQ8</f>
        <v>241.802598</v>
      </c>
      <c r="BS8" s="35">
        <f aca="true" t="shared" si="38" ref="BS8:BS33">$F8*BQ$6</f>
        <v>13.487454</v>
      </c>
      <c r="BT8" s="5"/>
      <c r="BU8" s="35"/>
      <c r="BV8" s="35">
        <f aca="true" t="shared" si="39" ref="BV8:BV33">$D8*BV$6</f>
        <v>143.6549948</v>
      </c>
      <c r="BW8" s="5">
        <f aca="true" t="shared" si="40" ref="BW8:BW33">BU8+BV8</f>
        <v>143.6549948</v>
      </c>
      <c r="BX8" s="35">
        <f aca="true" t="shared" si="41" ref="BX8:BX33">$F8*BV$6</f>
        <v>8.0129004</v>
      </c>
      <c r="BY8" s="5"/>
      <c r="BZ8" s="35"/>
      <c r="CA8" s="35">
        <f aca="true" t="shared" si="42" ref="CA8:CA33">$D8*CA$6</f>
        <v>8963.386924800001</v>
      </c>
      <c r="CB8" s="5">
        <f aca="true" t="shared" si="43" ref="CB8:CB33">BZ8+CA8</f>
        <v>8963.386924800001</v>
      </c>
      <c r="CC8" s="35">
        <f aca="true" t="shared" si="44" ref="CC8:CC33">$F8*CA$6</f>
        <v>499.9667904</v>
      </c>
      <c r="CD8" s="5"/>
      <c r="CE8" s="35"/>
      <c r="CF8" s="35">
        <f aca="true" t="shared" si="45" ref="CF8:CF33">$D8*CF$6</f>
        <v>946.8105268</v>
      </c>
      <c r="CG8" s="5">
        <f aca="true" t="shared" si="46" ref="CG8:CG33">CE8+CF8</f>
        <v>946.8105268</v>
      </c>
      <c r="CH8" s="35">
        <f aca="true" t="shared" si="47" ref="CH8:CH33">$F8*CF$6</f>
        <v>52.8119364</v>
      </c>
      <c r="CI8" s="5"/>
      <c r="CJ8" s="35"/>
      <c r="CK8" s="35">
        <f aca="true" t="shared" si="48" ref="CK8:CK33">$D8*CK$6</f>
        <v>2586.5031884</v>
      </c>
      <c r="CL8" s="5">
        <f aca="true" t="shared" si="49" ref="CL8:CL33">CJ8+CK8</f>
        <v>2586.5031884</v>
      </c>
      <c r="CM8" s="35">
        <f aca="true" t="shared" si="50" ref="CM8:CM33">$F8*CK$6</f>
        <v>144.2719932</v>
      </c>
      <c r="CN8" s="5"/>
      <c r="CO8" s="35"/>
      <c r="CP8" s="35">
        <f aca="true" t="shared" si="51" ref="CP8:CP33">$D8*CP$6</f>
        <v>25300.2551964</v>
      </c>
      <c r="CQ8" s="35">
        <f aca="true" t="shared" si="52" ref="CQ8:CQ33">CO8+CP8</f>
        <v>25300.2551964</v>
      </c>
      <c r="CR8" s="35">
        <f aca="true" t="shared" si="53" ref="CR8:CR33">$F8*CP$6</f>
        <v>1411.2173772</v>
      </c>
      <c r="CS8" s="5"/>
      <c r="CT8" s="35"/>
      <c r="CU8" s="35">
        <f aca="true" t="shared" si="54" ref="CU8:CU33">$D8*CU$6</f>
        <v>3493.9405487999998</v>
      </c>
      <c r="CV8" s="35">
        <f aca="true" t="shared" si="55" ref="CV8:CV33">CT8+CU8</f>
        <v>3493.9405487999998</v>
      </c>
      <c r="CW8" s="35">
        <f aca="true" t="shared" si="56" ref="CW8:CW33">$F8*CU$6</f>
        <v>194.88774239999998</v>
      </c>
      <c r="CX8" s="5"/>
      <c r="CY8" s="35"/>
      <c r="CZ8" s="35">
        <f aca="true" t="shared" si="57" ref="CZ8:CZ33">$D8*CZ$6</f>
        <v>13957.502175999998</v>
      </c>
      <c r="DA8" s="5">
        <f aca="true" t="shared" si="58" ref="DA8:DA33">CY8+CZ8</f>
        <v>13957.502175999998</v>
      </c>
      <c r="DB8" s="35">
        <f aca="true" t="shared" si="59" ref="DB8:DB33">$F8*CZ$6</f>
        <v>778.5324479999999</v>
      </c>
      <c r="DC8" s="5"/>
      <c r="DD8" s="35"/>
      <c r="DE8" s="35">
        <f aca="true" t="shared" si="60" ref="DE8:DE33">$D8*DE$6</f>
        <v>112234.9227</v>
      </c>
      <c r="DF8" s="35">
        <f aca="true" t="shared" si="61" ref="DF8:DF33">DD8+DE8</f>
        <v>112234.9227</v>
      </c>
      <c r="DG8" s="35">
        <f aca="true" t="shared" si="62" ref="DG8:DG33">$F8*DE$6</f>
        <v>6260.3270999999995</v>
      </c>
      <c r="DH8" s="5"/>
      <c r="DI8" s="35"/>
      <c r="DJ8" s="35">
        <f aca="true" t="shared" si="63" ref="DJ8:DJ33">$D8*DJ$6</f>
        <v>167669.059894</v>
      </c>
      <c r="DK8" s="5">
        <f aca="true" t="shared" si="64" ref="DK8:DK33">DI8+DJ8</f>
        <v>167669.059894</v>
      </c>
      <c r="DL8" s="35">
        <f aca="true" t="shared" si="65" ref="DL8:DL33">$F8*DJ$6</f>
        <v>9352.375662</v>
      </c>
      <c r="DM8" s="5"/>
      <c r="DN8" s="35"/>
      <c r="DO8" s="35">
        <f aca="true" t="shared" si="66" ref="DO8:DO33">$D8*DO$6</f>
        <v>1397.4620943999998</v>
      </c>
      <c r="DP8" s="5">
        <f aca="true" t="shared" si="67" ref="DP8:DP33">DN8+DO8</f>
        <v>1397.4620943999998</v>
      </c>
      <c r="DQ8" s="35">
        <f aca="true" t="shared" si="68" ref="DQ8:DQ33">$F8*DO$6</f>
        <v>77.9487312</v>
      </c>
      <c r="DR8" s="5"/>
      <c r="DS8" s="35"/>
      <c r="DT8" s="35">
        <f aca="true" t="shared" si="69" ref="DT8:DT33">$D8*DT$6</f>
        <v>53585.024937199996</v>
      </c>
      <c r="DU8" s="5">
        <f aca="true" t="shared" si="70" ref="DU8:DU33">DS8+DT8</f>
        <v>53585.024937199996</v>
      </c>
      <c r="DV8" s="35">
        <f aca="true" t="shared" si="71" ref="DV8:DV33">$F8*DT$6</f>
        <v>2988.9073356</v>
      </c>
      <c r="DW8" s="5"/>
      <c r="DX8" s="35"/>
      <c r="DY8" s="35">
        <f aca="true" t="shared" si="72" ref="DY8:DY33">$D8*DY$6</f>
        <v>89405.7616644</v>
      </c>
      <c r="DZ8" s="5">
        <f aca="true" t="shared" si="73" ref="DZ8:DZ33">DX8+DY8</f>
        <v>89405.7616644</v>
      </c>
      <c r="EA8" s="35">
        <f aca="true" t="shared" si="74" ref="EA8:EA33">$F8*DY$6</f>
        <v>4986.944341199999</v>
      </c>
      <c r="EB8" s="5"/>
      <c r="EC8" s="35"/>
      <c r="ED8" s="35">
        <f aca="true" t="shared" si="75" ref="ED8:ED33">$D8*ED$6</f>
        <v>76543.8606404</v>
      </c>
      <c r="EE8" s="5">
        <f aca="true" t="shared" si="76" ref="EE8:EE33">EC8+ED8</f>
        <v>76543.8606404</v>
      </c>
      <c r="EF8" s="35">
        <f aca="true" t="shared" si="77" ref="EF8:EF33">$F8*ED$6</f>
        <v>4269.5231892</v>
      </c>
      <c r="EG8" s="5"/>
      <c r="EH8" s="35"/>
      <c r="EI8" s="35">
        <f aca="true" t="shared" si="78" ref="EI8:EI33">$D8*EI$6</f>
        <v>75900.1949636</v>
      </c>
      <c r="EJ8" s="5">
        <f aca="true" t="shared" si="79" ref="EJ8:EJ33">EH8+EI8</f>
        <v>75900.1949636</v>
      </c>
      <c r="EK8" s="35">
        <f aca="true" t="shared" si="80" ref="EK8:EK33">$F8*EI$6</f>
        <v>4233.6203028</v>
      </c>
      <c r="EL8" s="5"/>
      <c r="EM8" s="35"/>
      <c r="EN8" s="35">
        <f aca="true" t="shared" si="81" ref="EN8:EN33">$D8*EN$6</f>
        <v>110051.70915439998</v>
      </c>
      <c r="EO8" s="35">
        <f aca="true" t="shared" si="82" ref="EO8:EO33">EM8+EN8</f>
        <v>110051.70915439998</v>
      </c>
      <c r="EP8" s="35">
        <f aca="true" t="shared" si="83" ref="EP8:EP33">$F8*EN$6</f>
        <v>6138.550111199999</v>
      </c>
      <c r="EQ8" s="5"/>
      <c r="ER8" s="35"/>
      <c r="ES8" s="35">
        <f aca="true" t="shared" si="84" ref="ES8:ES33">$D8*ES$6</f>
        <v>139398.4131368</v>
      </c>
      <c r="ET8" s="35">
        <f aca="true" t="shared" si="85" ref="ET8:ET33">ER8+ES8</f>
        <v>139398.4131368</v>
      </c>
      <c r="EU8" s="35">
        <f aca="true" t="shared" si="86" ref="EU8:EU33">$F8*ES$6</f>
        <v>7775.473466400001</v>
      </c>
      <c r="EV8" s="5"/>
      <c r="EW8" s="35"/>
      <c r="EX8" s="35">
        <f aca="true" t="shared" si="87" ref="EX8:EX33">$D8*EX$6</f>
        <v>643.2377076</v>
      </c>
      <c r="EY8" s="5">
        <f aca="true" t="shared" si="88" ref="EY8:EY33">EW8+EX8</f>
        <v>643.2377076</v>
      </c>
      <c r="EZ8" s="35">
        <f aca="true" t="shared" si="89" ref="EZ8:EZ33">$F8*EX$6</f>
        <v>35.8790148</v>
      </c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</row>
    <row r="9" spans="1:199" ht="12.75">
      <c r="A9" s="36">
        <v>43191</v>
      </c>
      <c r="C9" s="78">
        <v>5490000</v>
      </c>
      <c r="D9" s="78">
        <v>1426564</v>
      </c>
      <c r="E9" s="34">
        <f t="shared" si="0"/>
        <v>6916564</v>
      </c>
      <c r="F9" s="34">
        <v>79572</v>
      </c>
      <c r="H9" s="35">
        <f aca="true" t="shared" si="90" ref="H9:H33">C9*$I$6</f>
        <v>1225538.1900000002</v>
      </c>
      <c r="I9" s="35">
        <f t="shared" si="1"/>
        <v>318453.308284</v>
      </c>
      <c r="J9" s="35">
        <f t="shared" si="2"/>
        <v>1543991.4982840002</v>
      </c>
      <c r="K9" s="35">
        <f>'Academic Project '!K9</f>
        <v>17762.937132</v>
      </c>
      <c r="M9" s="35">
        <f>R9+W9+AB9+AG9+AL9+AQ9+AV9+BA9+BF9+BK9+BP9+BU9+BZ9+CE9+CO9+CT9+CY9+DD9+DI9+DN9+DS9+DX9+EC9+EH9+CJ9+EM9+ER9+EW9+FB9</f>
        <v>4264461.81</v>
      </c>
      <c r="N9" s="34">
        <f t="shared" si="3"/>
        <v>1108110.691716</v>
      </c>
      <c r="O9" s="5">
        <f t="shared" si="4"/>
        <v>5372572.501715999</v>
      </c>
      <c r="P9" s="34">
        <f t="shared" si="5"/>
        <v>61809.062867999986</v>
      </c>
      <c r="R9" s="35">
        <f aca="true" t="shared" si="91" ref="R9:R33">$C9*S$6</f>
        <v>1192.4279999999999</v>
      </c>
      <c r="S9" s="35">
        <f t="shared" si="6"/>
        <v>309.8497008</v>
      </c>
      <c r="T9" s="5">
        <f t="shared" si="7"/>
        <v>1502.2777007999998</v>
      </c>
      <c r="U9" s="35">
        <f t="shared" si="8"/>
        <v>17.2830384</v>
      </c>
      <c r="W9" s="35">
        <f aca="true" t="shared" si="92" ref="W9:W33">$C9*X$6</f>
        <v>126898.605</v>
      </c>
      <c r="X9" s="35">
        <f t="shared" si="9"/>
        <v>32974.313578</v>
      </c>
      <c r="Y9" s="5">
        <f t="shared" si="10"/>
        <v>159872.91857799998</v>
      </c>
      <c r="Z9" s="35">
        <f t="shared" si="11"/>
        <v>1839.266994</v>
      </c>
      <c r="AB9" s="35">
        <f aca="true" t="shared" si="93" ref="AB9:AB33">$C9*AC$6</f>
        <v>7786.467</v>
      </c>
      <c r="AC9" s="35">
        <f t="shared" si="12"/>
        <v>2023.2957212</v>
      </c>
      <c r="AD9" s="35">
        <f t="shared" si="13"/>
        <v>9809.762721199999</v>
      </c>
      <c r="AE9" s="35">
        <f t="shared" si="14"/>
        <v>112.85696759999999</v>
      </c>
      <c r="AG9" s="35">
        <f aca="true" t="shared" si="94" ref="AG9:AG33">$C9*AH$6</f>
        <v>56315.871</v>
      </c>
      <c r="AH9" s="35">
        <f t="shared" si="15"/>
        <v>14633.5508556</v>
      </c>
      <c r="AI9" s="5">
        <f t="shared" si="16"/>
        <v>70949.4218556</v>
      </c>
      <c r="AJ9" s="35">
        <f t="shared" si="17"/>
        <v>816.2416188000001</v>
      </c>
      <c r="AL9" s="35">
        <f aca="true" t="shared" si="95" ref="AL9:AL33">$C9*AM$6</f>
        <v>44543.664000000004</v>
      </c>
      <c r="AM9" s="35">
        <f t="shared" si="18"/>
        <v>11574.5696704</v>
      </c>
      <c r="AN9" s="5">
        <f t="shared" si="19"/>
        <v>56118.233670400004</v>
      </c>
      <c r="AO9" s="35">
        <f t="shared" si="20"/>
        <v>645.6153792</v>
      </c>
      <c r="AQ9" s="35">
        <f aca="true" t="shared" si="96" ref="AQ9:AQ33">$C9*AR$6</f>
        <v>11882.555999999999</v>
      </c>
      <c r="AR9" s="35">
        <f t="shared" si="21"/>
        <v>3087.6551216</v>
      </c>
      <c r="AS9" s="5">
        <f t="shared" si="22"/>
        <v>14970.211121599998</v>
      </c>
      <c r="AT9" s="35">
        <f t="shared" si="23"/>
        <v>172.2256368</v>
      </c>
      <c r="AV9" s="35">
        <f aca="true" t="shared" si="97" ref="AV9:AV33">$C9*AW$6</f>
        <v>134357.86800000002</v>
      </c>
      <c r="AW9" s="35">
        <f t="shared" si="24"/>
        <v>34912.5860848</v>
      </c>
      <c r="AX9" s="5">
        <f t="shared" si="25"/>
        <v>169270.45408480003</v>
      </c>
      <c r="AY9" s="35">
        <f t="shared" si="26"/>
        <v>1947.3814704000001</v>
      </c>
      <c r="AZ9" s="5"/>
      <c r="BA9" s="35">
        <f aca="true" t="shared" si="98" ref="BA9:BA33">$C9*BB$6</f>
        <v>2362.347</v>
      </c>
      <c r="BB9" s="35">
        <f t="shared" si="27"/>
        <v>613.8504892</v>
      </c>
      <c r="BC9" s="5">
        <f t="shared" si="28"/>
        <v>2976.1974892000003</v>
      </c>
      <c r="BD9" s="35">
        <f t="shared" si="29"/>
        <v>34.2398316</v>
      </c>
      <c r="BE9" s="5"/>
      <c r="BF9" s="35">
        <f aca="true" t="shared" si="99" ref="BF9:BF33">$C9*BG$6</f>
        <v>504.531</v>
      </c>
      <c r="BG9" s="35">
        <f t="shared" si="30"/>
        <v>131.1012316</v>
      </c>
      <c r="BH9" s="5">
        <f t="shared" si="31"/>
        <v>635.6322316000001</v>
      </c>
      <c r="BI9" s="35">
        <f t="shared" si="32"/>
        <v>7.3126668</v>
      </c>
      <c r="BJ9" s="5"/>
      <c r="BK9" s="35">
        <f aca="true" t="shared" si="100" ref="BK9:BK33">$C9*BL$6</f>
        <v>482538.06</v>
      </c>
      <c r="BL9" s="35">
        <f t="shared" si="33"/>
        <v>125386.416216</v>
      </c>
      <c r="BM9" s="5">
        <f t="shared" si="34"/>
        <v>607924.476216</v>
      </c>
      <c r="BN9" s="35">
        <f t="shared" si="35"/>
        <v>6993.901368</v>
      </c>
      <c r="BO9" s="5"/>
      <c r="BP9" s="35">
        <f aca="true" t="shared" si="101" ref="BP9:BP33">$C9*BQ$6</f>
        <v>930.555</v>
      </c>
      <c r="BQ9" s="35">
        <f t="shared" si="36"/>
        <v>241.802598</v>
      </c>
      <c r="BR9" s="5">
        <f t="shared" si="37"/>
        <v>1172.357598</v>
      </c>
      <c r="BS9" s="35">
        <f t="shared" si="38"/>
        <v>13.487454</v>
      </c>
      <c r="BT9" s="5"/>
      <c r="BU9" s="35">
        <f aca="true" t="shared" si="102" ref="BU9:BU33">$C9*BV$6</f>
        <v>552.843</v>
      </c>
      <c r="BV9" s="35">
        <f t="shared" si="39"/>
        <v>143.6549948</v>
      </c>
      <c r="BW9" s="5">
        <f t="shared" si="40"/>
        <v>696.4979948</v>
      </c>
      <c r="BX9" s="35">
        <f t="shared" si="41"/>
        <v>8.0129004</v>
      </c>
      <c r="BY9" s="5"/>
      <c r="BZ9" s="35">
        <f aca="true" t="shared" si="103" ref="BZ9:BZ33">$C9*CA$6</f>
        <v>34494.768000000004</v>
      </c>
      <c r="CA9" s="35">
        <f t="shared" si="42"/>
        <v>8963.386924800001</v>
      </c>
      <c r="CB9" s="5">
        <f t="shared" si="43"/>
        <v>43458.15492480001</v>
      </c>
      <c r="CC9" s="35">
        <f t="shared" si="44"/>
        <v>499.9667904</v>
      </c>
      <c r="CD9" s="5"/>
      <c r="CE9" s="35">
        <f aca="true" t="shared" si="104" ref="CE9:CE33">$C9*CF$6</f>
        <v>3643.713</v>
      </c>
      <c r="CF9" s="35">
        <f t="shared" si="45"/>
        <v>946.8105268</v>
      </c>
      <c r="CG9" s="5">
        <f t="shared" si="46"/>
        <v>4590.523526800001</v>
      </c>
      <c r="CH9" s="35">
        <f t="shared" si="47"/>
        <v>52.8119364</v>
      </c>
      <c r="CI9" s="5"/>
      <c r="CJ9" s="35">
        <f>$C9*CK$6</f>
        <v>9953.919</v>
      </c>
      <c r="CK9" s="35">
        <f t="shared" si="48"/>
        <v>2586.5031884</v>
      </c>
      <c r="CL9" s="5">
        <f t="shared" si="49"/>
        <v>12540.4221884</v>
      </c>
      <c r="CM9" s="35">
        <f t="shared" si="50"/>
        <v>144.2719932</v>
      </c>
      <c r="CN9" s="5"/>
      <c r="CO9" s="35">
        <f aca="true" t="shared" si="105" ref="CO9:CO33">$C9*CP$6</f>
        <v>97365.69900000001</v>
      </c>
      <c r="CP9" s="35">
        <f t="shared" si="51"/>
        <v>25300.2551964</v>
      </c>
      <c r="CQ9" s="35">
        <f t="shared" si="52"/>
        <v>122665.95419640001</v>
      </c>
      <c r="CR9" s="35">
        <f t="shared" si="53"/>
        <v>1411.2173772</v>
      </c>
      <c r="CS9" s="5"/>
      <c r="CT9" s="35">
        <f aca="true" t="shared" si="106" ref="CT9:CT33">$C9*CU$6</f>
        <v>13446.108</v>
      </c>
      <c r="CU9" s="35">
        <f t="shared" si="54"/>
        <v>3493.9405487999998</v>
      </c>
      <c r="CV9" s="35">
        <f t="shared" si="55"/>
        <v>16940.0485488</v>
      </c>
      <c r="CW9" s="35">
        <f t="shared" si="56"/>
        <v>194.88774239999998</v>
      </c>
      <c r="CX9" s="5"/>
      <c r="CY9" s="35">
        <f aca="true" t="shared" si="107" ref="CY9:CY33">$C9*CZ$6</f>
        <v>53714.159999999996</v>
      </c>
      <c r="CZ9" s="35">
        <f t="shared" si="57"/>
        <v>13957.502175999998</v>
      </c>
      <c r="DA9" s="5">
        <f t="shared" si="58"/>
        <v>67671.662176</v>
      </c>
      <c r="DB9" s="35">
        <f t="shared" si="59"/>
        <v>778.5324479999999</v>
      </c>
      <c r="DC9" s="5"/>
      <c r="DD9" s="35">
        <f aca="true" t="shared" si="108" ref="DD9:DD33">$C9*DE$6</f>
        <v>431925.75</v>
      </c>
      <c r="DE9" s="35">
        <f t="shared" si="60"/>
        <v>112234.9227</v>
      </c>
      <c r="DF9" s="35">
        <f t="shared" si="61"/>
        <v>544160.6727</v>
      </c>
      <c r="DG9" s="35">
        <f t="shared" si="62"/>
        <v>6260.3270999999995</v>
      </c>
      <c r="DH9" s="5"/>
      <c r="DI9" s="35">
        <f aca="true" t="shared" si="109" ref="DI9:DI33">$C9*DJ$6</f>
        <v>645258.915</v>
      </c>
      <c r="DJ9" s="35">
        <f t="shared" si="63"/>
        <v>167669.059894</v>
      </c>
      <c r="DK9" s="5">
        <f t="shared" si="64"/>
        <v>812927.974894</v>
      </c>
      <c r="DL9" s="35">
        <f t="shared" si="65"/>
        <v>9352.375662</v>
      </c>
      <c r="DM9" s="5"/>
      <c r="DN9" s="35">
        <f aca="true" t="shared" si="110" ref="DN9:DN33">$C9*DO$6</f>
        <v>5378.004</v>
      </c>
      <c r="DO9" s="35">
        <f t="shared" si="66"/>
        <v>1397.4620943999998</v>
      </c>
      <c r="DP9" s="5">
        <f t="shared" si="67"/>
        <v>6775.4660944</v>
      </c>
      <c r="DQ9" s="35">
        <f t="shared" si="68"/>
        <v>77.9487312</v>
      </c>
      <c r="DR9" s="5"/>
      <c r="DS9" s="35">
        <f aca="true" t="shared" si="111" ref="DS9:DS33">$C9*DT$6</f>
        <v>206217.027</v>
      </c>
      <c r="DT9" s="35">
        <f t="shared" si="69"/>
        <v>53585.024937199996</v>
      </c>
      <c r="DU9" s="5">
        <f t="shared" si="70"/>
        <v>259802.0519372</v>
      </c>
      <c r="DV9" s="35">
        <f t="shared" si="71"/>
        <v>2988.9073356</v>
      </c>
      <c r="DW9" s="5"/>
      <c r="DX9" s="35">
        <f aca="true" t="shared" si="112" ref="DX9:DX33">$C9*DY$6</f>
        <v>344069.82899999997</v>
      </c>
      <c r="DY9" s="35">
        <f t="shared" si="72"/>
        <v>89405.7616644</v>
      </c>
      <c r="DZ9" s="5">
        <f t="shared" si="73"/>
        <v>433475.59066439996</v>
      </c>
      <c r="EA9" s="35">
        <f t="shared" si="74"/>
        <v>4986.944341199999</v>
      </c>
      <c r="EB9" s="5"/>
      <c r="EC9" s="35">
        <f aca="true" t="shared" si="113" ref="EC9:EC33">$C9*ED$6</f>
        <v>294571.989</v>
      </c>
      <c r="ED9" s="35">
        <f t="shared" si="75"/>
        <v>76543.8606404</v>
      </c>
      <c r="EE9" s="5">
        <f t="shared" si="76"/>
        <v>371115.84964040003</v>
      </c>
      <c r="EF9" s="35">
        <f t="shared" si="77"/>
        <v>4269.5231892</v>
      </c>
      <c r="EG9" s="5"/>
      <c r="EH9" s="35">
        <f aca="true" t="shared" si="114" ref="EH9:EH33">$C9*EI$6</f>
        <v>292094.901</v>
      </c>
      <c r="EI9" s="35">
        <f t="shared" si="78"/>
        <v>75900.1949636</v>
      </c>
      <c r="EJ9" s="5">
        <f t="shared" si="79"/>
        <v>367995.09596360003</v>
      </c>
      <c r="EK9" s="35">
        <f t="shared" si="80"/>
        <v>4233.6203028</v>
      </c>
      <c r="EL9" s="5"/>
      <c r="EM9" s="35">
        <f aca="true" t="shared" si="115" ref="EM9:EM33">$C9*EN$6</f>
        <v>423523.854</v>
      </c>
      <c r="EN9" s="35">
        <f t="shared" si="81"/>
        <v>110051.70915439998</v>
      </c>
      <c r="EO9" s="35">
        <f t="shared" si="82"/>
        <v>533575.5631544</v>
      </c>
      <c r="EP9" s="35">
        <f t="shared" si="83"/>
        <v>6138.550111199999</v>
      </c>
      <c r="EQ9" s="5"/>
      <c r="ER9" s="35">
        <f aca="true" t="shared" si="116" ref="ER9:ER33">$C9*ES$6</f>
        <v>536461.938</v>
      </c>
      <c r="ES9" s="35">
        <f t="shared" si="84"/>
        <v>139398.4131368</v>
      </c>
      <c r="ET9" s="35">
        <f t="shared" si="85"/>
        <v>675860.3511367999</v>
      </c>
      <c r="EU9" s="35">
        <f t="shared" si="86"/>
        <v>7775.473466400001</v>
      </c>
      <c r="EV9" s="5"/>
      <c r="EW9" s="35">
        <f aca="true" t="shared" si="117" ref="EW9:EW33">$C9*EX$6</f>
        <v>2475.4410000000003</v>
      </c>
      <c r="EX9" s="35">
        <f t="shared" si="87"/>
        <v>643.2377076</v>
      </c>
      <c r="EY9" s="5">
        <f t="shared" si="88"/>
        <v>3118.6787076</v>
      </c>
      <c r="EZ9" s="35">
        <f t="shared" si="89"/>
        <v>35.8790148</v>
      </c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</row>
    <row r="10" spans="1:199" ht="12.75">
      <c r="A10" s="36">
        <v>43374</v>
      </c>
      <c r="C10" s="78"/>
      <c r="D10" s="78">
        <v>1316764</v>
      </c>
      <c r="E10" s="34">
        <f t="shared" si="0"/>
        <v>1316764</v>
      </c>
      <c r="F10" s="34">
        <v>79572</v>
      </c>
      <c r="H10" s="35"/>
      <c r="I10" s="35">
        <f t="shared" si="1"/>
        <v>293942.544484</v>
      </c>
      <c r="J10" s="35">
        <f t="shared" si="2"/>
        <v>293942.544484</v>
      </c>
      <c r="K10" s="35">
        <f>'Academic Project '!K10</f>
        <v>17762.937132</v>
      </c>
      <c r="M10" s="35"/>
      <c r="N10" s="34">
        <f t="shared" si="3"/>
        <v>1022821.4555159999</v>
      </c>
      <c r="O10" s="5">
        <f t="shared" si="4"/>
        <v>1022821.4555159999</v>
      </c>
      <c r="P10" s="34">
        <f t="shared" si="5"/>
        <v>61809.062867999986</v>
      </c>
      <c r="R10" s="35"/>
      <c r="S10" s="35">
        <f t="shared" si="6"/>
        <v>286.0011408</v>
      </c>
      <c r="T10" s="5">
        <f t="shared" si="7"/>
        <v>286.0011408</v>
      </c>
      <c r="U10" s="35">
        <f t="shared" si="8"/>
        <v>17.2830384</v>
      </c>
      <c r="W10" s="35"/>
      <c r="X10" s="35">
        <f t="shared" si="9"/>
        <v>30436.341478</v>
      </c>
      <c r="Y10" s="5">
        <f t="shared" si="10"/>
        <v>30436.341478</v>
      </c>
      <c r="Z10" s="35">
        <f t="shared" si="11"/>
        <v>1839.266994</v>
      </c>
      <c r="AB10" s="35"/>
      <c r="AC10" s="35">
        <f t="shared" si="12"/>
        <v>1867.5663812</v>
      </c>
      <c r="AD10" s="35">
        <f t="shared" si="13"/>
        <v>1867.5663812</v>
      </c>
      <c r="AE10" s="35">
        <f t="shared" si="14"/>
        <v>112.85696759999999</v>
      </c>
      <c r="AG10" s="35"/>
      <c r="AH10" s="35">
        <f t="shared" si="15"/>
        <v>13507.233435600001</v>
      </c>
      <c r="AI10" s="5">
        <f t="shared" si="16"/>
        <v>13507.233435600001</v>
      </c>
      <c r="AJ10" s="35">
        <f t="shared" si="17"/>
        <v>816.2416188000001</v>
      </c>
      <c r="AL10" s="35"/>
      <c r="AM10" s="35">
        <f t="shared" si="18"/>
        <v>10683.6963904</v>
      </c>
      <c r="AN10" s="5">
        <f t="shared" si="19"/>
        <v>10683.6963904</v>
      </c>
      <c r="AO10" s="35">
        <f t="shared" si="20"/>
        <v>645.6153792</v>
      </c>
      <c r="AQ10" s="35"/>
      <c r="AR10" s="35">
        <f t="shared" si="21"/>
        <v>2850.0040016</v>
      </c>
      <c r="AS10" s="5">
        <f t="shared" si="22"/>
        <v>2850.0040016</v>
      </c>
      <c r="AT10" s="35">
        <f t="shared" si="23"/>
        <v>172.2256368</v>
      </c>
      <c r="AV10" s="35"/>
      <c r="AW10" s="35">
        <f t="shared" si="24"/>
        <v>32225.4287248</v>
      </c>
      <c r="AX10" s="5">
        <f t="shared" si="25"/>
        <v>32225.4287248</v>
      </c>
      <c r="AY10" s="35">
        <f t="shared" si="26"/>
        <v>1947.3814704000001</v>
      </c>
      <c r="AZ10" s="5"/>
      <c r="BA10" s="35"/>
      <c r="BB10" s="35">
        <f t="shared" si="27"/>
        <v>566.6035492</v>
      </c>
      <c r="BC10" s="5">
        <f t="shared" si="28"/>
        <v>566.6035492</v>
      </c>
      <c r="BD10" s="35">
        <f t="shared" si="29"/>
        <v>34.2398316</v>
      </c>
      <c r="BE10" s="5"/>
      <c r="BF10" s="35"/>
      <c r="BG10" s="35">
        <f t="shared" si="30"/>
        <v>121.01061159999999</v>
      </c>
      <c r="BH10" s="5">
        <f t="shared" si="31"/>
        <v>121.01061159999999</v>
      </c>
      <c r="BI10" s="35">
        <f t="shared" si="32"/>
        <v>7.3126668</v>
      </c>
      <c r="BJ10" s="5"/>
      <c r="BK10" s="35"/>
      <c r="BL10" s="35">
        <f t="shared" si="33"/>
        <v>115735.655016</v>
      </c>
      <c r="BM10" s="5">
        <f t="shared" si="34"/>
        <v>115735.655016</v>
      </c>
      <c r="BN10" s="35">
        <f t="shared" si="35"/>
        <v>6993.901368</v>
      </c>
      <c r="BO10" s="5"/>
      <c r="BP10" s="35"/>
      <c r="BQ10" s="35">
        <f t="shared" si="36"/>
        <v>223.191498</v>
      </c>
      <c r="BR10" s="5">
        <f t="shared" si="37"/>
        <v>223.191498</v>
      </c>
      <c r="BS10" s="35">
        <f t="shared" si="38"/>
        <v>13.487454</v>
      </c>
      <c r="BT10" s="5"/>
      <c r="BU10" s="35"/>
      <c r="BV10" s="35">
        <f t="shared" si="39"/>
        <v>132.5981348</v>
      </c>
      <c r="BW10" s="5">
        <f t="shared" si="40"/>
        <v>132.5981348</v>
      </c>
      <c r="BX10" s="35">
        <f t="shared" si="41"/>
        <v>8.0129004</v>
      </c>
      <c r="BY10" s="5"/>
      <c r="BZ10" s="35"/>
      <c r="CA10" s="35">
        <f t="shared" si="42"/>
        <v>8273.4915648</v>
      </c>
      <c r="CB10" s="5">
        <f t="shared" si="43"/>
        <v>8273.4915648</v>
      </c>
      <c r="CC10" s="35">
        <f t="shared" si="44"/>
        <v>499.9667904</v>
      </c>
      <c r="CD10" s="5"/>
      <c r="CE10" s="35"/>
      <c r="CF10" s="35">
        <f t="shared" si="45"/>
        <v>873.9362668</v>
      </c>
      <c r="CG10" s="5">
        <f t="shared" si="46"/>
        <v>873.9362668</v>
      </c>
      <c r="CH10" s="35">
        <f t="shared" si="47"/>
        <v>52.8119364</v>
      </c>
      <c r="CI10" s="5"/>
      <c r="CJ10" s="35"/>
      <c r="CK10" s="35">
        <f t="shared" si="48"/>
        <v>2387.4248084</v>
      </c>
      <c r="CL10" s="5">
        <f t="shared" si="49"/>
        <v>2387.4248084</v>
      </c>
      <c r="CM10" s="35">
        <f t="shared" si="50"/>
        <v>144.2719932</v>
      </c>
      <c r="CN10" s="5"/>
      <c r="CO10" s="35"/>
      <c r="CP10" s="35">
        <f t="shared" si="51"/>
        <v>23352.9412164</v>
      </c>
      <c r="CQ10" s="35">
        <f t="shared" si="52"/>
        <v>23352.9412164</v>
      </c>
      <c r="CR10" s="35">
        <f t="shared" si="53"/>
        <v>1411.2173772</v>
      </c>
      <c r="CS10" s="5"/>
      <c r="CT10" s="35"/>
      <c r="CU10" s="35">
        <f t="shared" si="54"/>
        <v>3225.0183887999997</v>
      </c>
      <c r="CV10" s="35">
        <f t="shared" si="55"/>
        <v>3225.0183887999997</v>
      </c>
      <c r="CW10" s="35">
        <f t="shared" si="56"/>
        <v>194.88774239999998</v>
      </c>
      <c r="CX10" s="5"/>
      <c r="CY10" s="35"/>
      <c r="CZ10" s="35">
        <f t="shared" si="57"/>
        <v>12883.218975999998</v>
      </c>
      <c r="DA10" s="5">
        <f t="shared" si="58"/>
        <v>12883.218975999998</v>
      </c>
      <c r="DB10" s="35">
        <f t="shared" si="59"/>
        <v>778.5324479999999</v>
      </c>
      <c r="DC10" s="5"/>
      <c r="DD10" s="35"/>
      <c r="DE10" s="35">
        <f t="shared" si="60"/>
        <v>103596.4077</v>
      </c>
      <c r="DF10" s="35">
        <f t="shared" si="61"/>
        <v>103596.4077</v>
      </c>
      <c r="DG10" s="35">
        <f t="shared" si="62"/>
        <v>6260.3270999999995</v>
      </c>
      <c r="DH10" s="5"/>
      <c r="DI10" s="35"/>
      <c r="DJ10" s="35">
        <f t="shared" si="63"/>
        <v>154763.881594</v>
      </c>
      <c r="DK10" s="5">
        <f t="shared" si="64"/>
        <v>154763.881594</v>
      </c>
      <c r="DL10" s="35">
        <f t="shared" si="65"/>
        <v>9352.375662</v>
      </c>
      <c r="DM10" s="5"/>
      <c r="DN10" s="35"/>
      <c r="DO10" s="35">
        <f t="shared" si="66"/>
        <v>1289.9020143999999</v>
      </c>
      <c r="DP10" s="5">
        <f t="shared" si="67"/>
        <v>1289.9020143999999</v>
      </c>
      <c r="DQ10" s="35">
        <f t="shared" si="68"/>
        <v>77.9487312</v>
      </c>
      <c r="DR10" s="5"/>
      <c r="DS10" s="35"/>
      <c r="DT10" s="35">
        <f t="shared" si="69"/>
        <v>49460.6843972</v>
      </c>
      <c r="DU10" s="5">
        <f t="shared" si="70"/>
        <v>49460.6843972</v>
      </c>
      <c r="DV10" s="35">
        <f t="shared" si="71"/>
        <v>2988.9073356</v>
      </c>
      <c r="DW10" s="5"/>
      <c r="DX10" s="35"/>
      <c r="DY10" s="35">
        <f t="shared" si="72"/>
        <v>82524.3650844</v>
      </c>
      <c r="DZ10" s="5">
        <f t="shared" si="73"/>
        <v>82524.3650844</v>
      </c>
      <c r="EA10" s="35">
        <f t="shared" si="74"/>
        <v>4986.944341199999</v>
      </c>
      <c r="EB10" s="5"/>
      <c r="EC10" s="35"/>
      <c r="ED10" s="35">
        <f t="shared" si="75"/>
        <v>70652.4208604</v>
      </c>
      <c r="EE10" s="5">
        <f t="shared" si="76"/>
        <v>70652.4208604</v>
      </c>
      <c r="EF10" s="35">
        <f t="shared" si="77"/>
        <v>4269.5231892</v>
      </c>
      <c r="EG10" s="5"/>
      <c r="EH10" s="35"/>
      <c r="EI10" s="35">
        <f t="shared" si="78"/>
        <v>70058.2969436</v>
      </c>
      <c r="EJ10" s="5">
        <f t="shared" si="79"/>
        <v>70058.2969436</v>
      </c>
      <c r="EK10" s="35">
        <f t="shared" si="80"/>
        <v>4233.6203028</v>
      </c>
      <c r="EL10" s="5"/>
      <c r="EM10" s="35"/>
      <c r="EN10" s="35">
        <f t="shared" si="81"/>
        <v>101581.23207439999</v>
      </c>
      <c r="EO10" s="35">
        <f t="shared" si="82"/>
        <v>101581.23207439999</v>
      </c>
      <c r="EP10" s="35">
        <f t="shared" si="83"/>
        <v>6138.550111199999</v>
      </c>
      <c r="EQ10" s="5"/>
      <c r="ER10" s="35"/>
      <c r="ES10" s="35">
        <f t="shared" si="84"/>
        <v>128669.1743768</v>
      </c>
      <c r="ET10" s="35">
        <f t="shared" si="85"/>
        <v>128669.1743768</v>
      </c>
      <c r="EU10" s="35">
        <f t="shared" si="86"/>
        <v>7775.473466400001</v>
      </c>
      <c r="EV10" s="5"/>
      <c r="EW10" s="35"/>
      <c r="EX10" s="35">
        <f t="shared" si="87"/>
        <v>593.7288876</v>
      </c>
      <c r="EY10" s="5">
        <f t="shared" si="88"/>
        <v>593.7288876</v>
      </c>
      <c r="EZ10" s="35">
        <f t="shared" si="89"/>
        <v>35.8790148</v>
      </c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</row>
    <row r="11" spans="1:199" ht="12.75">
      <c r="A11" s="36">
        <v>43556</v>
      </c>
      <c r="C11" s="78">
        <v>5710000</v>
      </c>
      <c r="D11" s="78">
        <v>1316764</v>
      </c>
      <c r="E11" s="34">
        <f t="shared" si="0"/>
        <v>7026764</v>
      </c>
      <c r="F11" s="34">
        <v>79572</v>
      </c>
      <c r="H11" s="35">
        <f t="shared" si="90"/>
        <v>1274649.01</v>
      </c>
      <c r="I11" s="35">
        <f t="shared" si="1"/>
        <v>293942.544484</v>
      </c>
      <c r="J11" s="35">
        <f t="shared" si="2"/>
        <v>1568591.554484</v>
      </c>
      <c r="K11" s="35">
        <f>'Academic Project '!K11</f>
        <v>17762.937132</v>
      </c>
      <c r="M11" s="35">
        <f>R11+W11+AB11+AG11+AL11+AQ11+AV11+BA11+BF11+BK11+BP11+BU11+BZ11+CE11+CO11+CT11+CY11+DD11+DI11+DN11+DS11+DX11+EC11+EH11+CJ11+EM11+ER11+EW11+FB11</f>
        <v>4435350.99</v>
      </c>
      <c r="N11" s="34">
        <f t="shared" si="3"/>
        <v>1022821.4555159999</v>
      </c>
      <c r="O11" s="5">
        <f t="shared" si="4"/>
        <v>5458172.4455160005</v>
      </c>
      <c r="P11" s="34">
        <f t="shared" si="5"/>
        <v>61809.062867999986</v>
      </c>
      <c r="R11" s="35">
        <f t="shared" si="91"/>
        <v>1240.212</v>
      </c>
      <c r="S11" s="35">
        <f t="shared" si="6"/>
        <v>286.0011408</v>
      </c>
      <c r="T11" s="5">
        <f t="shared" si="7"/>
        <v>1526.2131408</v>
      </c>
      <c r="U11" s="35">
        <f t="shared" si="8"/>
        <v>17.2830384</v>
      </c>
      <c r="W11" s="35">
        <f t="shared" si="92"/>
        <v>131983.79499999998</v>
      </c>
      <c r="X11" s="35">
        <f t="shared" si="9"/>
        <v>30436.341478</v>
      </c>
      <c r="Y11" s="5">
        <f t="shared" si="10"/>
        <v>162420.13647799997</v>
      </c>
      <c r="Z11" s="35">
        <f t="shared" si="11"/>
        <v>1839.266994</v>
      </c>
      <c r="AB11" s="35">
        <f t="shared" si="93"/>
        <v>8098.4929999999995</v>
      </c>
      <c r="AC11" s="35">
        <f t="shared" si="12"/>
        <v>1867.5663812</v>
      </c>
      <c r="AD11" s="35">
        <f t="shared" si="13"/>
        <v>9966.059381199999</v>
      </c>
      <c r="AE11" s="35">
        <f t="shared" si="14"/>
        <v>112.85696759999999</v>
      </c>
      <c r="AG11" s="35">
        <f t="shared" si="94"/>
        <v>58572.609000000004</v>
      </c>
      <c r="AH11" s="35">
        <f t="shared" si="15"/>
        <v>13507.233435600001</v>
      </c>
      <c r="AI11" s="5">
        <f t="shared" si="16"/>
        <v>72079.8424356</v>
      </c>
      <c r="AJ11" s="35">
        <f t="shared" si="17"/>
        <v>816.2416188000001</v>
      </c>
      <c r="AL11" s="35">
        <f t="shared" si="95"/>
        <v>46328.656</v>
      </c>
      <c r="AM11" s="35">
        <f t="shared" si="18"/>
        <v>10683.6963904</v>
      </c>
      <c r="AN11" s="5">
        <f t="shared" si="19"/>
        <v>57012.3523904</v>
      </c>
      <c r="AO11" s="35">
        <f t="shared" si="20"/>
        <v>645.6153792</v>
      </c>
      <c r="AQ11" s="35">
        <f t="shared" si="96"/>
        <v>12358.724</v>
      </c>
      <c r="AR11" s="35">
        <f t="shared" si="21"/>
        <v>2850.0040016</v>
      </c>
      <c r="AS11" s="5">
        <f t="shared" si="22"/>
        <v>15208.7280016</v>
      </c>
      <c r="AT11" s="35">
        <f t="shared" si="23"/>
        <v>172.2256368</v>
      </c>
      <c r="AV11" s="35">
        <f t="shared" si="97"/>
        <v>139741.972</v>
      </c>
      <c r="AW11" s="35">
        <f t="shared" si="24"/>
        <v>32225.4287248</v>
      </c>
      <c r="AX11" s="5">
        <f t="shared" si="25"/>
        <v>171967.4007248</v>
      </c>
      <c r="AY11" s="35">
        <f t="shared" si="26"/>
        <v>1947.3814704000001</v>
      </c>
      <c r="AZ11" s="5"/>
      <c r="BA11" s="35">
        <f t="shared" si="98"/>
        <v>2457.013</v>
      </c>
      <c r="BB11" s="35">
        <f t="shared" si="27"/>
        <v>566.6035492</v>
      </c>
      <c r="BC11" s="5">
        <f t="shared" si="28"/>
        <v>3023.6165492</v>
      </c>
      <c r="BD11" s="35">
        <f t="shared" si="29"/>
        <v>34.2398316</v>
      </c>
      <c r="BE11" s="5"/>
      <c r="BF11" s="35">
        <f t="shared" si="99"/>
        <v>524.749</v>
      </c>
      <c r="BG11" s="35">
        <f t="shared" si="30"/>
        <v>121.01061159999999</v>
      </c>
      <c r="BH11" s="5">
        <f t="shared" si="31"/>
        <v>645.7596116</v>
      </c>
      <c r="BI11" s="35">
        <f t="shared" si="32"/>
        <v>7.3126668</v>
      </c>
      <c r="BJ11" s="5"/>
      <c r="BK11" s="35">
        <f t="shared" si="100"/>
        <v>501874.74</v>
      </c>
      <c r="BL11" s="35">
        <f t="shared" si="33"/>
        <v>115735.655016</v>
      </c>
      <c r="BM11" s="5">
        <f t="shared" si="34"/>
        <v>617610.395016</v>
      </c>
      <c r="BN11" s="35">
        <f t="shared" si="35"/>
        <v>6993.901368</v>
      </c>
      <c r="BO11" s="5"/>
      <c r="BP11" s="35">
        <f t="shared" si="101"/>
        <v>967.845</v>
      </c>
      <c r="BQ11" s="35">
        <f t="shared" si="36"/>
        <v>223.191498</v>
      </c>
      <c r="BR11" s="5">
        <f t="shared" si="37"/>
        <v>1191.036498</v>
      </c>
      <c r="BS11" s="35">
        <f t="shared" si="38"/>
        <v>13.487454</v>
      </c>
      <c r="BT11" s="5"/>
      <c r="BU11" s="35">
        <f t="shared" si="102"/>
        <v>574.997</v>
      </c>
      <c r="BV11" s="35">
        <f t="shared" si="39"/>
        <v>132.5981348</v>
      </c>
      <c r="BW11" s="5">
        <f t="shared" si="40"/>
        <v>707.5951348</v>
      </c>
      <c r="BX11" s="35">
        <f t="shared" si="41"/>
        <v>8.0129004</v>
      </c>
      <c r="BY11" s="5"/>
      <c r="BZ11" s="35">
        <f t="shared" si="103"/>
        <v>35877.072</v>
      </c>
      <c r="CA11" s="35">
        <f t="shared" si="42"/>
        <v>8273.4915648</v>
      </c>
      <c r="CB11" s="5">
        <f t="shared" si="43"/>
        <v>44150.5635648</v>
      </c>
      <c r="CC11" s="35">
        <f t="shared" si="44"/>
        <v>499.9667904</v>
      </c>
      <c r="CD11" s="5"/>
      <c r="CE11" s="35">
        <f t="shared" si="104"/>
        <v>3789.7270000000003</v>
      </c>
      <c r="CF11" s="35">
        <f t="shared" si="45"/>
        <v>873.9362668</v>
      </c>
      <c r="CG11" s="5">
        <f t="shared" si="46"/>
        <v>4663.6632668</v>
      </c>
      <c r="CH11" s="35">
        <f t="shared" si="47"/>
        <v>52.8119364</v>
      </c>
      <c r="CI11" s="5"/>
      <c r="CJ11" s="35">
        <f>$C11*CK$6</f>
        <v>10352.801</v>
      </c>
      <c r="CK11" s="35">
        <f t="shared" si="48"/>
        <v>2387.4248084</v>
      </c>
      <c r="CL11" s="5">
        <f t="shared" si="49"/>
        <v>12740.225808399999</v>
      </c>
      <c r="CM11" s="35">
        <f t="shared" si="50"/>
        <v>144.2719932</v>
      </c>
      <c r="CN11" s="5"/>
      <c r="CO11" s="35">
        <f t="shared" si="105"/>
        <v>101267.421</v>
      </c>
      <c r="CP11" s="35">
        <f t="shared" si="51"/>
        <v>23352.9412164</v>
      </c>
      <c r="CQ11" s="35">
        <f t="shared" si="52"/>
        <v>124620.3622164</v>
      </c>
      <c r="CR11" s="35">
        <f t="shared" si="53"/>
        <v>1411.2173772</v>
      </c>
      <c r="CS11" s="5"/>
      <c r="CT11" s="35">
        <f t="shared" si="106"/>
        <v>13984.931999999999</v>
      </c>
      <c r="CU11" s="35">
        <f t="shared" si="54"/>
        <v>3225.0183887999997</v>
      </c>
      <c r="CV11" s="35">
        <f t="shared" si="55"/>
        <v>17209.9503888</v>
      </c>
      <c r="CW11" s="35">
        <f t="shared" si="56"/>
        <v>194.88774239999998</v>
      </c>
      <c r="CX11" s="5"/>
      <c r="CY11" s="35">
        <f t="shared" si="107"/>
        <v>55866.64</v>
      </c>
      <c r="CZ11" s="35">
        <f t="shared" si="57"/>
        <v>12883.218975999998</v>
      </c>
      <c r="DA11" s="5">
        <f t="shared" si="58"/>
        <v>68749.858976</v>
      </c>
      <c r="DB11" s="35">
        <f t="shared" si="59"/>
        <v>778.5324479999999</v>
      </c>
      <c r="DC11" s="5"/>
      <c r="DD11" s="35">
        <f t="shared" si="108"/>
        <v>449234.25</v>
      </c>
      <c r="DE11" s="35">
        <f t="shared" si="60"/>
        <v>103596.4077</v>
      </c>
      <c r="DF11" s="35">
        <f t="shared" si="61"/>
        <v>552830.6577</v>
      </c>
      <c r="DG11" s="35">
        <f t="shared" si="62"/>
        <v>6260.3270999999995</v>
      </c>
      <c r="DH11" s="5"/>
      <c r="DI11" s="35">
        <f t="shared" si="109"/>
        <v>671116.285</v>
      </c>
      <c r="DJ11" s="35">
        <f t="shared" si="63"/>
        <v>154763.881594</v>
      </c>
      <c r="DK11" s="5">
        <f t="shared" si="64"/>
        <v>825880.1665940001</v>
      </c>
      <c r="DL11" s="35">
        <f t="shared" si="65"/>
        <v>9352.375662</v>
      </c>
      <c r="DM11" s="5"/>
      <c r="DN11" s="35">
        <f t="shared" si="110"/>
        <v>5593.516</v>
      </c>
      <c r="DO11" s="35">
        <f t="shared" si="66"/>
        <v>1289.9020143999999</v>
      </c>
      <c r="DP11" s="5">
        <f t="shared" si="67"/>
        <v>6883.418014399999</v>
      </c>
      <c r="DQ11" s="35">
        <f t="shared" si="68"/>
        <v>77.9487312</v>
      </c>
      <c r="DR11" s="5"/>
      <c r="DS11" s="35">
        <f t="shared" si="111"/>
        <v>214480.733</v>
      </c>
      <c r="DT11" s="35">
        <f t="shared" si="69"/>
        <v>49460.6843972</v>
      </c>
      <c r="DU11" s="5">
        <f t="shared" si="70"/>
        <v>263941.4173972</v>
      </c>
      <c r="DV11" s="35">
        <f t="shared" si="71"/>
        <v>2988.9073356</v>
      </c>
      <c r="DW11" s="5"/>
      <c r="DX11" s="35">
        <f t="shared" si="112"/>
        <v>357857.691</v>
      </c>
      <c r="DY11" s="35">
        <f t="shared" si="72"/>
        <v>82524.3650844</v>
      </c>
      <c r="DZ11" s="5">
        <f t="shared" si="73"/>
        <v>440382.0560844</v>
      </c>
      <c r="EA11" s="35">
        <f t="shared" si="74"/>
        <v>4986.944341199999</v>
      </c>
      <c r="EB11" s="5"/>
      <c r="EC11" s="35">
        <f t="shared" si="113"/>
        <v>306376.331</v>
      </c>
      <c r="ED11" s="35">
        <f t="shared" si="75"/>
        <v>70652.4208604</v>
      </c>
      <c r="EE11" s="5">
        <f t="shared" si="76"/>
        <v>377028.7518604</v>
      </c>
      <c r="EF11" s="35">
        <f t="shared" si="77"/>
        <v>4269.5231892</v>
      </c>
      <c r="EG11" s="5"/>
      <c r="EH11" s="35">
        <f t="shared" si="114"/>
        <v>303799.979</v>
      </c>
      <c r="EI11" s="35">
        <f t="shared" si="78"/>
        <v>70058.2969436</v>
      </c>
      <c r="EJ11" s="5">
        <f t="shared" si="79"/>
        <v>373858.2759436</v>
      </c>
      <c r="EK11" s="35">
        <f t="shared" si="80"/>
        <v>4233.6203028</v>
      </c>
      <c r="EL11" s="5"/>
      <c r="EM11" s="35">
        <f t="shared" si="115"/>
        <v>440495.66599999997</v>
      </c>
      <c r="EN11" s="35">
        <f t="shared" si="81"/>
        <v>101581.23207439999</v>
      </c>
      <c r="EO11" s="35">
        <f t="shared" si="82"/>
        <v>542076.8980743999</v>
      </c>
      <c r="EP11" s="35">
        <f t="shared" si="83"/>
        <v>6138.550111199999</v>
      </c>
      <c r="EQ11" s="5"/>
      <c r="ER11" s="35">
        <f t="shared" si="116"/>
        <v>557959.502</v>
      </c>
      <c r="ES11" s="35">
        <f t="shared" si="84"/>
        <v>128669.1743768</v>
      </c>
      <c r="ET11" s="35">
        <f t="shared" si="85"/>
        <v>686628.6763767999</v>
      </c>
      <c r="EU11" s="35">
        <f t="shared" si="86"/>
        <v>7775.473466400001</v>
      </c>
      <c r="EV11" s="5"/>
      <c r="EW11" s="35">
        <f t="shared" si="117"/>
        <v>2574.639</v>
      </c>
      <c r="EX11" s="35">
        <f t="shared" si="87"/>
        <v>593.7288876</v>
      </c>
      <c r="EY11" s="5">
        <f t="shared" si="88"/>
        <v>3168.3678876000004</v>
      </c>
      <c r="EZ11" s="35">
        <f t="shared" si="89"/>
        <v>35.8790148</v>
      </c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</row>
    <row r="12" spans="1:199" ht="12.75">
      <c r="A12" s="36">
        <v>43739</v>
      </c>
      <c r="C12" s="78"/>
      <c r="D12" s="78">
        <v>1247174</v>
      </c>
      <c r="E12" s="34">
        <f t="shared" si="0"/>
        <v>1247174</v>
      </c>
      <c r="F12" s="34">
        <v>79572</v>
      </c>
      <c r="H12" s="35"/>
      <c r="I12" s="35">
        <f t="shared" si="1"/>
        <v>278407.899194</v>
      </c>
      <c r="J12" s="35">
        <f t="shared" si="2"/>
        <v>278407.899194</v>
      </c>
      <c r="K12" s="35">
        <f>'Academic Project '!K12</f>
        <v>17762.937132</v>
      </c>
      <c r="M12" s="35"/>
      <c r="N12" s="34">
        <f t="shared" si="3"/>
        <v>968766.1008060001</v>
      </c>
      <c r="O12" s="5">
        <f t="shared" si="4"/>
        <v>968766.1008060001</v>
      </c>
      <c r="P12" s="34">
        <f t="shared" si="5"/>
        <v>61809.062867999986</v>
      </c>
      <c r="R12" s="35"/>
      <c r="S12" s="35">
        <f t="shared" si="6"/>
        <v>270.8861928</v>
      </c>
      <c r="T12" s="5">
        <f t="shared" si="7"/>
        <v>270.8861928</v>
      </c>
      <c r="U12" s="35">
        <f t="shared" si="8"/>
        <v>17.2830384</v>
      </c>
      <c r="W12" s="35"/>
      <c r="X12" s="35">
        <f t="shared" si="9"/>
        <v>28827.803423</v>
      </c>
      <c r="Y12" s="5">
        <f t="shared" si="10"/>
        <v>28827.803423</v>
      </c>
      <c r="Z12" s="35">
        <f t="shared" si="11"/>
        <v>1839.266994</v>
      </c>
      <c r="AB12" s="35"/>
      <c r="AC12" s="35">
        <f t="shared" si="12"/>
        <v>1768.8668842</v>
      </c>
      <c r="AD12" s="35">
        <f t="shared" si="13"/>
        <v>1768.8668842</v>
      </c>
      <c r="AE12" s="35">
        <f t="shared" si="14"/>
        <v>112.85696759999999</v>
      </c>
      <c r="AG12" s="35"/>
      <c r="AH12" s="35">
        <f t="shared" si="15"/>
        <v>12793.3861746</v>
      </c>
      <c r="AI12" s="5">
        <f t="shared" si="16"/>
        <v>12793.3861746</v>
      </c>
      <c r="AJ12" s="35">
        <f t="shared" si="17"/>
        <v>816.2416188000001</v>
      </c>
      <c r="AL12" s="35"/>
      <c r="AM12" s="35">
        <f t="shared" si="18"/>
        <v>10119.0709664</v>
      </c>
      <c r="AN12" s="5">
        <f t="shared" si="19"/>
        <v>10119.0709664</v>
      </c>
      <c r="AO12" s="35">
        <f t="shared" si="20"/>
        <v>645.6153792</v>
      </c>
      <c r="AQ12" s="35"/>
      <c r="AR12" s="35">
        <f t="shared" si="21"/>
        <v>2699.3834056</v>
      </c>
      <c r="AS12" s="5">
        <f t="shared" si="22"/>
        <v>2699.3834056</v>
      </c>
      <c r="AT12" s="35">
        <f t="shared" si="23"/>
        <v>172.2256368</v>
      </c>
      <c r="AV12" s="35"/>
      <c r="AW12" s="35">
        <f t="shared" si="24"/>
        <v>30522.3387368</v>
      </c>
      <c r="AX12" s="5">
        <f t="shared" si="25"/>
        <v>30522.3387368</v>
      </c>
      <c r="AY12" s="35">
        <f t="shared" si="26"/>
        <v>1947.3814704000001</v>
      </c>
      <c r="AZ12" s="5"/>
      <c r="BA12" s="35"/>
      <c r="BB12" s="35">
        <f t="shared" si="27"/>
        <v>536.6589722</v>
      </c>
      <c r="BC12" s="5">
        <f t="shared" si="28"/>
        <v>536.6589722</v>
      </c>
      <c r="BD12" s="35">
        <f t="shared" si="29"/>
        <v>34.2398316</v>
      </c>
      <c r="BE12" s="5"/>
      <c r="BF12" s="35"/>
      <c r="BG12" s="35">
        <f t="shared" si="30"/>
        <v>114.6152906</v>
      </c>
      <c r="BH12" s="5">
        <f t="shared" si="31"/>
        <v>114.6152906</v>
      </c>
      <c r="BI12" s="35">
        <f t="shared" si="32"/>
        <v>7.3126668</v>
      </c>
      <c r="BJ12" s="5"/>
      <c r="BK12" s="35"/>
      <c r="BL12" s="35">
        <f t="shared" si="33"/>
        <v>109619.111556</v>
      </c>
      <c r="BM12" s="5">
        <f t="shared" si="34"/>
        <v>109619.111556</v>
      </c>
      <c r="BN12" s="35">
        <f t="shared" si="35"/>
        <v>6993.901368</v>
      </c>
      <c r="BO12" s="5"/>
      <c r="BP12" s="35"/>
      <c r="BQ12" s="35">
        <f t="shared" si="36"/>
        <v>211.395993</v>
      </c>
      <c r="BR12" s="5">
        <f t="shared" si="37"/>
        <v>211.395993</v>
      </c>
      <c r="BS12" s="35">
        <f t="shared" si="38"/>
        <v>13.487454</v>
      </c>
      <c r="BT12" s="5"/>
      <c r="BU12" s="35"/>
      <c r="BV12" s="35">
        <f t="shared" si="39"/>
        <v>125.59042179999999</v>
      </c>
      <c r="BW12" s="5">
        <f t="shared" si="40"/>
        <v>125.59042179999999</v>
      </c>
      <c r="BX12" s="35">
        <f t="shared" si="41"/>
        <v>8.0129004</v>
      </c>
      <c r="BY12" s="5"/>
      <c r="BZ12" s="35"/>
      <c r="CA12" s="35">
        <f t="shared" si="42"/>
        <v>7836.2436768</v>
      </c>
      <c r="CB12" s="5">
        <f t="shared" si="43"/>
        <v>7836.2436768</v>
      </c>
      <c r="CC12" s="35">
        <f t="shared" si="44"/>
        <v>499.9667904</v>
      </c>
      <c r="CD12" s="5"/>
      <c r="CE12" s="35"/>
      <c r="CF12" s="35">
        <f t="shared" si="45"/>
        <v>827.7493838</v>
      </c>
      <c r="CG12" s="5">
        <f t="shared" si="46"/>
        <v>827.7493838</v>
      </c>
      <c r="CH12" s="35">
        <f t="shared" si="47"/>
        <v>52.8119364</v>
      </c>
      <c r="CI12" s="5"/>
      <c r="CJ12" s="35"/>
      <c r="CK12" s="35">
        <f t="shared" si="48"/>
        <v>2261.2511794</v>
      </c>
      <c r="CL12" s="5">
        <f t="shared" si="49"/>
        <v>2261.2511794</v>
      </c>
      <c r="CM12" s="35">
        <f t="shared" si="50"/>
        <v>144.2719932</v>
      </c>
      <c r="CN12" s="5"/>
      <c r="CO12" s="35"/>
      <c r="CP12" s="35">
        <f t="shared" si="51"/>
        <v>22118.7556074</v>
      </c>
      <c r="CQ12" s="35">
        <f t="shared" si="52"/>
        <v>22118.7556074</v>
      </c>
      <c r="CR12" s="35">
        <f t="shared" si="53"/>
        <v>1411.2173772</v>
      </c>
      <c r="CS12" s="5"/>
      <c r="CT12" s="35"/>
      <c r="CU12" s="35">
        <f t="shared" si="54"/>
        <v>3054.5785607999997</v>
      </c>
      <c r="CV12" s="35">
        <f t="shared" si="55"/>
        <v>3054.5785607999997</v>
      </c>
      <c r="CW12" s="35">
        <f t="shared" si="56"/>
        <v>194.88774239999998</v>
      </c>
      <c r="CX12" s="5"/>
      <c r="CY12" s="35"/>
      <c r="CZ12" s="35">
        <f t="shared" si="57"/>
        <v>12202.350416</v>
      </c>
      <c r="DA12" s="5">
        <f t="shared" si="58"/>
        <v>12202.350416</v>
      </c>
      <c r="DB12" s="35">
        <f t="shared" si="59"/>
        <v>778.5324479999999</v>
      </c>
      <c r="DC12" s="5"/>
      <c r="DD12" s="35"/>
      <c r="DE12" s="35">
        <f t="shared" si="60"/>
        <v>98121.41445</v>
      </c>
      <c r="DF12" s="35">
        <f t="shared" si="61"/>
        <v>98121.41445</v>
      </c>
      <c r="DG12" s="35">
        <f t="shared" si="62"/>
        <v>6260.3270999999995</v>
      </c>
      <c r="DH12" s="5"/>
      <c r="DI12" s="35"/>
      <c r="DJ12" s="35">
        <f t="shared" si="63"/>
        <v>146584.725329</v>
      </c>
      <c r="DK12" s="5">
        <f t="shared" si="64"/>
        <v>146584.725329</v>
      </c>
      <c r="DL12" s="35">
        <f t="shared" si="65"/>
        <v>9352.375662</v>
      </c>
      <c r="DM12" s="5"/>
      <c r="DN12" s="35"/>
      <c r="DO12" s="35">
        <f t="shared" si="66"/>
        <v>1221.7316504</v>
      </c>
      <c r="DP12" s="5">
        <f t="shared" si="67"/>
        <v>1221.7316504</v>
      </c>
      <c r="DQ12" s="35">
        <f t="shared" si="68"/>
        <v>77.9487312</v>
      </c>
      <c r="DR12" s="5"/>
      <c r="DS12" s="35"/>
      <c r="DT12" s="35">
        <f t="shared" si="69"/>
        <v>46846.7239402</v>
      </c>
      <c r="DU12" s="5">
        <f t="shared" si="70"/>
        <v>46846.7239402</v>
      </c>
      <c r="DV12" s="35">
        <f t="shared" si="71"/>
        <v>2988.9073356</v>
      </c>
      <c r="DW12" s="5"/>
      <c r="DX12" s="35"/>
      <c r="DY12" s="35">
        <f t="shared" si="72"/>
        <v>78163.01364539999</v>
      </c>
      <c r="DZ12" s="5">
        <f t="shared" si="73"/>
        <v>78163.01364539999</v>
      </c>
      <c r="EA12" s="35">
        <f t="shared" si="74"/>
        <v>4986.944341199999</v>
      </c>
      <c r="EB12" s="5"/>
      <c r="EC12" s="35"/>
      <c r="ED12" s="35">
        <f t="shared" si="75"/>
        <v>66918.4928614</v>
      </c>
      <c r="EE12" s="5">
        <f t="shared" si="76"/>
        <v>66918.4928614</v>
      </c>
      <c r="EF12" s="35">
        <f t="shared" si="77"/>
        <v>4269.5231892</v>
      </c>
      <c r="EG12" s="5"/>
      <c r="EH12" s="35"/>
      <c r="EI12" s="35">
        <f t="shared" si="78"/>
        <v>66355.7679526</v>
      </c>
      <c r="EJ12" s="5">
        <f t="shared" si="79"/>
        <v>66355.7679526</v>
      </c>
      <c r="EK12" s="35">
        <f t="shared" si="80"/>
        <v>4233.6203028</v>
      </c>
      <c r="EL12" s="5"/>
      <c r="EM12" s="35"/>
      <c r="EN12" s="35">
        <f t="shared" si="81"/>
        <v>96212.7393604</v>
      </c>
      <c r="EO12" s="35">
        <f t="shared" si="82"/>
        <v>96212.7393604</v>
      </c>
      <c r="EP12" s="35">
        <f t="shared" si="83"/>
        <v>6138.550111199999</v>
      </c>
      <c r="EQ12" s="5"/>
      <c r="ER12" s="35"/>
      <c r="ES12" s="35">
        <f t="shared" si="84"/>
        <v>121869.1040188</v>
      </c>
      <c r="ET12" s="35">
        <f t="shared" si="85"/>
        <v>121869.1040188</v>
      </c>
      <c r="EU12" s="35">
        <f t="shared" si="86"/>
        <v>7775.473466400001</v>
      </c>
      <c r="EV12" s="5"/>
      <c r="EW12" s="35"/>
      <c r="EX12" s="35">
        <f t="shared" si="87"/>
        <v>562.3507566000001</v>
      </c>
      <c r="EY12" s="5">
        <f t="shared" si="88"/>
        <v>562.3507566000001</v>
      </c>
      <c r="EZ12" s="35">
        <f t="shared" si="89"/>
        <v>35.8790148</v>
      </c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</row>
    <row r="13" spans="1:199" ht="12.75">
      <c r="A13" s="36">
        <v>43922</v>
      </c>
      <c r="C13" s="78">
        <v>5850000</v>
      </c>
      <c r="D13" s="78">
        <v>1247174</v>
      </c>
      <c r="E13" s="34">
        <f t="shared" si="0"/>
        <v>7097174</v>
      </c>
      <c r="F13" s="34">
        <v>79572</v>
      </c>
      <c r="H13" s="35">
        <f t="shared" si="90"/>
        <v>1305901.35</v>
      </c>
      <c r="I13" s="35">
        <f t="shared" si="1"/>
        <v>278407.899194</v>
      </c>
      <c r="J13" s="35">
        <f t="shared" si="2"/>
        <v>1584309.2491940001</v>
      </c>
      <c r="K13" s="35">
        <f>'Academic Project '!K13</f>
        <v>17762.937132</v>
      </c>
      <c r="M13" s="35">
        <f>R13+W13+AB13+AG13+AL13+AQ13+AV13+BA13+BF13+BK13+BP13+BU13+BZ13+CE13+CO13+CT13+CY13+DD13+DI13+DN13+DS13+DX13+EC13+EH13+CJ13+EM13+ER13+EW13+FB13</f>
        <v>4544098.649999999</v>
      </c>
      <c r="N13" s="34">
        <f t="shared" si="3"/>
        <v>968766.1008060001</v>
      </c>
      <c r="O13" s="5">
        <f t="shared" si="4"/>
        <v>5512864.750805999</v>
      </c>
      <c r="P13" s="34">
        <f t="shared" si="5"/>
        <v>61809.062867999986</v>
      </c>
      <c r="R13" s="35">
        <f t="shared" si="91"/>
        <v>1270.62</v>
      </c>
      <c r="S13" s="35">
        <f t="shared" si="6"/>
        <v>270.8861928</v>
      </c>
      <c r="T13" s="5">
        <f t="shared" si="7"/>
        <v>1541.5061928</v>
      </c>
      <c r="U13" s="35">
        <f t="shared" si="8"/>
        <v>17.2830384</v>
      </c>
      <c r="W13" s="35">
        <f t="shared" si="92"/>
        <v>135219.825</v>
      </c>
      <c r="X13" s="35">
        <f t="shared" si="9"/>
        <v>28827.803423</v>
      </c>
      <c r="Y13" s="5">
        <f t="shared" si="10"/>
        <v>164047.62842300002</v>
      </c>
      <c r="Z13" s="35">
        <f t="shared" si="11"/>
        <v>1839.266994</v>
      </c>
      <c r="AB13" s="35">
        <f t="shared" si="93"/>
        <v>8297.055</v>
      </c>
      <c r="AC13" s="35">
        <f t="shared" si="12"/>
        <v>1768.8668842</v>
      </c>
      <c r="AD13" s="35">
        <f t="shared" si="13"/>
        <v>10065.921884200001</v>
      </c>
      <c r="AE13" s="35">
        <f t="shared" si="14"/>
        <v>112.85696759999999</v>
      </c>
      <c r="AG13" s="35">
        <f t="shared" si="94"/>
        <v>60008.715000000004</v>
      </c>
      <c r="AH13" s="35">
        <f t="shared" si="15"/>
        <v>12793.3861746</v>
      </c>
      <c r="AI13" s="5">
        <f t="shared" si="16"/>
        <v>72802.1011746</v>
      </c>
      <c r="AJ13" s="35">
        <f t="shared" si="17"/>
        <v>816.2416188000001</v>
      </c>
      <c r="AL13" s="35">
        <f t="shared" si="95"/>
        <v>47464.560000000005</v>
      </c>
      <c r="AM13" s="35">
        <f t="shared" si="18"/>
        <v>10119.0709664</v>
      </c>
      <c r="AN13" s="5">
        <f t="shared" si="19"/>
        <v>57583.63096640001</v>
      </c>
      <c r="AO13" s="35">
        <f t="shared" si="20"/>
        <v>645.6153792</v>
      </c>
      <c r="AQ13" s="35">
        <f t="shared" si="96"/>
        <v>12661.74</v>
      </c>
      <c r="AR13" s="35">
        <f t="shared" si="21"/>
        <v>2699.3834056</v>
      </c>
      <c r="AS13" s="5">
        <f t="shared" si="22"/>
        <v>15361.1234056</v>
      </c>
      <c r="AT13" s="35">
        <f t="shared" si="23"/>
        <v>172.2256368</v>
      </c>
      <c r="AV13" s="35">
        <f t="shared" si="97"/>
        <v>143168.22</v>
      </c>
      <c r="AW13" s="35">
        <f t="shared" si="24"/>
        <v>30522.3387368</v>
      </c>
      <c r="AX13" s="5">
        <f t="shared" si="25"/>
        <v>173690.5587368</v>
      </c>
      <c r="AY13" s="35">
        <f t="shared" si="26"/>
        <v>1947.3814704000001</v>
      </c>
      <c r="AZ13" s="5"/>
      <c r="BA13" s="35">
        <f t="shared" si="98"/>
        <v>2517.255</v>
      </c>
      <c r="BB13" s="35">
        <f t="shared" si="27"/>
        <v>536.6589722</v>
      </c>
      <c r="BC13" s="5">
        <f t="shared" si="28"/>
        <v>3053.9139722</v>
      </c>
      <c r="BD13" s="35">
        <f t="shared" si="29"/>
        <v>34.2398316</v>
      </c>
      <c r="BE13" s="5"/>
      <c r="BF13" s="35">
        <f t="shared" si="99"/>
        <v>537.615</v>
      </c>
      <c r="BG13" s="35">
        <f t="shared" si="30"/>
        <v>114.6152906</v>
      </c>
      <c r="BH13" s="5">
        <f t="shared" si="31"/>
        <v>652.2302906</v>
      </c>
      <c r="BI13" s="35">
        <f t="shared" si="32"/>
        <v>7.3126668</v>
      </c>
      <c r="BJ13" s="5"/>
      <c r="BK13" s="35">
        <f t="shared" si="100"/>
        <v>514179.9</v>
      </c>
      <c r="BL13" s="35">
        <f t="shared" si="33"/>
        <v>109619.111556</v>
      </c>
      <c r="BM13" s="5">
        <f t="shared" si="34"/>
        <v>623799.011556</v>
      </c>
      <c r="BN13" s="35">
        <f t="shared" si="35"/>
        <v>6993.901368</v>
      </c>
      <c r="BO13" s="5"/>
      <c r="BP13" s="35">
        <f t="shared" si="101"/>
        <v>991.575</v>
      </c>
      <c r="BQ13" s="35">
        <f t="shared" si="36"/>
        <v>211.395993</v>
      </c>
      <c r="BR13" s="5">
        <f t="shared" si="37"/>
        <v>1202.9709930000001</v>
      </c>
      <c r="BS13" s="35">
        <f t="shared" si="38"/>
        <v>13.487454</v>
      </c>
      <c r="BT13" s="5"/>
      <c r="BU13" s="35">
        <f t="shared" si="102"/>
        <v>589.0949999999999</v>
      </c>
      <c r="BV13" s="35">
        <f t="shared" si="39"/>
        <v>125.59042179999999</v>
      </c>
      <c r="BW13" s="5">
        <f t="shared" si="40"/>
        <v>714.6854217999999</v>
      </c>
      <c r="BX13" s="35">
        <f t="shared" si="41"/>
        <v>8.0129004</v>
      </c>
      <c r="BY13" s="5"/>
      <c r="BZ13" s="35">
        <f t="shared" si="103"/>
        <v>36756.72</v>
      </c>
      <c r="CA13" s="35">
        <f t="shared" si="42"/>
        <v>7836.2436768</v>
      </c>
      <c r="CB13" s="5">
        <f t="shared" si="43"/>
        <v>44592.9636768</v>
      </c>
      <c r="CC13" s="35">
        <f t="shared" si="44"/>
        <v>499.9667904</v>
      </c>
      <c r="CD13" s="5"/>
      <c r="CE13" s="35">
        <f t="shared" si="104"/>
        <v>3882.645</v>
      </c>
      <c r="CF13" s="35">
        <f t="shared" si="45"/>
        <v>827.7493838</v>
      </c>
      <c r="CG13" s="5">
        <f t="shared" si="46"/>
        <v>4710.3943838</v>
      </c>
      <c r="CH13" s="35">
        <f t="shared" si="47"/>
        <v>52.8119364</v>
      </c>
      <c r="CI13" s="5"/>
      <c r="CJ13" s="35">
        <f>$C13*CK$6</f>
        <v>10606.635</v>
      </c>
      <c r="CK13" s="35">
        <f t="shared" si="48"/>
        <v>2261.2511794</v>
      </c>
      <c r="CL13" s="5">
        <f t="shared" si="49"/>
        <v>12867.8861794</v>
      </c>
      <c r="CM13" s="35">
        <f t="shared" si="50"/>
        <v>144.2719932</v>
      </c>
      <c r="CN13" s="5"/>
      <c r="CO13" s="35">
        <f t="shared" si="105"/>
        <v>103750.335</v>
      </c>
      <c r="CP13" s="35">
        <f t="shared" si="51"/>
        <v>22118.7556074</v>
      </c>
      <c r="CQ13" s="35">
        <f t="shared" si="52"/>
        <v>125869.09060740001</v>
      </c>
      <c r="CR13" s="35">
        <f t="shared" si="53"/>
        <v>1411.2173772</v>
      </c>
      <c r="CS13" s="5"/>
      <c r="CT13" s="35">
        <f t="shared" si="106"/>
        <v>14327.82</v>
      </c>
      <c r="CU13" s="35">
        <f t="shared" si="54"/>
        <v>3054.5785607999997</v>
      </c>
      <c r="CV13" s="35">
        <f t="shared" si="55"/>
        <v>17382.3985608</v>
      </c>
      <c r="CW13" s="35">
        <f t="shared" si="56"/>
        <v>194.88774239999998</v>
      </c>
      <c r="CX13" s="5"/>
      <c r="CY13" s="35">
        <f t="shared" si="107"/>
        <v>57236.399999999994</v>
      </c>
      <c r="CZ13" s="35">
        <f t="shared" si="57"/>
        <v>12202.350416</v>
      </c>
      <c r="DA13" s="5">
        <f t="shared" si="58"/>
        <v>69438.750416</v>
      </c>
      <c r="DB13" s="35">
        <f t="shared" si="59"/>
        <v>778.5324479999999</v>
      </c>
      <c r="DC13" s="5"/>
      <c r="DD13" s="35">
        <f t="shared" si="108"/>
        <v>460248.74999999994</v>
      </c>
      <c r="DE13" s="35">
        <f t="shared" si="60"/>
        <v>98121.41445</v>
      </c>
      <c r="DF13" s="35">
        <f t="shared" si="61"/>
        <v>558370.1644499999</v>
      </c>
      <c r="DG13" s="35">
        <f t="shared" si="62"/>
        <v>6260.3270999999995</v>
      </c>
      <c r="DH13" s="5"/>
      <c r="DI13" s="35">
        <f t="shared" si="109"/>
        <v>687570.975</v>
      </c>
      <c r="DJ13" s="35">
        <f t="shared" si="63"/>
        <v>146584.725329</v>
      </c>
      <c r="DK13" s="5">
        <f t="shared" si="64"/>
        <v>834155.700329</v>
      </c>
      <c r="DL13" s="35">
        <f t="shared" si="65"/>
        <v>9352.375662</v>
      </c>
      <c r="DM13" s="5"/>
      <c r="DN13" s="35">
        <f t="shared" si="110"/>
        <v>5730.66</v>
      </c>
      <c r="DO13" s="35">
        <f t="shared" si="66"/>
        <v>1221.7316504</v>
      </c>
      <c r="DP13" s="5">
        <f t="shared" si="67"/>
        <v>6952.3916504</v>
      </c>
      <c r="DQ13" s="35">
        <f t="shared" si="68"/>
        <v>77.9487312</v>
      </c>
      <c r="DR13" s="5"/>
      <c r="DS13" s="35">
        <f t="shared" si="111"/>
        <v>219739.455</v>
      </c>
      <c r="DT13" s="35">
        <f t="shared" si="69"/>
        <v>46846.7239402</v>
      </c>
      <c r="DU13" s="5">
        <f t="shared" si="70"/>
        <v>266586.1789402</v>
      </c>
      <c r="DV13" s="35">
        <f t="shared" si="71"/>
        <v>2988.9073356</v>
      </c>
      <c r="DW13" s="5"/>
      <c r="DX13" s="35">
        <f t="shared" si="112"/>
        <v>366631.785</v>
      </c>
      <c r="DY13" s="35">
        <f t="shared" si="72"/>
        <v>78163.01364539999</v>
      </c>
      <c r="DZ13" s="5">
        <f t="shared" si="73"/>
        <v>444794.7986454</v>
      </c>
      <c r="EA13" s="35">
        <f t="shared" si="74"/>
        <v>4986.944341199999</v>
      </c>
      <c r="EB13" s="5"/>
      <c r="EC13" s="35">
        <f t="shared" si="113"/>
        <v>313888.185</v>
      </c>
      <c r="ED13" s="35">
        <f t="shared" si="75"/>
        <v>66918.4928614</v>
      </c>
      <c r="EE13" s="5">
        <f t="shared" si="76"/>
        <v>380806.6778614</v>
      </c>
      <c r="EF13" s="35">
        <f t="shared" si="77"/>
        <v>4269.5231892</v>
      </c>
      <c r="EG13" s="5"/>
      <c r="EH13" s="35">
        <f t="shared" si="114"/>
        <v>311248.665</v>
      </c>
      <c r="EI13" s="35">
        <f t="shared" si="78"/>
        <v>66355.7679526</v>
      </c>
      <c r="EJ13" s="5">
        <f t="shared" si="79"/>
        <v>377604.43295259995</v>
      </c>
      <c r="EK13" s="35">
        <f t="shared" si="80"/>
        <v>4233.6203028</v>
      </c>
      <c r="EL13" s="5"/>
      <c r="EM13" s="35">
        <f t="shared" si="115"/>
        <v>451295.91</v>
      </c>
      <c r="EN13" s="35">
        <f t="shared" si="81"/>
        <v>96212.7393604</v>
      </c>
      <c r="EO13" s="35">
        <f t="shared" si="82"/>
        <v>547508.6493603999</v>
      </c>
      <c r="EP13" s="35">
        <f t="shared" si="83"/>
        <v>6138.550111199999</v>
      </c>
      <c r="EQ13" s="5"/>
      <c r="ER13" s="35">
        <f t="shared" si="116"/>
        <v>571639.77</v>
      </c>
      <c r="ES13" s="35">
        <f t="shared" si="84"/>
        <v>121869.1040188</v>
      </c>
      <c r="ET13" s="35">
        <f t="shared" si="85"/>
        <v>693508.8740188</v>
      </c>
      <c r="EU13" s="35">
        <f t="shared" si="86"/>
        <v>7775.473466400001</v>
      </c>
      <c r="EV13" s="5"/>
      <c r="EW13" s="35">
        <f t="shared" si="117"/>
        <v>2637.765</v>
      </c>
      <c r="EX13" s="35">
        <f t="shared" si="87"/>
        <v>562.3507566000001</v>
      </c>
      <c r="EY13" s="5">
        <f t="shared" si="88"/>
        <v>3200.1157566</v>
      </c>
      <c r="EZ13" s="35">
        <f t="shared" si="89"/>
        <v>35.8790148</v>
      </c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</row>
    <row r="14" spans="1:199" ht="12.75">
      <c r="A14" s="36">
        <v>44105</v>
      </c>
      <c r="C14" s="78"/>
      <c r="D14" s="78">
        <v>1171124</v>
      </c>
      <c r="E14" s="34">
        <f t="shared" si="0"/>
        <v>1171124</v>
      </c>
      <c r="F14" s="34">
        <v>79572</v>
      </c>
      <c r="H14" s="35"/>
      <c r="I14" s="35">
        <f t="shared" si="1"/>
        <v>261431.18164400003</v>
      </c>
      <c r="J14" s="35">
        <f t="shared" si="2"/>
        <v>261431.18164400003</v>
      </c>
      <c r="K14" s="35">
        <f>'Academic Project '!K14</f>
        <v>17762.937132</v>
      </c>
      <c r="M14" s="35"/>
      <c r="N14" s="34">
        <f t="shared" si="3"/>
        <v>909692.818356</v>
      </c>
      <c r="O14" s="5">
        <f t="shared" si="4"/>
        <v>909692.818356</v>
      </c>
      <c r="P14" s="34">
        <f t="shared" si="5"/>
        <v>61809.062867999986</v>
      </c>
      <c r="R14" s="35"/>
      <c r="S14" s="35">
        <f t="shared" si="6"/>
        <v>254.36813279999998</v>
      </c>
      <c r="T14" s="5">
        <f t="shared" si="7"/>
        <v>254.36813279999998</v>
      </c>
      <c r="U14" s="35">
        <f t="shared" si="8"/>
        <v>17.2830384</v>
      </c>
      <c r="W14" s="35"/>
      <c r="X14" s="35">
        <f t="shared" si="9"/>
        <v>27069.945698</v>
      </c>
      <c r="Y14" s="5">
        <f t="shared" si="10"/>
        <v>27069.945698</v>
      </c>
      <c r="Z14" s="35">
        <f t="shared" si="11"/>
        <v>1839.266994</v>
      </c>
      <c r="AB14" s="35"/>
      <c r="AC14" s="35">
        <f t="shared" si="12"/>
        <v>1661.0051692</v>
      </c>
      <c r="AD14" s="35">
        <f t="shared" si="13"/>
        <v>1661.0051692</v>
      </c>
      <c r="AE14" s="35">
        <f t="shared" si="14"/>
        <v>112.85696759999999</v>
      </c>
      <c r="AG14" s="35"/>
      <c r="AH14" s="35">
        <f t="shared" si="15"/>
        <v>12013.272879600001</v>
      </c>
      <c r="AI14" s="5">
        <f t="shared" si="16"/>
        <v>12013.272879600001</v>
      </c>
      <c r="AJ14" s="35">
        <f t="shared" si="17"/>
        <v>816.2416188000001</v>
      </c>
      <c r="AL14" s="35"/>
      <c r="AM14" s="35">
        <f t="shared" si="18"/>
        <v>9502.0316864</v>
      </c>
      <c r="AN14" s="5">
        <f t="shared" si="19"/>
        <v>9502.0316864</v>
      </c>
      <c r="AO14" s="35">
        <f t="shared" si="20"/>
        <v>645.6153792</v>
      </c>
      <c r="AQ14" s="35"/>
      <c r="AR14" s="35">
        <f t="shared" si="21"/>
        <v>2534.7807856</v>
      </c>
      <c r="AS14" s="5">
        <f t="shared" si="22"/>
        <v>2534.7807856</v>
      </c>
      <c r="AT14" s="35">
        <f t="shared" si="23"/>
        <v>172.2256368</v>
      </c>
      <c r="AV14" s="35"/>
      <c r="AW14" s="35">
        <f t="shared" si="24"/>
        <v>28661.151876800002</v>
      </c>
      <c r="AX14" s="5">
        <f t="shared" si="25"/>
        <v>28661.151876800002</v>
      </c>
      <c r="AY14" s="35">
        <f t="shared" si="26"/>
        <v>1947.3814704000001</v>
      </c>
      <c r="AZ14" s="5"/>
      <c r="BA14" s="35"/>
      <c r="BB14" s="35">
        <f t="shared" si="27"/>
        <v>503.9346572</v>
      </c>
      <c r="BC14" s="5">
        <f t="shared" si="28"/>
        <v>503.9346572</v>
      </c>
      <c r="BD14" s="35">
        <f t="shared" si="29"/>
        <v>34.2398316</v>
      </c>
      <c r="BE14" s="5"/>
      <c r="BF14" s="35"/>
      <c r="BG14" s="35">
        <f t="shared" si="30"/>
        <v>107.62629559999999</v>
      </c>
      <c r="BH14" s="5">
        <f t="shared" si="31"/>
        <v>107.62629559999999</v>
      </c>
      <c r="BI14" s="35">
        <f t="shared" si="32"/>
        <v>7.3126668</v>
      </c>
      <c r="BJ14" s="5"/>
      <c r="BK14" s="35"/>
      <c r="BL14" s="35">
        <f t="shared" si="33"/>
        <v>102934.772856</v>
      </c>
      <c r="BM14" s="5">
        <f t="shared" si="34"/>
        <v>102934.772856</v>
      </c>
      <c r="BN14" s="35">
        <f t="shared" si="35"/>
        <v>6993.901368</v>
      </c>
      <c r="BO14" s="5"/>
      <c r="BP14" s="35"/>
      <c r="BQ14" s="35">
        <f t="shared" si="36"/>
        <v>198.505518</v>
      </c>
      <c r="BR14" s="5">
        <f t="shared" si="37"/>
        <v>198.505518</v>
      </c>
      <c r="BS14" s="35">
        <f t="shared" si="38"/>
        <v>13.487454</v>
      </c>
      <c r="BT14" s="5"/>
      <c r="BU14" s="35"/>
      <c r="BV14" s="35">
        <f t="shared" si="39"/>
        <v>117.9321868</v>
      </c>
      <c r="BW14" s="5">
        <f t="shared" si="40"/>
        <v>117.9321868</v>
      </c>
      <c r="BX14" s="35">
        <f t="shared" si="41"/>
        <v>8.0129004</v>
      </c>
      <c r="BY14" s="5"/>
      <c r="BZ14" s="35"/>
      <c r="CA14" s="35">
        <f t="shared" si="42"/>
        <v>7358.4063168</v>
      </c>
      <c r="CB14" s="5">
        <f t="shared" si="43"/>
        <v>7358.4063168</v>
      </c>
      <c r="CC14" s="35">
        <f t="shared" si="44"/>
        <v>499.9667904</v>
      </c>
      <c r="CD14" s="5"/>
      <c r="CE14" s="35"/>
      <c r="CF14" s="35">
        <f t="shared" si="45"/>
        <v>777.2749988</v>
      </c>
      <c r="CG14" s="5">
        <f t="shared" si="46"/>
        <v>777.2749988</v>
      </c>
      <c r="CH14" s="35">
        <f t="shared" si="47"/>
        <v>52.8119364</v>
      </c>
      <c r="CI14" s="5"/>
      <c r="CJ14" s="35"/>
      <c r="CK14" s="35">
        <f t="shared" si="48"/>
        <v>2123.3649244</v>
      </c>
      <c r="CL14" s="5">
        <f t="shared" si="49"/>
        <v>2123.3649244</v>
      </c>
      <c r="CM14" s="35">
        <f t="shared" si="50"/>
        <v>144.2719932</v>
      </c>
      <c r="CN14" s="5"/>
      <c r="CO14" s="35"/>
      <c r="CP14" s="35">
        <f t="shared" si="51"/>
        <v>20770.0012524</v>
      </c>
      <c r="CQ14" s="35">
        <f t="shared" si="52"/>
        <v>20770.0012524</v>
      </c>
      <c r="CR14" s="35">
        <f t="shared" si="53"/>
        <v>1411.2173772</v>
      </c>
      <c r="CS14" s="5"/>
      <c r="CT14" s="35"/>
      <c r="CU14" s="35">
        <f t="shared" si="54"/>
        <v>2868.3169008</v>
      </c>
      <c r="CV14" s="35">
        <f t="shared" si="55"/>
        <v>2868.3169008</v>
      </c>
      <c r="CW14" s="35">
        <f t="shared" si="56"/>
        <v>194.88774239999998</v>
      </c>
      <c r="CX14" s="5"/>
      <c r="CY14" s="35"/>
      <c r="CZ14" s="35">
        <f t="shared" si="57"/>
        <v>11458.277215999999</v>
      </c>
      <c r="DA14" s="5">
        <f t="shared" si="58"/>
        <v>11458.277215999999</v>
      </c>
      <c r="DB14" s="35">
        <f t="shared" si="59"/>
        <v>778.5324479999999</v>
      </c>
      <c r="DC14" s="5"/>
      <c r="DD14" s="35"/>
      <c r="DE14" s="35">
        <f t="shared" si="60"/>
        <v>92138.1807</v>
      </c>
      <c r="DF14" s="35">
        <f t="shared" si="61"/>
        <v>92138.1807</v>
      </c>
      <c r="DG14" s="35">
        <f t="shared" si="62"/>
        <v>6260.3270999999995</v>
      </c>
      <c r="DH14" s="5"/>
      <c r="DI14" s="35"/>
      <c r="DJ14" s="35">
        <f t="shared" si="63"/>
        <v>137646.302654</v>
      </c>
      <c r="DK14" s="5">
        <f t="shared" si="64"/>
        <v>137646.302654</v>
      </c>
      <c r="DL14" s="35">
        <f t="shared" si="65"/>
        <v>9352.375662</v>
      </c>
      <c r="DM14" s="5"/>
      <c r="DN14" s="35"/>
      <c r="DO14" s="35">
        <f t="shared" si="66"/>
        <v>1147.2330703999999</v>
      </c>
      <c r="DP14" s="5">
        <f t="shared" si="67"/>
        <v>1147.2330703999999</v>
      </c>
      <c r="DQ14" s="35">
        <f t="shared" si="68"/>
        <v>77.9487312</v>
      </c>
      <c r="DR14" s="5"/>
      <c r="DS14" s="35"/>
      <c r="DT14" s="35">
        <f t="shared" si="69"/>
        <v>43990.1110252</v>
      </c>
      <c r="DU14" s="5">
        <f t="shared" si="70"/>
        <v>43990.1110252</v>
      </c>
      <c r="DV14" s="35">
        <f t="shared" si="71"/>
        <v>2988.9073356</v>
      </c>
      <c r="DW14" s="5"/>
      <c r="DX14" s="35"/>
      <c r="DY14" s="35">
        <f t="shared" si="72"/>
        <v>73396.8004404</v>
      </c>
      <c r="DZ14" s="5">
        <f t="shared" si="73"/>
        <v>73396.8004404</v>
      </c>
      <c r="EA14" s="35">
        <f t="shared" si="74"/>
        <v>4986.944341199999</v>
      </c>
      <c r="EB14" s="5"/>
      <c r="EC14" s="35"/>
      <c r="ED14" s="35">
        <f t="shared" si="75"/>
        <v>62837.9464564</v>
      </c>
      <c r="EE14" s="5">
        <f t="shared" si="76"/>
        <v>62837.9464564</v>
      </c>
      <c r="EF14" s="35">
        <f t="shared" si="77"/>
        <v>4269.5231892</v>
      </c>
      <c r="EG14" s="5"/>
      <c r="EH14" s="35"/>
      <c r="EI14" s="35">
        <f t="shared" si="78"/>
        <v>62309.5353076</v>
      </c>
      <c r="EJ14" s="5">
        <f t="shared" si="79"/>
        <v>62309.5353076</v>
      </c>
      <c r="EK14" s="35">
        <f t="shared" si="80"/>
        <v>4233.6203028</v>
      </c>
      <c r="EL14" s="5"/>
      <c r="EM14" s="35"/>
      <c r="EN14" s="35">
        <f t="shared" si="81"/>
        <v>90345.89253039999</v>
      </c>
      <c r="EO14" s="35">
        <f t="shared" si="82"/>
        <v>90345.89253039999</v>
      </c>
      <c r="EP14" s="35">
        <f t="shared" si="83"/>
        <v>6138.550111199999</v>
      </c>
      <c r="EQ14" s="5"/>
      <c r="ER14" s="35"/>
      <c r="ES14" s="35">
        <f t="shared" si="84"/>
        <v>114437.7870088</v>
      </c>
      <c r="ET14" s="35">
        <f t="shared" si="85"/>
        <v>114437.7870088</v>
      </c>
      <c r="EU14" s="35">
        <f t="shared" si="86"/>
        <v>7775.473466400001</v>
      </c>
      <c r="EV14" s="5"/>
      <c r="EW14" s="35"/>
      <c r="EX14" s="35">
        <f t="shared" si="87"/>
        <v>528.0598116</v>
      </c>
      <c r="EY14" s="5">
        <f t="shared" si="88"/>
        <v>528.0598116</v>
      </c>
      <c r="EZ14" s="35">
        <f t="shared" si="89"/>
        <v>35.8790148</v>
      </c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</row>
    <row r="15" spans="1:199" ht="12.75">
      <c r="A15" s="36">
        <v>44287</v>
      </c>
      <c r="C15" s="78">
        <v>6000000</v>
      </c>
      <c r="D15" s="78">
        <v>1171124</v>
      </c>
      <c r="E15" s="34">
        <f t="shared" si="0"/>
        <v>7171124</v>
      </c>
      <c r="F15" s="34">
        <v>79572</v>
      </c>
      <c r="H15" s="35">
        <f t="shared" si="90"/>
        <v>1339386</v>
      </c>
      <c r="I15" s="35">
        <f t="shared" si="1"/>
        <v>261431.18164400003</v>
      </c>
      <c r="J15" s="35">
        <f t="shared" si="2"/>
        <v>1600817.181644</v>
      </c>
      <c r="K15" s="35">
        <f>'Academic Project '!K15</f>
        <v>17762.937132</v>
      </c>
      <c r="M15" s="35">
        <f>R15+W15+AB15+AG15+AL15+AQ15+AV15+BA15+BF15+BK15+BP15+BU15+BZ15+CE15+CO15+CT15+CY15+DD15+DI15+DN15+DS15+DX15+EC15+EH15+CJ15+EM15+ER15+EW15+FB15</f>
        <v>4660614.000000001</v>
      </c>
      <c r="N15" s="34">
        <f t="shared" si="3"/>
        <v>909692.818356</v>
      </c>
      <c r="O15" s="5">
        <f t="shared" si="4"/>
        <v>5570306.818356001</v>
      </c>
      <c r="P15" s="34">
        <f t="shared" si="5"/>
        <v>61809.062867999986</v>
      </c>
      <c r="R15" s="35">
        <f t="shared" si="91"/>
        <v>1303.2</v>
      </c>
      <c r="S15" s="35">
        <f t="shared" si="6"/>
        <v>254.36813279999998</v>
      </c>
      <c r="T15" s="5">
        <f t="shared" si="7"/>
        <v>1557.5681328</v>
      </c>
      <c r="U15" s="35">
        <f t="shared" si="8"/>
        <v>17.2830384</v>
      </c>
      <c r="W15" s="35">
        <f t="shared" si="92"/>
        <v>138687</v>
      </c>
      <c r="X15" s="35">
        <f t="shared" si="9"/>
        <v>27069.945698</v>
      </c>
      <c r="Y15" s="5">
        <f t="shared" si="10"/>
        <v>165756.945698</v>
      </c>
      <c r="Z15" s="35">
        <f t="shared" si="11"/>
        <v>1839.266994</v>
      </c>
      <c r="AB15" s="35">
        <f t="shared" si="93"/>
        <v>8509.8</v>
      </c>
      <c r="AC15" s="35">
        <f t="shared" si="12"/>
        <v>1661.0051692</v>
      </c>
      <c r="AD15" s="35">
        <f t="shared" si="13"/>
        <v>10170.805169199999</v>
      </c>
      <c r="AE15" s="35">
        <f t="shared" si="14"/>
        <v>112.85696759999999</v>
      </c>
      <c r="AG15" s="35">
        <f t="shared" si="94"/>
        <v>61547.4</v>
      </c>
      <c r="AH15" s="35">
        <f t="shared" si="15"/>
        <v>12013.272879600001</v>
      </c>
      <c r="AI15" s="5">
        <f t="shared" si="16"/>
        <v>73560.6728796</v>
      </c>
      <c r="AJ15" s="35">
        <f t="shared" si="17"/>
        <v>816.2416188000001</v>
      </c>
      <c r="AL15" s="35">
        <f t="shared" si="95"/>
        <v>48681.6</v>
      </c>
      <c r="AM15" s="35">
        <f t="shared" si="18"/>
        <v>9502.0316864</v>
      </c>
      <c r="AN15" s="5">
        <f t="shared" si="19"/>
        <v>58183.6316864</v>
      </c>
      <c r="AO15" s="35">
        <f t="shared" si="20"/>
        <v>645.6153792</v>
      </c>
      <c r="AQ15" s="35">
        <f t="shared" si="96"/>
        <v>12986.4</v>
      </c>
      <c r="AR15" s="35">
        <f t="shared" si="21"/>
        <v>2534.7807856</v>
      </c>
      <c r="AS15" s="5">
        <f t="shared" si="22"/>
        <v>15521.1807856</v>
      </c>
      <c r="AT15" s="35">
        <f t="shared" si="23"/>
        <v>172.2256368</v>
      </c>
      <c r="AV15" s="35">
        <f t="shared" si="97"/>
        <v>146839.2</v>
      </c>
      <c r="AW15" s="35">
        <f t="shared" si="24"/>
        <v>28661.151876800002</v>
      </c>
      <c r="AX15" s="5">
        <f t="shared" si="25"/>
        <v>175500.3518768</v>
      </c>
      <c r="AY15" s="35">
        <f t="shared" si="26"/>
        <v>1947.3814704000001</v>
      </c>
      <c r="AZ15" s="5"/>
      <c r="BA15" s="35">
        <f t="shared" si="98"/>
        <v>2581.8</v>
      </c>
      <c r="BB15" s="35">
        <f t="shared" si="27"/>
        <v>503.9346572</v>
      </c>
      <c r="BC15" s="5">
        <f t="shared" si="28"/>
        <v>3085.7346572</v>
      </c>
      <c r="BD15" s="35">
        <f t="shared" si="29"/>
        <v>34.2398316</v>
      </c>
      <c r="BE15" s="5"/>
      <c r="BF15" s="35">
        <f t="shared" si="99"/>
        <v>551.4</v>
      </c>
      <c r="BG15" s="35">
        <f t="shared" si="30"/>
        <v>107.62629559999999</v>
      </c>
      <c r="BH15" s="5">
        <f t="shared" si="31"/>
        <v>659.0262955999999</v>
      </c>
      <c r="BI15" s="35">
        <f t="shared" si="32"/>
        <v>7.3126668</v>
      </c>
      <c r="BJ15" s="5"/>
      <c r="BK15" s="35">
        <f t="shared" si="100"/>
        <v>527364</v>
      </c>
      <c r="BL15" s="35">
        <f t="shared" si="33"/>
        <v>102934.772856</v>
      </c>
      <c r="BM15" s="5">
        <f t="shared" si="34"/>
        <v>630298.772856</v>
      </c>
      <c r="BN15" s="35">
        <f t="shared" si="35"/>
        <v>6993.901368</v>
      </c>
      <c r="BO15" s="5"/>
      <c r="BP15" s="35">
        <f t="shared" si="101"/>
        <v>1017</v>
      </c>
      <c r="BQ15" s="35">
        <f t="shared" si="36"/>
        <v>198.505518</v>
      </c>
      <c r="BR15" s="5">
        <f t="shared" si="37"/>
        <v>1215.505518</v>
      </c>
      <c r="BS15" s="35">
        <f t="shared" si="38"/>
        <v>13.487454</v>
      </c>
      <c r="BT15" s="5"/>
      <c r="BU15" s="35">
        <f t="shared" si="102"/>
        <v>604.1999999999999</v>
      </c>
      <c r="BV15" s="35">
        <f t="shared" si="39"/>
        <v>117.9321868</v>
      </c>
      <c r="BW15" s="5">
        <f t="shared" si="40"/>
        <v>722.1321867999999</v>
      </c>
      <c r="BX15" s="35">
        <f t="shared" si="41"/>
        <v>8.0129004</v>
      </c>
      <c r="BY15" s="5"/>
      <c r="BZ15" s="35">
        <f t="shared" si="103"/>
        <v>37699.2</v>
      </c>
      <c r="CA15" s="35">
        <f t="shared" si="42"/>
        <v>7358.4063168</v>
      </c>
      <c r="CB15" s="5">
        <f t="shared" si="43"/>
        <v>45057.6063168</v>
      </c>
      <c r="CC15" s="35">
        <f t="shared" si="44"/>
        <v>499.9667904</v>
      </c>
      <c r="CD15" s="5"/>
      <c r="CE15" s="35">
        <f t="shared" si="104"/>
        <v>3982.2000000000003</v>
      </c>
      <c r="CF15" s="35">
        <f t="shared" si="45"/>
        <v>777.2749988</v>
      </c>
      <c r="CG15" s="5">
        <f t="shared" si="46"/>
        <v>4759.4749988</v>
      </c>
      <c r="CH15" s="35">
        <f t="shared" si="47"/>
        <v>52.8119364</v>
      </c>
      <c r="CI15" s="5"/>
      <c r="CJ15" s="35">
        <f>$C15*CK$6</f>
        <v>10878.6</v>
      </c>
      <c r="CK15" s="35">
        <f t="shared" si="48"/>
        <v>2123.3649244</v>
      </c>
      <c r="CL15" s="5">
        <f t="shared" si="49"/>
        <v>13001.9649244</v>
      </c>
      <c r="CM15" s="35">
        <f t="shared" si="50"/>
        <v>144.2719932</v>
      </c>
      <c r="CN15" s="5"/>
      <c r="CO15" s="35">
        <f t="shared" si="105"/>
        <v>106410.6</v>
      </c>
      <c r="CP15" s="35">
        <f t="shared" si="51"/>
        <v>20770.0012524</v>
      </c>
      <c r="CQ15" s="35">
        <f t="shared" si="52"/>
        <v>127180.60125240001</v>
      </c>
      <c r="CR15" s="35">
        <f t="shared" si="53"/>
        <v>1411.2173772</v>
      </c>
      <c r="CS15" s="5"/>
      <c r="CT15" s="35">
        <f t="shared" si="106"/>
        <v>14695.199999999999</v>
      </c>
      <c r="CU15" s="35">
        <f t="shared" si="54"/>
        <v>2868.3169008</v>
      </c>
      <c r="CV15" s="35">
        <f t="shared" si="55"/>
        <v>17563.516900799998</v>
      </c>
      <c r="CW15" s="35">
        <f t="shared" si="56"/>
        <v>194.88774239999998</v>
      </c>
      <c r="CX15" s="5"/>
      <c r="CY15" s="35">
        <f t="shared" si="107"/>
        <v>58703.99999999999</v>
      </c>
      <c r="CZ15" s="35">
        <f t="shared" si="57"/>
        <v>11458.277215999999</v>
      </c>
      <c r="DA15" s="5">
        <f t="shared" si="58"/>
        <v>70162.27721599999</v>
      </c>
      <c r="DB15" s="35">
        <f t="shared" si="59"/>
        <v>778.5324479999999</v>
      </c>
      <c r="DC15" s="5"/>
      <c r="DD15" s="35">
        <f t="shared" si="108"/>
        <v>472049.99999999994</v>
      </c>
      <c r="DE15" s="35">
        <f t="shared" si="60"/>
        <v>92138.1807</v>
      </c>
      <c r="DF15" s="35">
        <f t="shared" si="61"/>
        <v>564188.1806999999</v>
      </c>
      <c r="DG15" s="35">
        <f t="shared" si="62"/>
        <v>6260.3270999999995</v>
      </c>
      <c r="DH15" s="5"/>
      <c r="DI15" s="35">
        <f t="shared" si="109"/>
        <v>705201</v>
      </c>
      <c r="DJ15" s="35">
        <f t="shared" si="63"/>
        <v>137646.302654</v>
      </c>
      <c r="DK15" s="5">
        <f t="shared" si="64"/>
        <v>842847.302654</v>
      </c>
      <c r="DL15" s="35">
        <f t="shared" si="65"/>
        <v>9352.375662</v>
      </c>
      <c r="DM15" s="5"/>
      <c r="DN15" s="35">
        <f t="shared" si="110"/>
        <v>5877.599999999999</v>
      </c>
      <c r="DO15" s="35">
        <f t="shared" si="66"/>
        <v>1147.2330703999999</v>
      </c>
      <c r="DP15" s="5">
        <f t="shared" si="67"/>
        <v>7024.833070399999</v>
      </c>
      <c r="DQ15" s="35">
        <f t="shared" si="68"/>
        <v>77.9487312</v>
      </c>
      <c r="DR15" s="5"/>
      <c r="DS15" s="35">
        <f t="shared" si="111"/>
        <v>225373.8</v>
      </c>
      <c r="DT15" s="35">
        <f t="shared" si="69"/>
        <v>43990.1110252</v>
      </c>
      <c r="DU15" s="5">
        <f t="shared" si="70"/>
        <v>269363.9110252</v>
      </c>
      <c r="DV15" s="35">
        <f t="shared" si="71"/>
        <v>2988.9073356</v>
      </c>
      <c r="DW15" s="5"/>
      <c r="DX15" s="35">
        <f t="shared" si="112"/>
        <v>376032.6</v>
      </c>
      <c r="DY15" s="35">
        <f t="shared" si="72"/>
        <v>73396.8004404</v>
      </c>
      <c r="DZ15" s="5">
        <f t="shared" si="73"/>
        <v>449429.4004404</v>
      </c>
      <c r="EA15" s="35">
        <f t="shared" si="74"/>
        <v>4986.944341199999</v>
      </c>
      <c r="EB15" s="5"/>
      <c r="EC15" s="35">
        <f t="shared" si="113"/>
        <v>321936.6</v>
      </c>
      <c r="ED15" s="35">
        <f t="shared" si="75"/>
        <v>62837.9464564</v>
      </c>
      <c r="EE15" s="5">
        <f t="shared" si="76"/>
        <v>384774.54645639996</v>
      </c>
      <c r="EF15" s="35">
        <f t="shared" si="77"/>
        <v>4269.5231892</v>
      </c>
      <c r="EG15" s="5"/>
      <c r="EH15" s="35">
        <f t="shared" si="114"/>
        <v>319229.4</v>
      </c>
      <c r="EI15" s="35">
        <f t="shared" si="78"/>
        <v>62309.5353076</v>
      </c>
      <c r="EJ15" s="5">
        <f t="shared" si="79"/>
        <v>381538.9353076</v>
      </c>
      <c r="EK15" s="35">
        <f t="shared" si="80"/>
        <v>4233.6203028</v>
      </c>
      <c r="EL15" s="5"/>
      <c r="EM15" s="35">
        <f t="shared" si="115"/>
        <v>462867.6</v>
      </c>
      <c r="EN15" s="35">
        <f t="shared" si="81"/>
        <v>90345.89253039999</v>
      </c>
      <c r="EO15" s="35">
        <f t="shared" si="82"/>
        <v>553213.4925303999</v>
      </c>
      <c r="EP15" s="35">
        <f t="shared" si="83"/>
        <v>6138.550111199999</v>
      </c>
      <c r="EQ15" s="5"/>
      <c r="ER15" s="35">
        <f t="shared" si="116"/>
        <v>586297.2000000001</v>
      </c>
      <c r="ES15" s="35">
        <f t="shared" si="84"/>
        <v>114437.7870088</v>
      </c>
      <c r="ET15" s="35">
        <f t="shared" si="85"/>
        <v>700734.9870088</v>
      </c>
      <c r="EU15" s="35">
        <f t="shared" si="86"/>
        <v>7775.473466400001</v>
      </c>
      <c r="EV15" s="5"/>
      <c r="EW15" s="35">
        <f t="shared" si="117"/>
        <v>2705.4</v>
      </c>
      <c r="EX15" s="35">
        <f t="shared" si="87"/>
        <v>528.0598116</v>
      </c>
      <c r="EY15" s="5">
        <f t="shared" si="88"/>
        <v>3233.4598116</v>
      </c>
      <c r="EZ15" s="35">
        <f t="shared" si="89"/>
        <v>35.8790148</v>
      </c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</row>
    <row r="16" spans="1:199" ht="12.75">
      <c r="A16" s="36">
        <v>44470</v>
      </c>
      <c r="C16" s="78"/>
      <c r="D16" s="78">
        <v>1089224</v>
      </c>
      <c r="E16" s="34">
        <f t="shared" si="0"/>
        <v>1089224</v>
      </c>
      <c r="F16" s="34">
        <v>79572</v>
      </c>
      <c r="H16" s="35"/>
      <c r="I16" s="35">
        <f t="shared" si="1"/>
        <v>243148.56274400002</v>
      </c>
      <c r="J16" s="35">
        <f t="shared" si="2"/>
        <v>243148.56274400002</v>
      </c>
      <c r="K16" s="35">
        <f>'Academic Project '!K16</f>
        <v>17762.937132</v>
      </c>
      <c r="M16" s="35"/>
      <c r="N16" s="34">
        <f t="shared" si="3"/>
        <v>846075.437256</v>
      </c>
      <c r="O16" s="5">
        <f t="shared" si="4"/>
        <v>846075.437256</v>
      </c>
      <c r="P16" s="34">
        <f t="shared" si="5"/>
        <v>61809.062867999986</v>
      </c>
      <c r="R16" s="35"/>
      <c r="S16" s="35">
        <f t="shared" si="6"/>
        <v>236.57945279999998</v>
      </c>
      <c r="T16" s="5">
        <f t="shared" si="7"/>
        <v>236.57945279999998</v>
      </c>
      <c r="U16" s="35">
        <f t="shared" si="8"/>
        <v>17.2830384</v>
      </c>
      <c r="W16" s="35"/>
      <c r="X16" s="35">
        <f t="shared" si="9"/>
        <v>25176.868148</v>
      </c>
      <c r="Y16" s="5">
        <f t="shared" si="10"/>
        <v>25176.868148</v>
      </c>
      <c r="Z16" s="35">
        <f t="shared" si="11"/>
        <v>1839.266994</v>
      </c>
      <c r="AB16" s="35"/>
      <c r="AC16" s="35">
        <f t="shared" si="12"/>
        <v>1544.8463992</v>
      </c>
      <c r="AD16" s="35">
        <f t="shared" si="13"/>
        <v>1544.8463992</v>
      </c>
      <c r="AE16" s="35">
        <f t="shared" si="14"/>
        <v>112.85696759999999</v>
      </c>
      <c r="AG16" s="35"/>
      <c r="AH16" s="35">
        <f t="shared" si="15"/>
        <v>11173.1508696</v>
      </c>
      <c r="AI16" s="5">
        <f t="shared" si="16"/>
        <v>11173.1508696</v>
      </c>
      <c r="AJ16" s="35">
        <f t="shared" si="17"/>
        <v>816.2416188000001</v>
      </c>
      <c r="AL16" s="35"/>
      <c r="AM16" s="35">
        <f t="shared" si="18"/>
        <v>8837.5278464</v>
      </c>
      <c r="AN16" s="5">
        <f t="shared" si="19"/>
        <v>8837.5278464</v>
      </c>
      <c r="AO16" s="35">
        <f t="shared" si="20"/>
        <v>645.6153792</v>
      </c>
      <c r="AQ16" s="35"/>
      <c r="AR16" s="35">
        <f t="shared" si="21"/>
        <v>2357.5164256</v>
      </c>
      <c r="AS16" s="5">
        <f t="shared" si="22"/>
        <v>2357.5164256</v>
      </c>
      <c r="AT16" s="35">
        <f t="shared" si="23"/>
        <v>172.2256368</v>
      </c>
      <c r="AV16" s="35"/>
      <c r="AW16" s="35">
        <f t="shared" si="24"/>
        <v>26656.7967968</v>
      </c>
      <c r="AX16" s="5">
        <f t="shared" si="25"/>
        <v>26656.7967968</v>
      </c>
      <c r="AY16" s="35">
        <f t="shared" si="26"/>
        <v>1947.3814704000001</v>
      </c>
      <c r="AZ16" s="5"/>
      <c r="BA16" s="35"/>
      <c r="BB16" s="35">
        <f t="shared" si="27"/>
        <v>468.6930872</v>
      </c>
      <c r="BC16" s="5">
        <f t="shared" si="28"/>
        <v>468.6930872</v>
      </c>
      <c r="BD16" s="35">
        <f t="shared" si="29"/>
        <v>34.2398316</v>
      </c>
      <c r="BE16" s="5"/>
      <c r="BF16" s="35"/>
      <c r="BG16" s="35">
        <f t="shared" si="30"/>
        <v>100.0996856</v>
      </c>
      <c r="BH16" s="5">
        <f t="shared" si="31"/>
        <v>100.0996856</v>
      </c>
      <c r="BI16" s="35">
        <f t="shared" si="32"/>
        <v>7.3126668</v>
      </c>
      <c r="BJ16" s="5"/>
      <c r="BK16" s="35"/>
      <c r="BL16" s="35">
        <f t="shared" si="33"/>
        <v>95736.254256</v>
      </c>
      <c r="BM16" s="5">
        <f t="shared" si="34"/>
        <v>95736.254256</v>
      </c>
      <c r="BN16" s="35">
        <f t="shared" si="35"/>
        <v>6993.901368</v>
      </c>
      <c r="BO16" s="5"/>
      <c r="BP16" s="35"/>
      <c r="BQ16" s="35">
        <f t="shared" si="36"/>
        <v>184.623468</v>
      </c>
      <c r="BR16" s="5">
        <f t="shared" si="37"/>
        <v>184.623468</v>
      </c>
      <c r="BS16" s="35">
        <f t="shared" si="38"/>
        <v>13.487454</v>
      </c>
      <c r="BT16" s="5"/>
      <c r="BU16" s="35"/>
      <c r="BV16" s="35">
        <f t="shared" si="39"/>
        <v>109.68485679999999</v>
      </c>
      <c r="BW16" s="5">
        <f t="shared" si="40"/>
        <v>109.68485679999999</v>
      </c>
      <c r="BX16" s="35">
        <f t="shared" si="41"/>
        <v>8.0129004</v>
      </c>
      <c r="BY16" s="5"/>
      <c r="BZ16" s="35"/>
      <c r="CA16" s="35">
        <f t="shared" si="42"/>
        <v>6843.8122368</v>
      </c>
      <c r="CB16" s="5">
        <f t="shared" si="43"/>
        <v>6843.8122368</v>
      </c>
      <c r="CC16" s="35">
        <f t="shared" si="44"/>
        <v>499.9667904</v>
      </c>
      <c r="CD16" s="5"/>
      <c r="CE16" s="35"/>
      <c r="CF16" s="35">
        <f t="shared" si="45"/>
        <v>722.9179688</v>
      </c>
      <c r="CG16" s="5">
        <f t="shared" si="46"/>
        <v>722.9179688</v>
      </c>
      <c r="CH16" s="35">
        <f t="shared" si="47"/>
        <v>52.8119364</v>
      </c>
      <c r="CI16" s="5"/>
      <c r="CJ16" s="35"/>
      <c r="CK16" s="35">
        <f t="shared" si="48"/>
        <v>1974.8720344</v>
      </c>
      <c r="CL16" s="5">
        <f t="shared" si="49"/>
        <v>1974.8720344</v>
      </c>
      <c r="CM16" s="35">
        <f t="shared" si="50"/>
        <v>144.2719932</v>
      </c>
      <c r="CN16" s="5"/>
      <c r="CO16" s="35"/>
      <c r="CP16" s="35">
        <f t="shared" si="51"/>
        <v>19317.4965624</v>
      </c>
      <c r="CQ16" s="35">
        <f t="shared" si="52"/>
        <v>19317.4965624</v>
      </c>
      <c r="CR16" s="35">
        <f t="shared" si="53"/>
        <v>1411.2173772</v>
      </c>
      <c r="CS16" s="5"/>
      <c r="CT16" s="35"/>
      <c r="CU16" s="35">
        <f t="shared" si="54"/>
        <v>2667.7274208</v>
      </c>
      <c r="CV16" s="35">
        <f t="shared" si="55"/>
        <v>2667.7274208</v>
      </c>
      <c r="CW16" s="35">
        <f t="shared" si="56"/>
        <v>194.88774239999998</v>
      </c>
      <c r="CX16" s="5"/>
      <c r="CY16" s="35"/>
      <c r="CZ16" s="35">
        <f t="shared" si="57"/>
        <v>10656.967616</v>
      </c>
      <c r="DA16" s="5">
        <f t="shared" si="58"/>
        <v>10656.967616</v>
      </c>
      <c r="DB16" s="35">
        <f t="shared" si="59"/>
        <v>778.5324479999999</v>
      </c>
      <c r="DC16" s="5"/>
      <c r="DD16" s="35"/>
      <c r="DE16" s="35">
        <f t="shared" si="60"/>
        <v>85694.6982</v>
      </c>
      <c r="DF16" s="35">
        <f t="shared" si="61"/>
        <v>85694.6982</v>
      </c>
      <c r="DG16" s="35">
        <f t="shared" si="62"/>
        <v>6260.3270999999995</v>
      </c>
      <c r="DH16" s="5"/>
      <c r="DI16" s="35"/>
      <c r="DJ16" s="35">
        <f t="shared" si="63"/>
        <v>128020.309004</v>
      </c>
      <c r="DK16" s="5">
        <f t="shared" si="64"/>
        <v>128020.309004</v>
      </c>
      <c r="DL16" s="35">
        <f t="shared" si="65"/>
        <v>9352.375662</v>
      </c>
      <c r="DM16" s="5"/>
      <c r="DN16" s="35"/>
      <c r="DO16" s="35">
        <f t="shared" si="66"/>
        <v>1067.0038304</v>
      </c>
      <c r="DP16" s="5">
        <f t="shared" si="67"/>
        <v>1067.0038304</v>
      </c>
      <c r="DQ16" s="35">
        <f t="shared" si="68"/>
        <v>77.9487312</v>
      </c>
      <c r="DR16" s="5"/>
      <c r="DS16" s="35"/>
      <c r="DT16" s="35">
        <f t="shared" si="69"/>
        <v>40913.7586552</v>
      </c>
      <c r="DU16" s="5">
        <f t="shared" si="70"/>
        <v>40913.7586552</v>
      </c>
      <c r="DV16" s="35">
        <f t="shared" si="71"/>
        <v>2988.9073356</v>
      </c>
      <c r="DW16" s="5"/>
      <c r="DX16" s="35"/>
      <c r="DY16" s="35">
        <f t="shared" si="72"/>
        <v>68263.9554504</v>
      </c>
      <c r="DZ16" s="5">
        <f t="shared" si="73"/>
        <v>68263.9554504</v>
      </c>
      <c r="EA16" s="35">
        <f t="shared" si="74"/>
        <v>4986.944341199999</v>
      </c>
      <c r="EB16" s="5"/>
      <c r="EC16" s="35"/>
      <c r="ED16" s="35">
        <f t="shared" si="75"/>
        <v>58443.5118664</v>
      </c>
      <c r="EE16" s="5">
        <f t="shared" si="76"/>
        <v>58443.5118664</v>
      </c>
      <c r="EF16" s="35">
        <f t="shared" si="77"/>
        <v>4269.5231892</v>
      </c>
      <c r="EG16" s="5"/>
      <c r="EH16" s="35"/>
      <c r="EI16" s="35">
        <f t="shared" si="78"/>
        <v>57952.0539976</v>
      </c>
      <c r="EJ16" s="5">
        <f t="shared" si="79"/>
        <v>57952.0539976</v>
      </c>
      <c r="EK16" s="35">
        <f t="shared" si="80"/>
        <v>4233.6203028</v>
      </c>
      <c r="EL16" s="5"/>
      <c r="EM16" s="35"/>
      <c r="EN16" s="35">
        <f t="shared" si="81"/>
        <v>84027.74979039999</v>
      </c>
      <c r="EO16" s="35">
        <f t="shared" si="82"/>
        <v>84027.74979039999</v>
      </c>
      <c r="EP16" s="35">
        <f t="shared" si="83"/>
        <v>6138.550111199999</v>
      </c>
      <c r="EQ16" s="5"/>
      <c r="ER16" s="35"/>
      <c r="ES16" s="35">
        <f t="shared" si="84"/>
        <v>106434.8302288</v>
      </c>
      <c r="ET16" s="35">
        <f t="shared" si="85"/>
        <v>106434.8302288</v>
      </c>
      <c r="EU16" s="35">
        <f t="shared" si="86"/>
        <v>7775.473466400001</v>
      </c>
      <c r="EV16" s="5"/>
      <c r="EW16" s="35"/>
      <c r="EX16" s="35">
        <f t="shared" si="87"/>
        <v>491.1311016</v>
      </c>
      <c r="EY16" s="5">
        <f t="shared" si="88"/>
        <v>491.1311016</v>
      </c>
      <c r="EZ16" s="35">
        <f t="shared" si="89"/>
        <v>35.8790148</v>
      </c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</row>
    <row r="17" spans="1:199" ht="12.75">
      <c r="A17" s="36">
        <v>44652</v>
      </c>
      <c r="C17" s="78">
        <v>6165000</v>
      </c>
      <c r="D17" s="78">
        <v>1089224</v>
      </c>
      <c r="E17" s="34">
        <f t="shared" si="0"/>
        <v>7254224</v>
      </c>
      <c r="F17" s="34">
        <v>79572</v>
      </c>
      <c r="H17" s="35">
        <f t="shared" si="90"/>
        <v>1376219.115</v>
      </c>
      <c r="I17" s="35">
        <f t="shared" si="1"/>
        <v>243148.56274400002</v>
      </c>
      <c r="J17" s="35">
        <f t="shared" si="2"/>
        <v>1619367.677744</v>
      </c>
      <c r="K17" s="35">
        <f>'Academic Project '!K17</f>
        <v>17762.937132</v>
      </c>
      <c r="M17" s="35">
        <f>R17+W17+AB17+AG17+AL17+AQ17+AV17+BA17+BF17+BK17+BP17+BU17+BZ17+CE17+CO17+CT17+CY17+DD17+DI17+DN17+DS17+DX17+EC17+EH17+CJ17+EM17+ER17+EW17+FB17</f>
        <v>4788780.885</v>
      </c>
      <c r="N17" s="34">
        <f t="shared" si="3"/>
        <v>846075.437256</v>
      </c>
      <c r="O17" s="5">
        <f t="shared" si="4"/>
        <v>5634856.322256</v>
      </c>
      <c r="P17" s="34">
        <f t="shared" si="5"/>
        <v>61809.062867999986</v>
      </c>
      <c r="R17" s="35">
        <f t="shared" si="91"/>
        <v>1339.038</v>
      </c>
      <c r="S17" s="35">
        <f t="shared" si="6"/>
        <v>236.57945279999998</v>
      </c>
      <c r="T17" s="5">
        <f t="shared" si="7"/>
        <v>1575.6174528</v>
      </c>
      <c r="U17" s="35">
        <f t="shared" si="8"/>
        <v>17.2830384</v>
      </c>
      <c r="W17" s="35">
        <f t="shared" si="92"/>
        <v>142500.8925</v>
      </c>
      <c r="X17" s="35">
        <f t="shared" si="9"/>
        <v>25176.868148</v>
      </c>
      <c r="Y17" s="5">
        <f t="shared" si="10"/>
        <v>167677.760648</v>
      </c>
      <c r="Z17" s="35">
        <f t="shared" si="11"/>
        <v>1839.266994</v>
      </c>
      <c r="AB17" s="35">
        <f t="shared" si="93"/>
        <v>8743.8195</v>
      </c>
      <c r="AC17" s="35">
        <f t="shared" si="12"/>
        <v>1544.8463992</v>
      </c>
      <c r="AD17" s="35">
        <f t="shared" si="13"/>
        <v>10288.6658992</v>
      </c>
      <c r="AE17" s="35">
        <f t="shared" si="14"/>
        <v>112.85696759999999</v>
      </c>
      <c r="AG17" s="35">
        <f t="shared" si="94"/>
        <v>63239.9535</v>
      </c>
      <c r="AH17" s="35">
        <f t="shared" si="15"/>
        <v>11173.1508696</v>
      </c>
      <c r="AI17" s="5">
        <f t="shared" si="16"/>
        <v>74413.1043696</v>
      </c>
      <c r="AJ17" s="35">
        <f t="shared" si="17"/>
        <v>816.2416188000001</v>
      </c>
      <c r="AL17" s="35">
        <f t="shared" si="95"/>
        <v>50020.344000000005</v>
      </c>
      <c r="AM17" s="35">
        <f t="shared" si="18"/>
        <v>8837.5278464</v>
      </c>
      <c r="AN17" s="5">
        <f t="shared" si="19"/>
        <v>58857.871846400005</v>
      </c>
      <c r="AO17" s="35">
        <f t="shared" si="20"/>
        <v>645.6153792</v>
      </c>
      <c r="AQ17" s="35">
        <f t="shared" si="96"/>
        <v>13343.526</v>
      </c>
      <c r="AR17" s="35">
        <f t="shared" si="21"/>
        <v>2357.5164256</v>
      </c>
      <c r="AS17" s="5">
        <f t="shared" si="22"/>
        <v>15701.0424256</v>
      </c>
      <c r="AT17" s="35">
        <f t="shared" si="23"/>
        <v>172.2256368</v>
      </c>
      <c r="AV17" s="35">
        <f t="shared" si="97"/>
        <v>150877.278</v>
      </c>
      <c r="AW17" s="35">
        <f t="shared" si="24"/>
        <v>26656.7967968</v>
      </c>
      <c r="AX17" s="5">
        <f t="shared" si="25"/>
        <v>177534.07479679998</v>
      </c>
      <c r="AY17" s="35">
        <f t="shared" si="26"/>
        <v>1947.3814704000001</v>
      </c>
      <c r="AZ17" s="5"/>
      <c r="BA17" s="35">
        <f t="shared" si="98"/>
        <v>2652.7995</v>
      </c>
      <c r="BB17" s="35">
        <f t="shared" si="27"/>
        <v>468.6930872</v>
      </c>
      <c r="BC17" s="5">
        <f t="shared" si="28"/>
        <v>3121.4925872</v>
      </c>
      <c r="BD17" s="35">
        <f t="shared" si="29"/>
        <v>34.2398316</v>
      </c>
      <c r="BE17" s="5"/>
      <c r="BF17" s="35">
        <f t="shared" si="99"/>
        <v>566.5635</v>
      </c>
      <c r="BG17" s="35">
        <f t="shared" si="30"/>
        <v>100.0996856</v>
      </c>
      <c r="BH17" s="5">
        <f t="shared" si="31"/>
        <v>666.6631856</v>
      </c>
      <c r="BI17" s="35">
        <f t="shared" si="32"/>
        <v>7.3126668</v>
      </c>
      <c r="BJ17" s="5"/>
      <c r="BK17" s="35">
        <f t="shared" si="100"/>
        <v>541866.51</v>
      </c>
      <c r="BL17" s="35">
        <f t="shared" si="33"/>
        <v>95736.254256</v>
      </c>
      <c r="BM17" s="5">
        <f t="shared" si="34"/>
        <v>637602.764256</v>
      </c>
      <c r="BN17" s="35">
        <f t="shared" si="35"/>
        <v>6993.901368</v>
      </c>
      <c r="BO17" s="5"/>
      <c r="BP17" s="35">
        <f t="shared" si="101"/>
        <v>1044.9675</v>
      </c>
      <c r="BQ17" s="35">
        <f t="shared" si="36"/>
        <v>184.623468</v>
      </c>
      <c r="BR17" s="5">
        <f t="shared" si="37"/>
        <v>1229.590968</v>
      </c>
      <c r="BS17" s="35">
        <f t="shared" si="38"/>
        <v>13.487454</v>
      </c>
      <c r="BT17" s="5"/>
      <c r="BU17" s="35">
        <f t="shared" si="102"/>
        <v>620.8154999999999</v>
      </c>
      <c r="BV17" s="35">
        <f t="shared" si="39"/>
        <v>109.68485679999999</v>
      </c>
      <c r="BW17" s="5">
        <f t="shared" si="40"/>
        <v>730.5003568</v>
      </c>
      <c r="BX17" s="35">
        <f t="shared" si="41"/>
        <v>8.0129004</v>
      </c>
      <c r="BY17" s="5"/>
      <c r="BZ17" s="35">
        <f t="shared" si="103"/>
        <v>38735.928</v>
      </c>
      <c r="CA17" s="35">
        <f t="shared" si="42"/>
        <v>6843.8122368</v>
      </c>
      <c r="CB17" s="5">
        <f t="shared" si="43"/>
        <v>45579.740236800004</v>
      </c>
      <c r="CC17" s="35">
        <f t="shared" si="44"/>
        <v>499.9667904</v>
      </c>
      <c r="CD17" s="5"/>
      <c r="CE17" s="35">
        <f t="shared" si="104"/>
        <v>4091.7105</v>
      </c>
      <c r="CF17" s="35">
        <f t="shared" si="45"/>
        <v>722.9179688</v>
      </c>
      <c r="CG17" s="5">
        <f t="shared" si="46"/>
        <v>4814.6284688000005</v>
      </c>
      <c r="CH17" s="35">
        <f t="shared" si="47"/>
        <v>52.8119364</v>
      </c>
      <c r="CI17" s="5"/>
      <c r="CJ17" s="35">
        <f>$C17*CK$6</f>
        <v>11177.7615</v>
      </c>
      <c r="CK17" s="35">
        <f t="shared" si="48"/>
        <v>1974.8720344</v>
      </c>
      <c r="CL17" s="5">
        <f t="shared" si="49"/>
        <v>13152.6335344</v>
      </c>
      <c r="CM17" s="35">
        <f t="shared" si="50"/>
        <v>144.2719932</v>
      </c>
      <c r="CN17" s="5"/>
      <c r="CO17" s="35">
        <f t="shared" si="105"/>
        <v>109336.8915</v>
      </c>
      <c r="CP17" s="35">
        <f t="shared" si="51"/>
        <v>19317.4965624</v>
      </c>
      <c r="CQ17" s="35">
        <f t="shared" si="52"/>
        <v>128654.3880624</v>
      </c>
      <c r="CR17" s="35">
        <f t="shared" si="53"/>
        <v>1411.2173772</v>
      </c>
      <c r="CS17" s="5"/>
      <c r="CT17" s="35">
        <f t="shared" si="106"/>
        <v>15099.318</v>
      </c>
      <c r="CU17" s="35">
        <f t="shared" si="54"/>
        <v>2667.7274208</v>
      </c>
      <c r="CV17" s="35">
        <f t="shared" si="55"/>
        <v>17767.0454208</v>
      </c>
      <c r="CW17" s="35">
        <f t="shared" si="56"/>
        <v>194.88774239999998</v>
      </c>
      <c r="CX17" s="5"/>
      <c r="CY17" s="35">
        <f t="shared" si="107"/>
        <v>60318.35999999999</v>
      </c>
      <c r="CZ17" s="35">
        <f t="shared" si="57"/>
        <v>10656.967616</v>
      </c>
      <c r="DA17" s="5">
        <f t="shared" si="58"/>
        <v>70975.327616</v>
      </c>
      <c r="DB17" s="35">
        <f t="shared" si="59"/>
        <v>778.5324479999999</v>
      </c>
      <c r="DC17" s="5"/>
      <c r="DD17" s="35">
        <f t="shared" si="108"/>
        <v>485031.37499999994</v>
      </c>
      <c r="DE17" s="35">
        <f t="shared" si="60"/>
        <v>85694.6982</v>
      </c>
      <c r="DF17" s="35">
        <f t="shared" si="61"/>
        <v>570726.0732</v>
      </c>
      <c r="DG17" s="35">
        <f t="shared" si="62"/>
        <v>6260.3270999999995</v>
      </c>
      <c r="DH17" s="5"/>
      <c r="DI17" s="35">
        <f t="shared" si="109"/>
        <v>724594.0275</v>
      </c>
      <c r="DJ17" s="35">
        <f t="shared" si="63"/>
        <v>128020.309004</v>
      </c>
      <c r="DK17" s="5">
        <f t="shared" si="64"/>
        <v>852614.336504</v>
      </c>
      <c r="DL17" s="35">
        <f t="shared" si="65"/>
        <v>9352.375662</v>
      </c>
      <c r="DM17" s="5"/>
      <c r="DN17" s="35">
        <f t="shared" si="110"/>
        <v>6039.2339999999995</v>
      </c>
      <c r="DO17" s="35">
        <f t="shared" si="66"/>
        <v>1067.0038304</v>
      </c>
      <c r="DP17" s="5">
        <f t="shared" si="67"/>
        <v>7106.237830399999</v>
      </c>
      <c r="DQ17" s="35">
        <f t="shared" si="68"/>
        <v>77.9487312</v>
      </c>
      <c r="DR17" s="5"/>
      <c r="DS17" s="35">
        <f t="shared" si="111"/>
        <v>231571.5795</v>
      </c>
      <c r="DT17" s="35">
        <f t="shared" si="69"/>
        <v>40913.7586552</v>
      </c>
      <c r="DU17" s="5">
        <f t="shared" si="70"/>
        <v>272485.3381552</v>
      </c>
      <c r="DV17" s="35">
        <f t="shared" si="71"/>
        <v>2988.9073356</v>
      </c>
      <c r="DW17" s="5"/>
      <c r="DX17" s="35">
        <f t="shared" si="112"/>
        <v>386373.49649999995</v>
      </c>
      <c r="DY17" s="35">
        <f t="shared" si="72"/>
        <v>68263.9554504</v>
      </c>
      <c r="DZ17" s="5">
        <f t="shared" si="73"/>
        <v>454637.45195039996</v>
      </c>
      <c r="EA17" s="35">
        <f t="shared" si="74"/>
        <v>4986.944341199999</v>
      </c>
      <c r="EB17" s="5"/>
      <c r="EC17" s="35">
        <f t="shared" si="113"/>
        <v>330789.8565</v>
      </c>
      <c r="ED17" s="35">
        <f t="shared" si="75"/>
        <v>58443.5118664</v>
      </c>
      <c r="EE17" s="5">
        <f t="shared" si="76"/>
        <v>389233.3683664</v>
      </c>
      <c r="EF17" s="35">
        <f t="shared" si="77"/>
        <v>4269.5231892</v>
      </c>
      <c r="EG17" s="5"/>
      <c r="EH17" s="35">
        <f t="shared" si="114"/>
        <v>328008.2085</v>
      </c>
      <c r="EI17" s="35">
        <f t="shared" si="78"/>
        <v>57952.0539976</v>
      </c>
      <c r="EJ17" s="5">
        <f t="shared" si="79"/>
        <v>385960.2624976</v>
      </c>
      <c r="EK17" s="35">
        <f t="shared" si="80"/>
        <v>4233.6203028</v>
      </c>
      <c r="EL17" s="5"/>
      <c r="EM17" s="35">
        <f t="shared" si="115"/>
        <v>475596.459</v>
      </c>
      <c r="EN17" s="35">
        <f t="shared" si="81"/>
        <v>84027.74979039999</v>
      </c>
      <c r="EO17" s="35">
        <f t="shared" si="82"/>
        <v>559624.2087904</v>
      </c>
      <c r="EP17" s="35">
        <f t="shared" si="83"/>
        <v>6138.550111199999</v>
      </c>
      <c r="EQ17" s="5"/>
      <c r="ER17" s="35">
        <f t="shared" si="116"/>
        <v>602420.373</v>
      </c>
      <c r="ES17" s="35">
        <f t="shared" si="84"/>
        <v>106434.8302288</v>
      </c>
      <c r="ET17" s="35">
        <f t="shared" si="85"/>
        <v>708855.2032288</v>
      </c>
      <c r="EU17" s="35">
        <f t="shared" si="86"/>
        <v>7775.473466400001</v>
      </c>
      <c r="EV17" s="5"/>
      <c r="EW17" s="35">
        <f t="shared" si="117"/>
        <v>2779.7985</v>
      </c>
      <c r="EX17" s="35">
        <f t="shared" si="87"/>
        <v>491.1311016</v>
      </c>
      <c r="EY17" s="5">
        <f t="shared" si="88"/>
        <v>3270.9296016</v>
      </c>
      <c r="EZ17" s="35">
        <f t="shared" si="89"/>
        <v>35.8790148</v>
      </c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</row>
    <row r="18" spans="1:199" ht="12.75">
      <c r="A18" s="36">
        <v>44835</v>
      </c>
      <c r="C18" s="78"/>
      <c r="D18" s="78">
        <v>998059</v>
      </c>
      <c r="E18" s="34">
        <f t="shared" si="0"/>
        <v>998059</v>
      </c>
      <c r="F18" s="34">
        <v>79572</v>
      </c>
      <c r="H18" s="35"/>
      <c r="I18" s="35">
        <f t="shared" si="1"/>
        <v>222797.708629</v>
      </c>
      <c r="J18" s="35">
        <f t="shared" si="2"/>
        <v>222797.708629</v>
      </c>
      <c r="K18" s="35">
        <f>'Academic Project '!K18</f>
        <v>17762.937132</v>
      </c>
      <c r="M18" s="35"/>
      <c r="N18" s="34">
        <f t="shared" si="3"/>
        <v>775261.291371</v>
      </c>
      <c r="O18" s="5">
        <f t="shared" si="4"/>
        <v>775261.291371</v>
      </c>
      <c r="P18" s="34">
        <f t="shared" si="5"/>
        <v>61809.062867999986</v>
      </c>
      <c r="R18" s="35"/>
      <c r="S18" s="35">
        <f t="shared" si="6"/>
        <v>216.7784148</v>
      </c>
      <c r="T18" s="5">
        <f t="shared" si="7"/>
        <v>216.7784148</v>
      </c>
      <c r="U18" s="35">
        <f t="shared" si="8"/>
        <v>17.2830384</v>
      </c>
      <c r="W18" s="35"/>
      <c r="X18" s="35">
        <f t="shared" si="9"/>
        <v>23069.6347555</v>
      </c>
      <c r="Y18" s="5">
        <f t="shared" si="10"/>
        <v>23069.6347555</v>
      </c>
      <c r="Z18" s="35">
        <f t="shared" si="11"/>
        <v>1839.266994</v>
      </c>
      <c r="AB18" s="35"/>
      <c r="AC18" s="35">
        <f t="shared" si="12"/>
        <v>1415.5470797</v>
      </c>
      <c r="AD18" s="35">
        <f t="shared" si="13"/>
        <v>1415.5470797</v>
      </c>
      <c r="AE18" s="35">
        <f t="shared" si="14"/>
        <v>112.85696759999999</v>
      </c>
      <c r="AG18" s="35"/>
      <c r="AH18" s="35">
        <f t="shared" si="15"/>
        <v>10237.989416100001</v>
      </c>
      <c r="AI18" s="5">
        <f t="shared" si="16"/>
        <v>10237.989416100001</v>
      </c>
      <c r="AJ18" s="35">
        <f t="shared" si="17"/>
        <v>816.2416188000001</v>
      </c>
      <c r="AL18" s="35"/>
      <c r="AM18" s="35">
        <f t="shared" si="18"/>
        <v>8097.851502400001</v>
      </c>
      <c r="AN18" s="5">
        <f t="shared" si="19"/>
        <v>8097.851502400001</v>
      </c>
      <c r="AO18" s="35">
        <f t="shared" si="20"/>
        <v>645.6153792</v>
      </c>
      <c r="AQ18" s="35"/>
      <c r="AR18" s="35">
        <f t="shared" si="21"/>
        <v>2160.1988996</v>
      </c>
      <c r="AS18" s="5">
        <f t="shared" si="22"/>
        <v>2160.1988996</v>
      </c>
      <c r="AT18" s="35">
        <f t="shared" si="23"/>
        <v>172.2256368</v>
      </c>
      <c r="AV18" s="35"/>
      <c r="AW18" s="35">
        <f t="shared" si="24"/>
        <v>24425.6975188</v>
      </c>
      <c r="AX18" s="5">
        <f t="shared" si="25"/>
        <v>24425.6975188</v>
      </c>
      <c r="AY18" s="35">
        <f t="shared" si="26"/>
        <v>1947.3814704000001</v>
      </c>
      <c r="AZ18" s="5"/>
      <c r="BA18" s="35"/>
      <c r="BB18" s="35">
        <f t="shared" si="27"/>
        <v>429.4647877</v>
      </c>
      <c r="BC18" s="5">
        <f t="shared" si="28"/>
        <v>429.4647877</v>
      </c>
      <c r="BD18" s="35">
        <f t="shared" si="29"/>
        <v>34.2398316</v>
      </c>
      <c r="BE18" s="5"/>
      <c r="BF18" s="35"/>
      <c r="BG18" s="35">
        <f t="shared" si="30"/>
        <v>91.7216221</v>
      </c>
      <c r="BH18" s="5">
        <f t="shared" si="31"/>
        <v>91.7216221</v>
      </c>
      <c r="BI18" s="35">
        <f t="shared" si="32"/>
        <v>7.3126668</v>
      </c>
      <c r="BJ18" s="5"/>
      <c r="BK18" s="35"/>
      <c r="BL18" s="35">
        <f t="shared" si="33"/>
        <v>87723.397746</v>
      </c>
      <c r="BM18" s="5">
        <f t="shared" si="34"/>
        <v>87723.397746</v>
      </c>
      <c r="BN18" s="35">
        <f t="shared" si="35"/>
        <v>6993.901368</v>
      </c>
      <c r="BO18" s="5"/>
      <c r="BP18" s="35"/>
      <c r="BQ18" s="35">
        <f t="shared" si="36"/>
        <v>169.1710005</v>
      </c>
      <c r="BR18" s="5">
        <f t="shared" si="37"/>
        <v>169.1710005</v>
      </c>
      <c r="BS18" s="35">
        <f t="shared" si="38"/>
        <v>13.487454</v>
      </c>
      <c r="BT18" s="5"/>
      <c r="BU18" s="35"/>
      <c r="BV18" s="35">
        <f t="shared" si="39"/>
        <v>100.5045413</v>
      </c>
      <c r="BW18" s="5">
        <f t="shared" si="40"/>
        <v>100.5045413</v>
      </c>
      <c r="BX18" s="35">
        <f t="shared" si="41"/>
        <v>8.0129004</v>
      </c>
      <c r="BY18" s="5"/>
      <c r="BZ18" s="35"/>
      <c r="CA18" s="35">
        <f t="shared" si="42"/>
        <v>6271.0043088</v>
      </c>
      <c r="CB18" s="5">
        <f t="shared" si="43"/>
        <v>6271.0043088</v>
      </c>
      <c r="CC18" s="35">
        <f t="shared" si="44"/>
        <v>499.9667904</v>
      </c>
      <c r="CD18" s="5"/>
      <c r="CE18" s="35"/>
      <c r="CF18" s="35">
        <f t="shared" si="45"/>
        <v>662.4117583000001</v>
      </c>
      <c r="CG18" s="5">
        <f t="shared" si="46"/>
        <v>662.4117583000001</v>
      </c>
      <c r="CH18" s="35">
        <f t="shared" si="47"/>
        <v>52.8119364</v>
      </c>
      <c r="CI18" s="5"/>
      <c r="CJ18" s="35"/>
      <c r="CK18" s="35">
        <f t="shared" si="48"/>
        <v>1809.5807729</v>
      </c>
      <c r="CL18" s="5">
        <f t="shared" si="49"/>
        <v>1809.5807729</v>
      </c>
      <c r="CM18" s="35">
        <f t="shared" si="50"/>
        <v>144.2719932</v>
      </c>
      <c r="CN18" s="5"/>
      <c r="CO18" s="35"/>
      <c r="CP18" s="35">
        <f t="shared" si="51"/>
        <v>17700.6761709</v>
      </c>
      <c r="CQ18" s="35">
        <f t="shared" si="52"/>
        <v>17700.6761709</v>
      </c>
      <c r="CR18" s="35">
        <f t="shared" si="53"/>
        <v>1411.2173772</v>
      </c>
      <c r="CS18" s="5"/>
      <c r="CT18" s="35"/>
      <c r="CU18" s="35">
        <f t="shared" si="54"/>
        <v>2444.4461028</v>
      </c>
      <c r="CV18" s="35">
        <f t="shared" si="55"/>
        <v>2444.4461028</v>
      </c>
      <c r="CW18" s="35">
        <f t="shared" si="56"/>
        <v>194.88774239999998</v>
      </c>
      <c r="CX18" s="5"/>
      <c r="CY18" s="35"/>
      <c r="CZ18" s="35">
        <f t="shared" si="57"/>
        <v>9765.009256</v>
      </c>
      <c r="DA18" s="5">
        <f t="shared" si="58"/>
        <v>9765.009256</v>
      </c>
      <c r="DB18" s="35">
        <f t="shared" si="59"/>
        <v>778.5324479999999</v>
      </c>
      <c r="DC18" s="5"/>
      <c r="DD18" s="35"/>
      <c r="DE18" s="35">
        <f t="shared" si="60"/>
        <v>78522.291825</v>
      </c>
      <c r="DF18" s="35">
        <f t="shared" si="61"/>
        <v>78522.291825</v>
      </c>
      <c r="DG18" s="35">
        <f t="shared" si="62"/>
        <v>6260.3270999999995</v>
      </c>
      <c r="DH18" s="5"/>
      <c r="DI18" s="35"/>
      <c r="DJ18" s="35">
        <f t="shared" si="63"/>
        <v>117305.3674765</v>
      </c>
      <c r="DK18" s="5">
        <f t="shared" si="64"/>
        <v>117305.3674765</v>
      </c>
      <c r="DL18" s="35">
        <f t="shared" si="65"/>
        <v>9352.375662</v>
      </c>
      <c r="DM18" s="5"/>
      <c r="DN18" s="35"/>
      <c r="DO18" s="35">
        <f t="shared" si="66"/>
        <v>977.6985963999999</v>
      </c>
      <c r="DP18" s="5">
        <f t="shared" si="67"/>
        <v>977.6985963999999</v>
      </c>
      <c r="DQ18" s="35">
        <f t="shared" si="68"/>
        <v>77.9487312</v>
      </c>
      <c r="DR18" s="5"/>
      <c r="DS18" s="35"/>
      <c r="DT18" s="35">
        <f t="shared" si="69"/>
        <v>37489.3915757</v>
      </c>
      <c r="DU18" s="5">
        <f t="shared" si="70"/>
        <v>37489.3915757</v>
      </c>
      <c r="DV18" s="35">
        <f t="shared" si="71"/>
        <v>2988.9073356</v>
      </c>
      <c r="DW18" s="5"/>
      <c r="DX18" s="35"/>
      <c r="DY18" s="35">
        <f t="shared" si="72"/>
        <v>62550.453453899994</v>
      </c>
      <c r="DZ18" s="5">
        <f t="shared" si="73"/>
        <v>62550.453453899994</v>
      </c>
      <c r="EA18" s="35">
        <f t="shared" si="74"/>
        <v>4986.944341199999</v>
      </c>
      <c r="EB18" s="5"/>
      <c r="EC18" s="35"/>
      <c r="ED18" s="35">
        <f t="shared" si="75"/>
        <v>53551.9535099</v>
      </c>
      <c r="EE18" s="5">
        <f t="shared" si="76"/>
        <v>53551.9535099</v>
      </c>
      <c r="EF18" s="35">
        <f t="shared" si="77"/>
        <v>4269.5231892</v>
      </c>
      <c r="EG18" s="5"/>
      <c r="EH18" s="35"/>
      <c r="EI18" s="35">
        <f t="shared" si="78"/>
        <v>53101.6292891</v>
      </c>
      <c r="EJ18" s="5">
        <f t="shared" si="79"/>
        <v>53101.6292891</v>
      </c>
      <c r="EK18" s="35">
        <f t="shared" si="80"/>
        <v>4233.6203028</v>
      </c>
      <c r="EL18" s="5"/>
      <c r="EM18" s="35"/>
      <c r="EN18" s="35">
        <f t="shared" si="81"/>
        <v>76994.8623314</v>
      </c>
      <c r="EO18" s="35">
        <f t="shared" si="82"/>
        <v>76994.8623314</v>
      </c>
      <c r="EP18" s="35">
        <f t="shared" si="83"/>
        <v>6138.550111199999</v>
      </c>
      <c r="EQ18" s="5"/>
      <c r="ER18" s="35"/>
      <c r="ES18" s="35">
        <f t="shared" si="84"/>
        <v>97526.5328558</v>
      </c>
      <c r="ET18" s="35">
        <f t="shared" si="85"/>
        <v>97526.5328558</v>
      </c>
      <c r="EU18" s="35">
        <f t="shared" si="86"/>
        <v>7775.473466400001</v>
      </c>
      <c r="EV18" s="5"/>
      <c r="EW18" s="35"/>
      <c r="EX18" s="35">
        <f t="shared" si="87"/>
        <v>450.0248031</v>
      </c>
      <c r="EY18" s="5">
        <f t="shared" si="88"/>
        <v>450.0248031</v>
      </c>
      <c r="EZ18" s="35">
        <f t="shared" si="89"/>
        <v>35.8790148</v>
      </c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</row>
    <row r="19" spans="1:199" ht="12.75">
      <c r="A19" s="36">
        <v>45017</v>
      </c>
      <c r="C19" s="78">
        <v>6345000</v>
      </c>
      <c r="D19" s="78">
        <v>998059</v>
      </c>
      <c r="E19" s="34">
        <f t="shared" si="0"/>
        <v>7343059</v>
      </c>
      <c r="F19" s="34">
        <v>79572</v>
      </c>
      <c r="H19" s="35">
        <f t="shared" si="90"/>
        <v>1416400.695</v>
      </c>
      <c r="I19" s="35">
        <f t="shared" si="1"/>
        <v>222797.708629</v>
      </c>
      <c r="J19" s="35">
        <f t="shared" si="2"/>
        <v>1639198.403629</v>
      </c>
      <c r="K19" s="35">
        <f>'Academic Project '!K19</f>
        <v>17762.937132</v>
      </c>
      <c r="M19" s="35">
        <f>R19+W19+AB19+AG19+AL19+AQ19+AV19+BA19+BF19+BK19+BP19+BU19+BZ19+CE19+CO19+CT19+CY19+DD19+DI19+DN19+DS19+DX19+EC19+EH19+CJ19+EM19+ER19+EW19+FB19</f>
        <v>4928599.305</v>
      </c>
      <c r="N19" s="34">
        <f t="shared" si="3"/>
        <v>775261.291371</v>
      </c>
      <c r="O19" s="5">
        <f t="shared" si="4"/>
        <v>5703860.596371</v>
      </c>
      <c r="P19" s="34">
        <f t="shared" si="5"/>
        <v>61809.062867999986</v>
      </c>
      <c r="R19" s="35">
        <f t="shared" si="91"/>
        <v>1378.134</v>
      </c>
      <c r="S19" s="35">
        <f t="shared" si="6"/>
        <v>216.7784148</v>
      </c>
      <c r="T19" s="5">
        <f t="shared" si="7"/>
        <v>1594.9124148</v>
      </c>
      <c r="U19" s="35">
        <f t="shared" si="8"/>
        <v>17.2830384</v>
      </c>
      <c r="W19" s="35">
        <f t="shared" si="92"/>
        <v>146661.5025</v>
      </c>
      <c r="X19" s="35">
        <f t="shared" si="9"/>
        <v>23069.6347555</v>
      </c>
      <c r="Y19" s="5">
        <f t="shared" si="10"/>
        <v>169731.1372555</v>
      </c>
      <c r="Z19" s="35">
        <f t="shared" si="11"/>
        <v>1839.266994</v>
      </c>
      <c r="AB19" s="35">
        <f t="shared" si="93"/>
        <v>8999.1135</v>
      </c>
      <c r="AC19" s="35">
        <f t="shared" si="12"/>
        <v>1415.5470797</v>
      </c>
      <c r="AD19" s="35">
        <f t="shared" si="13"/>
        <v>10414.6605797</v>
      </c>
      <c r="AE19" s="35">
        <f t="shared" si="14"/>
        <v>112.85696759999999</v>
      </c>
      <c r="AG19" s="35">
        <f t="shared" si="94"/>
        <v>65086.3755</v>
      </c>
      <c r="AH19" s="35">
        <f t="shared" si="15"/>
        <v>10237.989416100001</v>
      </c>
      <c r="AI19" s="5">
        <f t="shared" si="16"/>
        <v>75324.3649161</v>
      </c>
      <c r="AJ19" s="35">
        <f t="shared" si="17"/>
        <v>816.2416188000001</v>
      </c>
      <c r="AL19" s="35">
        <f t="shared" si="95"/>
        <v>51480.792</v>
      </c>
      <c r="AM19" s="35">
        <f t="shared" si="18"/>
        <v>8097.851502400001</v>
      </c>
      <c r="AN19" s="5">
        <f t="shared" si="19"/>
        <v>59578.6435024</v>
      </c>
      <c r="AO19" s="35">
        <f t="shared" si="20"/>
        <v>645.6153792</v>
      </c>
      <c r="AQ19" s="35">
        <f t="shared" si="96"/>
        <v>13733.117999999999</v>
      </c>
      <c r="AR19" s="35">
        <f t="shared" si="21"/>
        <v>2160.1988996</v>
      </c>
      <c r="AS19" s="5">
        <f t="shared" si="22"/>
        <v>15893.316899599999</v>
      </c>
      <c r="AT19" s="35">
        <f t="shared" si="23"/>
        <v>172.2256368</v>
      </c>
      <c r="AV19" s="35">
        <f t="shared" si="97"/>
        <v>155282.454</v>
      </c>
      <c r="AW19" s="35">
        <f t="shared" si="24"/>
        <v>24425.6975188</v>
      </c>
      <c r="AX19" s="5">
        <f t="shared" si="25"/>
        <v>179708.1515188</v>
      </c>
      <c r="AY19" s="35">
        <f t="shared" si="26"/>
        <v>1947.3814704000001</v>
      </c>
      <c r="AZ19" s="5"/>
      <c r="BA19" s="35">
        <f t="shared" si="98"/>
        <v>2730.2535</v>
      </c>
      <c r="BB19" s="35">
        <f t="shared" si="27"/>
        <v>429.4647877</v>
      </c>
      <c r="BC19" s="5">
        <f t="shared" si="28"/>
        <v>3159.7182876999996</v>
      </c>
      <c r="BD19" s="35">
        <f t="shared" si="29"/>
        <v>34.2398316</v>
      </c>
      <c r="BE19" s="5"/>
      <c r="BF19" s="35">
        <f t="shared" si="99"/>
        <v>583.1055</v>
      </c>
      <c r="BG19" s="35">
        <f t="shared" si="30"/>
        <v>91.7216221</v>
      </c>
      <c r="BH19" s="5">
        <f t="shared" si="31"/>
        <v>674.8271221</v>
      </c>
      <c r="BI19" s="35">
        <f t="shared" si="32"/>
        <v>7.3126668</v>
      </c>
      <c r="BJ19" s="5"/>
      <c r="BK19" s="35">
        <f t="shared" si="100"/>
        <v>557687.43</v>
      </c>
      <c r="BL19" s="35">
        <f t="shared" si="33"/>
        <v>87723.397746</v>
      </c>
      <c r="BM19" s="5">
        <f t="shared" si="34"/>
        <v>645410.827746</v>
      </c>
      <c r="BN19" s="35">
        <f t="shared" si="35"/>
        <v>6993.901368</v>
      </c>
      <c r="BO19" s="5"/>
      <c r="BP19" s="35">
        <f t="shared" si="101"/>
        <v>1075.4775</v>
      </c>
      <c r="BQ19" s="35">
        <f t="shared" si="36"/>
        <v>169.1710005</v>
      </c>
      <c r="BR19" s="5">
        <f t="shared" si="37"/>
        <v>1244.6485005</v>
      </c>
      <c r="BS19" s="35">
        <f t="shared" si="38"/>
        <v>13.487454</v>
      </c>
      <c r="BT19" s="5"/>
      <c r="BU19" s="35">
        <f t="shared" si="102"/>
        <v>638.9415</v>
      </c>
      <c r="BV19" s="35">
        <f t="shared" si="39"/>
        <v>100.5045413</v>
      </c>
      <c r="BW19" s="5">
        <f t="shared" si="40"/>
        <v>739.4460413</v>
      </c>
      <c r="BX19" s="35">
        <f t="shared" si="41"/>
        <v>8.0129004</v>
      </c>
      <c r="BY19" s="5"/>
      <c r="BZ19" s="35">
        <f t="shared" si="103"/>
        <v>39866.904</v>
      </c>
      <c r="CA19" s="35">
        <f t="shared" si="42"/>
        <v>6271.0043088</v>
      </c>
      <c r="CB19" s="5">
        <f t="shared" si="43"/>
        <v>46137.908308800004</v>
      </c>
      <c r="CC19" s="35">
        <f t="shared" si="44"/>
        <v>499.9667904</v>
      </c>
      <c r="CD19" s="5"/>
      <c r="CE19" s="35">
        <f t="shared" si="104"/>
        <v>4211.1765000000005</v>
      </c>
      <c r="CF19" s="35">
        <f t="shared" si="45"/>
        <v>662.4117583000001</v>
      </c>
      <c r="CG19" s="5">
        <f t="shared" si="46"/>
        <v>4873.5882583</v>
      </c>
      <c r="CH19" s="35">
        <f t="shared" si="47"/>
        <v>52.8119364</v>
      </c>
      <c r="CI19" s="5"/>
      <c r="CJ19" s="35">
        <f>$C19*CK$6</f>
        <v>11504.1195</v>
      </c>
      <c r="CK19" s="35">
        <f t="shared" si="48"/>
        <v>1809.5807729</v>
      </c>
      <c r="CL19" s="5">
        <f t="shared" si="49"/>
        <v>13313.700272900001</v>
      </c>
      <c r="CM19" s="35">
        <f t="shared" si="50"/>
        <v>144.2719932</v>
      </c>
      <c r="CN19" s="5"/>
      <c r="CO19" s="35">
        <f t="shared" si="105"/>
        <v>112529.2095</v>
      </c>
      <c r="CP19" s="35">
        <f t="shared" si="51"/>
        <v>17700.6761709</v>
      </c>
      <c r="CQ19" s="35">
        <f t="shared" si="52"/>
        <v>130229.8856709</v>
      </c>
      <c r="CR19" s="35">
        <f t="shared" si="53"/>
        <v>1411.2173772</v>
      </c>
      <c r="CS19" s="5"/>
      <c r="CT19" s="35">
        <f t="shared" si="106"/>
        <v>15540.173999999999</v>
      </c>
      <c r="CU19" s="35">
        <f t="shared" si="54"/>
        <v>2444.4461028</v>
      </c>
      <c r="CV19" s="35">
        <f t="shared" si="55"/>
        <v>17984.6201028</v>
      </c>
      <c r="CW19" s="35">
        <f t="shared" si="56"/>
        <v>194.88774239999998</v>
      </c>
      <c r="CX19" s="5"/>
      <c r="CY19" s="35">
        <f t="shared" si="107"/>
        <v>62079.479999999996</v>
      </c>
      <c r="CZ19" s="35">
        <f t="shared" si="57"/>
        <v>9765.009256</v>
      </c>
      <c r="DA19" s="5">
        <f t="shared" si="58"/>
        <v>71844.489256</v>
      </c>
      <c r="DB19" s="35">
        <f t="shared" si="59"/>
        <v>778.5324479999999</v>
      </c>
      <c r="DC19" s="5"/>
      <c r="DD19" s="35">
        <f t="shared" si="108"/>
        <v>499192.87499999994</v>
      </c>
      <c r="DE19" s="35">
        <f t="shared" si="60"/>
        <v>78522.291825</v>
      </c>
      <c r="DF19" s="35">
        <f t="shared" si="61"/>
        <v>577715.166825</v>
      </c>
      <c r="DG19" s="35">
        <f t="shared" si="62"/>
        <v>6260.3270999999995</v>
      </c>
      <c r="DH19" s="5"/>
      <c r="DI19" s="35">
        <f t="shared" si="109"/>
        <v>745750.0575</v>
      </c>
      <c r="DJ19" s="35">
        <f t="shared" si="63"/>
        <v>117305.3674765</v>
      </c>
      <c r="DK19" s="5">
        <f t="shared" si="64"/>
        <v>863055.4249765</v>
      </c>
      <c r="DL19" s="35">
        <f t="shared" si="65"/>
        <v>9352.375662</v>
      </c>
      <c r="DM19" s="5"/>
      <c r="DN19" s="35">
        <f t="shared" si="110"/>
        <v>6215.562</v>
      </c>
      <c r="DO19" s="35">
        <f t="shared" si="66"/>
        <v>977.6985963999999</v>
      </c>
      <c r="DP19" s="5">
        <f t="shared" si="67"/>
        <v>7193.2605963999995</v>
      </c>
      <c r="DQ19" s="35">
        <f t="shared" si="68"/>
        <v>77.9487312</v>
      </c>
      <c r="DR19" s="5"/>
      <c r="DS19" s="35">
        <f t="shared" si="111"/>
        <v>238332.7935</v>
      </c>
      <c r="DT19" s="35">
        <f t="shared" si="69"/>
        <v>37489.3915757</v>
      </c>
      <c r="DU19" s="5">
        <f t="shared" si="70"/>
        <v>275822.1850757</v>
      </c>
      <c r="DV19" s="35">
        <f t="shared" si="71"/>
        <v>2988.9073356</v>
      </c>
      <c r="DW19" s="5"/>
      <c r="DX19" s="35">
        <f t="shared" si="112"/>
        <v>397654.47449999995</v>
      </c>
      <c r="DY19" s="35">
        <f t="shared" si="72"/>
        <v>62550.453453899994</v>
      </c>
      <c r="DZ19" s="5">
        <f t="shared" si="73"/>
        <v>460204.92795389995</v>
      </c>
      <c r="EA19" s="35">
        <f t="shared" si="74"/>
        <v>4986.944341199999</v>
      </c>
      <c r="EB19" s="5"/>
      <c r="EC19" s="35">
        <f t="shared" si="113"/>
        <v>340447.9545</v>
      </c>
      <c r="ED19" s="35">
        <f t="shared" si="75"/>
        <v>53551.9535099</v>
      </c>
      <c r="EE19" s="5">
        <f t="shared" si="76"/>
        <v>393999.9080099</v>
      </c>
      <c r="EF19" s="35">
        <f t="shared" si="77"/>
        <v>4269.5231892</v>
      </c>
      <c r="EG19" s="5"/>
      <c r="EH19" s="35">
        <f t="shared" si="114"/>
        <v>337585.0905</v>
      </c>
      <c r="EI19" s="35">
        <f t="shared" si="78"/>
        <v>53101.6292891</v>
      </c>
      <c r="EJ19" s="5">
        <f t="shared" si="79"/>
        <v>390686.7197891</v>
      </c>
      <c r="EK19" s="35">
        <f t="shared" si="80"/>
        <v>4233.6203028</v>
      </c>
      <c r="EL19" s="5"/>
      <c r="EM19" s="35">
        <f t="shared" si="115"/>
        <v>489482.48699999996</v>
      </c>
      <c r="EN19" s="35">
        <f t="shared" si="81"/>
        <v>76994.8623314</v>
      </c>
      <c r="EO19" s="35">
        <f t="shared" si="82"/>
        <v>566477.3493314</v>
      </c>
      <c r="EP19" s="35">
        <f t="shared" si="83"/>
        <v>6138.550111199999</v>
      </c>
      <c r="EQ19" s="5"/>
      <c r="ER19" s="35">
        <f t="shared" si="116"/>
        <v>620009.289</v>
      </c>
      <c r="ES19" s="35">
        <f t="shared" si="84"/>
        <v>97526.5328558</v>
      </c>
      <c r="ET19" s="35">
        <f t="shared" si="85"/>
        <v>717535.8218558</v>
      </c>
      <c r="EU19" s="35">
        <f t="shared" si="86"/>
        <v>7775.473466400001</v>
      </c>
      <c r="EV19" s="5"/>
      <c r="EW19" s="35">
        <f t="shared" si="117"/>
        <v>2860.9605</v>
      </c>
      <c r="EX19" s="35">
        <f t="shared" si="87"/>
        <v>450.0248031</v>
      </c>
      <c r="EY19" s="5">
        <f t="shared" si="88"/>
        <v>3310.9853031000002</v>
      </c>
      <c r="EZ19" s="35">
        <f t="shared" si="89"/>
        <v>35.8790148</v>
      </c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</row>
    <row r="20" spans="1:199" ht="12.75">
      <c r="A20" s="36">
        <v>45200</v>
      </c>
      <c r="C20" s="78"/>
      <c r="D20" s="78">
        <v>900108</v>
      </c>
      <c r="E20" s="34">
        <f t="shared" si="0"/>
        <v>900108</v>
      </c>
      <c r="F20" s="34">
        <v>79572</v>
      </c>
      <c r="H20" s="35"/>
      <c r="I20" s="35">
        <f t="shared" si="1"/>
        <v>200932.008948</v>
      </c>
      <c r="J20" s="35">
        <f t="shared" si="2"/>
        <v>200932.008948</v>
      </c>
      <c r="K20" s="35">
        <f>'Academic Project '!K20</f>
        <v>17762.937132</v>
      </c>
      <c r="M20" s="35"/>
      <c r="N20" s="34">
        <f t="shared" si="3"/>
        <v>699175.9910520001</v>
      </c>
      <c r="O20" s="5">
        <f t="shared" si="4"/>
        <v>699175.9910520001</v>
      </c>
      <c r="P20" s="34">
        <f t="shared" si="5"/>
        <v>61809.062867999986</v>
      </c>
      <c r="R20" s="35"/>
      <c r="S20" s="35">
        <f t="shared" si="6"/>
        <v>195.5034576</v>
      </c>
      <c r="T20" s="5">
        <f t="shared" si="7"/>
        <v>195.5034576</v>
      </c>
      <c r="U20" s="35">
        <f t="shared" si="8"/>
        <v>17.2830384</v>
      </c>
      <c r="W20" s="35"/>
      <c r="X20" s="35">
        <f t="shared" si="9"/>
        <v>20805.546366</v>
      </c>
      <c r="Y20" s="5">
        <f t="shared" si="10"/>
        <v>20805.546366</v>
      </c>
      <c r="Z20" s="35">
        <f t="shared" si="11"/>
        <v>1839.266994</v>
      </c>
      <c r="AB20" s="35"/>
      <c r="AC20" s="35">
        <f t="shared" si="12"/>
        <v>1276.6231764</v>
      </c>
      <c r="AD20" s="35">
        <f t="shared" si="13"/>
        <v>1276.6231764</v>
      </c>
      <c r="AE20" s="35">
        <f t="shared" si="14"/>
        <v>112.85696759999999</v>
      </c>
      <c r="AG20" s="35"/>
      <c r="AH20" s="35">
        <f t="shared" si="15"/>
        <v>9233.2178532</v>
      </c>
      <c r="AI20" s="5">
        <f t="shared" si="16"/>
        <v>9233.2178532</v>
      </c>
      <c r="AJ20" s="35">
        <f t="shared" si="17"/>
        <v>816.2416188000001</v>
      </c>
      <c r="AL20" s="35"/>
      <c r="AM20" s="35">
        <f t="shared" si="18"/>
        <v>7303.1162688</v>
      </c>
      <c r="AN20" s="5">
        <f t="shared" si="19"/>
        <v>7303.1162688</v>
      </c>
      <c r="AO20" s="35">
        <f t="shared" si="20"/>
        <v>645.6153792</v>
      </c>
      <c r="AQ20" s="35"/>
      <c r="AR20" s="35">
        <f t="shared" si="21"/>
        <v>1948.1937552</v>
      </c>
      <c r="AS20" s="5">
        <f t="shared" si="22"/>
        <v>1948.1937552</v>
      </c>
      <c r="AT20" s="35">
        <f t="shared" si="23"/>
        <v>172.2256368</v>
      </c>
      <c r="AV20" s="35"/>
      <c r="AW20" s="35">
        <f t="shared" si="24"/>
        <v>22028.5231056</v>
      </c>
      <c r="AX20" s="5">
        <f t="shared" si="25"/>
        <v>22028.5231056</v>
      </c>
      <c r="AY20" s="35">
        <f t="shared" si="26"/>
        <v>1947.3814704000001</v>
      </c>
      <c r="AZ20" s="5"/>
      <c r="BA20" s="35"/>
      <c r="BB20" s="35">
        <f t="shared" si="27"/>
        <v>387.3164724</v>
      </c>
      <c r="BC20" s="5">
        <f t="shared" si="28"/>
        <v>387.3164724</v>
      </c>
      <c r="BD20" s="35">
        <f t="shared" si="29"/>
        <v>34.2398316</v>
      </c>
      <c r="BE20" s="5"/>
      <c r="BF20" s="35"/>
      <c r="BG20" s="35">
        <f t="shared" si="30"/>
        <v>82.71992519999999</v>
      </c>
      <c r="BH20" s="5">
        <f t="shared" si="31"/>
        <v>82.71992519999999</v>
      </c>
      <c r="BI20" s="35">
        <f t="shared" si="32"/>
        <v>7.3126668</v>
      </c>
      <c r="BJ20" s="5"/>
      <c r="BK20" s="35"/>
      <c r="BL20" s="35">
        <f t="shared" si="33"/>
        <v>79114.092552</v>
      </c>
      <c r="BM20" s="5">
        <f t="shared" si="34"/>
        <v>79114.092552</v>
      </c>
      <c r="BN20" s="35">
        <f t="shared" si="35"/>
        <v>6993.901368</v>
      </c>
      <c r="BO20" s="5"/>
      <c r="BP20" s="35"/>
      <c r="BQ20" s="35">
        <f t="shared" si="36"/>
        <v>152.568306</v>
      </c>
      <c r="BR20" s="5">
        <f t="shared" si="37"/>
        <v>152.568306</v>
      </c>
      <c r="BS20" s="35">
        <f t="shared" si="38"/>
        <v>13.487454</v>
      </c>
      <c r="BT20" s="5"/>
      <c r="BU20" s="35"/>
      <c r="BV20" s="35">
        <f t="shared" si="39"/>
        <v>90.6408756</v>
      </c>
      <c r="BW20" s="5">
        <f t="shared" si="40"/>
        <v>90.6408756</v>
      </c>
      <c r="BX20" s="35">
        <f t="shared" si="41"/>
        <v>8.0129004</v>
      </c>
      <c r="BY20" s="5"/>
      <c r="BZ20" s="35"/>
      <c r="CA20" s="35">
        <f t="shared" si="42"/>
        <v>5655.5585856</v>
      </c>
      <c r="CB20" s="5">
        <f t="shared" si="43"/>
        <v>5655.5585856</v>
      </c>
      <c r="CC20" s="35">
        <f t="shared" si="44"/>
        <v>499.9667904</v>
      </c>
      <c r="CD20" s="5"/>
      <c r="CE20" s="35"/>
      <c r="CF20" s="35">
        <f t="shared" si="45"/>
        <v>597.4016796000001</v>
      </c>
      <c r="CG20" s="5">
        <f t="shared" si="46"/>
        <v>597.4016796000001</v>
      </c>
      <c r="CH20" s="35">
        <f t="shared" si="47"/>
        <v>52.8119364</v>
      </c>
      <c r="CI20" s="5"/>
      <c r="CJ20" s="35"/>
      <c r="CK20" s="35">
        <f t="shared" si="48"/>
        <v>1631.9858148</v>
      </c>
      <c r="CL20" s="5">
        <f t="shared" si="49"/>
        <v>1631.9858148</v>
      </c>
      <c r="CM20" s="35">
        <f t="shared" si="50"/>
        <v>144.2719932</v>
      </c>
      <c r="CN20" s="5"/>
      <c r="CO20" s="35"/>
      <c r="CP20" s="35">
        <f t="shared" si="51"/>
        <v>15963.5053908</v>
      </c>
      <c r="CQ20" s="35">
        <f t="shared" si="52"/>
        <v>15963.5053908</v>
      </c>
      <c r="CR20" s="35">
        <f t="shared" si="53"/>
        <v>1411.2173772</v>
      </c>
      <c r="CS20" s="5"/>
      <c r="CT20" s="35"/>
      <c r="CU20" s="35">
        <f t="shared" si="54"/>
        <v>2204.5445136</v>
      </c>
      <c r="CV20" s="35">
        <f t="shared" si="55"/>
        <v>2204.5445136</v>
      </c>
      <c r="CW20" s="35">
        <f t="shared" si="56"/>
        <v>194.88774239999998</v>
      </c>
      <c r="CX20" s="5"/>
      <c r="CY20" s="35"/>
      <c r="CZ20" s="35">
        <f t="shared" si="57"/>
        <v>8806.656672</v>
      </c>
      <c r="DA20" s="5">
        <f t="shared" si="58"/>
        <v>8806.656672</v>
      </c>
      <c r="DB20" s="35">
        <f t="shared" si="59"/>
        <v>778.5324479999999</v>
      </c>
      <c r="DC20" s="5"/>
      <c r="DD20" s="35"/>
      <c r="DE20" s="35">
        <f t="shared" si="60"/>
        <v>70815.9969</v>
      </c>
      <c r="DF20" s="35">
        <f t="shared" si="61"/>
        <v>70815.9969</v>
      </c>
      <c r="DG20" s="35">
        <f t="shared" si="62"/>
        <v>6260.3270999999995</v>
      </c>
      <c r="DH20" s="5"/>
      <c r="DI20" s="35"/>
      <c r="DJ20" s="35">
        <f t="shared" si="63"/>
        <v>105792.843618</v>
      </c>
      <c r="DK20" s="5">
        <f t="shared" si="64"/>
        <v>105792.843618</v>
      </c>
      <c r="DL20" s="35">
        <f t="shared" si="65"/>
        <v>9352.375662</v>
      </c>
      <c r="DM20" s="5"/>
      <c r="DN20" s="35"/>
      <c r="DO20" s="35">
        <f t="shared" si="66"/>
        <v>881.7457968</v>
      </c>
      <c r="DP20" s="5">
        <f t="shared" si="67"/>
        <v>881.7457968</v>
      </c>
      <c r="DQ20" s="35">
        <f t="shared" si="68"/>
        <v>77.9487312</v>
      </c>
      <c r="DR20" s="5"/>
      <c r="DS20" s="35"/>
      <c r="DT20" s="35">
        <f t="shared" si="69"/>
        <v>33810.1267284</v>
      </c>
      <c r="DU20" s="5">
        <f t="shared" si="70"/>
        <v>33810.1267284</v>
      </c>
      <c r="DV20" s="35">
        <f t="shared" si="71"/>
        <v>2988.9073356</v>
      </c>
      <c r="DW20" s="5"/>
      <c r="DX20" s="35"/>
      <c r="DY20" s="35">
        <f t="shared" si="72"/>
        <v>56411.6585868</v>
      </c>
      <c r="DZ20" s="5">
        <f t="shared" si="73"/>
        <v>56411.6585868</v>
      </c>
      <c r="EA20" s="35">
        <f t="shared" si="74"/>
        <v>4986.944341199999</v>
      </c>
      <c r="EB20" s="5"/>
      <c r="EC20" s="35"/>
      <c r="ED20" s="35">
        <f t="shared" si="75"/>
        <v>48296.2848588</v>
      </c>
      <c r="EE20" s="5">
        <f t="shared" si="76"/>
        <v>48296.2848588</v>
      </c>
      <c r="EF20" s="35">
        <f t="shared" si="77"/>
        <v>4269.5231892</v>
      </c>
      <c r="EG20" s="5"/>
      <c r="EH20" s="35"/>
      <c r="EI20" s="35">
        <f t="shared" si="78"/>
        <v>47890.1561292</v>
      </c>
      <c r="EJ20" s="5">
        <f t="shared" si="79"/>
        <v>47890.1561292</v>
      </c>
      <c r="EK20" s="35">
        <f t="shared" si="80"/>
        <v>4233.6203028</v>
      </c>
      <c r="EL20" s="5"/>
      <c r="EM20" s="35"/>
      <c r="EN20" s="35">
        <f t="shared" si="81"/>
        <v>69438.4716168</v>
      </c>
      <c r="EO20" s="35">
        <f t="shared" si="82"/>
        <v>69438.4716168</v>
      </c>
      <c r="EP20" s="35">
        <f t="shared" si="83"/>
        <v>6138.550111199999</v>
      </c>
      <c r="EQ20" s="5"/>
      <c r="ER20" s="35"/>
      <c r="ES20" s="35">
        <f t="shared" si="84"/>
        <v>87955.1333496</v>
      </c>
      <c r="ET20" s="35">
        <f t="shared" si="85"/>
        <v>87955.1333496</v>
      </c>
      <c r="EU20" s="35">
        <f t="shared" si="86"/>
        <v>7775.473466400001</v>
      </c>
      <c r="EV20" s="5"/>
      <c r="EW20" s="35"/>
      <c r="EX20" s="35">
        <f t="shared" si="87"/>
        <v>405.8586972</v>
      </c>
      <c r="EY20" s="5">
        <f t="shared" si="88"/>
        <v>405.8586972</v>
      </c>
      <c r="EZ20" s="35">
        <f t="shared" si="89"/>
        <v>35.8790148</v>
      </c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</row>
    <row r="21" spans="1:199" ht="12.75">
      <c r="A21" s="36">
        <v>45383</v>
      </c>
      <c r="C21" s="78">
        <v>6545000</v>
      </c>
      <c r="D21" s="78">
        <v>900108</v>
      </c>
      <c r="E21" s="34">
        <f t="shared" si="0"/>
        <v>7445108</v>
      </c>
      <c r="F21" s="34">
        <v>79572</v>
      </c>
      <c r="H21" s="35">
        <f t="shared" si="90"/>
        <v>1461046.895</v>
      </c>
      <c r="I21" s="35">
        <f t="shared" si="1"/>
        <v>200932.008948</v>
      </c>
      <c r="J21" s="35">
        <f t="shared" si="2"/>
        <v>1661978.903948</v>
      </c>
      <c r="K21" s="35">
        <f>'Academic Project '!K21</f>
        <v>17762.937132</v>
      </c>
      <c r="M21" s="35">
        <f>R21+W21+AB21+AG21+AL21+AQ21+AV21+BA21+BF21+BK21+BP21+BU21+BZ21+CE21+CO21+CT21+CY21+DD21+DI21+DN21+DS21+DX21+EC21+EH21+CJ21+EM21+ER21+EW21+FB21</f>
        <v>5083953.1049999995</v>
      </c>
      <c r="N21" s="34">
        <f t="shared" si="3"/>
        <v>699175.9910520001</v>
      </c>
      <c r="O21" s="5">
        <f t="shared" si="4"/>
        <v>5783129.096051999</v>
      </c>
      <c r="P21" s="34">
        <f t="shared" si="5"/>
        <v>61809.062867999986</v>
      </c>
      <c r="R21" s="35">
        <f t="shared" si="91"/>
        <v>1421.574</v>
      </c>
      <c r="S21" s="35">
        <f t="shared" si="6"/>
        <v>195.5034576</v>
      </c>
      <c r="T21" s="5">
        <f t="shared" si="7"/>
        <v>1617.0774576000001</v>
      </c>
      <c r="U21" s="35">
        <f t="shared" si="8"/>
        <v>17.2830384</v>
      </c>
      <c r="W21" s="35">
        <f t="shared" si="92"/>
        <v>151284.4025</v>
      </c>
      <c r="X21" s="35">
        <f t="shared" si="9"/>
        <v>20805.546366</v>
      </c>
      <c r="Y21" s="5">
        <f t="shared" si="10"/>
        <v>172089.948866</v>
      </c>
      <c r="Z21" s="35">
        <f t="shared" si="11"/>
        <v>1839.266994</v>
      </c>
      <c r="AB21" s="35">
        <f t="shared" si="93"/>
        <v>9282.7735</v>
      </c>
      <c r="AC21" s="35">
        <f t="shared" si="12"/>
        <v>1276.6231764</v>
      </c>
      <c r="AD21" s="35">
        <f t="shared" si="13"/>
        <v>10559.3966764</v>
      </c>
      <c r="AE21" s="35">
        <f t="shared" si="14"/>
        <v>112.85696759999999</v>
      </c>
      <c r="AG21" s="35">
        <f t="shared" si="94"/>
        <v>67137.9555</v>
      </c>
      <c r="AH21" s="35">
        <f t="shared" si="15"/>
        <v>9233.2178532</v>
      </c>
      <c r="AI21" s="5">
        <f t="shared" si="16"/>
        <v>76371.17335319999</v>
      </c>
      <c r="AJ21" s="35">
        <f t="shared" si="17"/>
        <v>816.2416188000001</v>
      </c>
      <c r="AL21" s="35">
        <f t="shared" si="95"/>
        <v>53103.512</v>
      </c>
      <c r="AM21" s="35">
        <f t="shared" si="18"/>
        <v>7303.1162688</v>
      </c>
      <c r="AN21" s="5">
        <f t="shared" si="19"/>
        <v>60406.62826880001</v>
      </c>
      <c r="AO21" s="35">
        <f t="shared" si="20"/>
        <v>645.6153792</v>
      </c>
      <c r="AQ21" s="35">
        <f t="shared" si="96"/>
        <v>14165.998</v>
      </c>
      <c r="AR21" s="35">
        <f t="shared" si="21"/>
        <v>1948.1937552</v>
      </c>
      <c r="AS21" s="5">
        <f t="shared" si="22"/>
        <v>16114.1917552</v>
      </c>
      <c r="AT21" s="35">
        <f t="shared" si="23"/>
        <v>172.2256368</v>
      </c>
      <c r="AV21" s="35">
        <f t="shared" si="97"/>
        <v>160177.094</v>
      </c>
      <c r="AW21" s="35">
        <f t="shared" si="24"/>
        <v>22028.5231056</v>
      </c>
      <c r="AX21" s="5">
        <f t="shared" si="25"/>
        <v>182205.61710560002</v>
      </c>
      <c r="AY21" s="35">
        <f t="shared" si="26"/>
        <v>1947.3814704000001</v>
      </c>
      <c r="AZ21" s="5"/>
      <c r="BA21" s="35">
        <f t="shared" si="98"/>
        <v>2816.3135</v>
      </c>
      <c r="BB21" s="35">
        <f t="shared" si="27"/>
        <v>387.3164724</v>
      </c>
      <c r="BC21" s="5">
        <f t="shared" si="28"/>
        <v>3203.6299724</v>
      </c>
      <c r="BD21" s="35">
        <f t="shared" si="29"/>
        <v>34.2398316</v>
      </c>
      <c r="BE21" s="5"/>
      <c r="BF21" s="35">
        <f t="shared" si="99"/>
        <v>601.4855</v>
      </c>
      <c r="BG21" s="35">
        <f t="shared" si="30"/>
        <v>82.71992519999999</v>
      </c>
      <c r="BH21" s="5">
        <f t="shared" si="31"/>
        <v>684.2054252</v>
      </c>
      <c r="BI21" s="35">
        <f t="shared" si="32"/>
        <v>7.3126668</v>
      </c>
      <c r="BJ21" s="5"/>
      <c r="BK21" s="35">
        <f t="shared" si="100"/>
        <v>575266.23</v>
      </c>
      <c r="BL21" s="35">
        <f t="shared" si="33"/>
        <v>79114.092552</v>
      </c>
      <c r="BM21" s="5">
        <f t="shared" si="34"/>
        <v>654380.3225519999</v>
      </c>
      <c r="BN21" s="35">
        <f t="shared" si="35"/>
        <v>6993.901368</v>
      </c>
      <c r="BO21" s="5"/>
      <c r="BP21" s="35">
        <f t="shared" si="101"/>
        <v>1109.3775</v>
      </c>
      <c r="BQ21" s="35">
        <f t="shared" si="36"/>
        <v>152.568306</v>
      </c>
      <c r="BR21" s="5">
        <f t="shared" si="37"/>
        <v>1261.9458060000002</v>
      </c>
      <c r="BS21" s="35">
        <f t="shared" si="38"/>
        <v>13.487454</v>
      </c>
      <c r="BT21" s="5"/>
      <c r="BU21" s="35">
        <f t="shared" si="102"/>
        <v>659.0815</v>
      </c>
      <c r="BV21" s="35">
        <f t="shared" si="39"/>
        <v>90.6408756</v>
      </c>
      <c r="BW21" s="5">
        <f t="shared" si="40"/>
        <v>749.7223756</v>
      </c>
      <c r="BX21" s="35">
        <f t="shared" si="41"/>
        <v>8.0129004</v>
      </c>
      <c r="BY21" s="5"/>
      <c r="BZ21" s="35">
        <f t="shared" si="103"/>
        <v>41123.544</v>
      </c>
      <c r="CA21" s="35">
        <f t="shared" si="42"/>
        <v>5655.5585856</v>
      </c>
      <c r="CB21" s="5">
        <f t="shared" si="43"/>
        <v>46779.102585600005</v>
      </c>
      <c r="CC21" s="35">
        <f t="shared" si="44"/>
        <v>499.9667904</v>
      </c>
      <c r="CD21" s="5"/>
      <c r="CE21" s="35">
        <f t="shared" si="104"/>
        <v>4343.9165</v>
      </c>
      <c r="CF21" s="35">
        <f t="shared" si="45"/>
        <v>597.4016796000001</v>
      </c>
      <c r="CG21" s="5">
        <f t="shared" si="46"/>
        <v>4941.318179600001</v>
      </c>
      <c r="CH21" s="35">
        <f t="shared" si="47"/>
        <v>52.8119364</v>
      </c>
      <c r="CI21" s="5"/>
      <c r="CJ21" s="35">
        <f>$C21*CK$6</f>
        <v>11866.7395</v>
      </c>
      <c r="CK21" s="35">
        <f t="shared" si="48"/>
        <v>1631.9858148</v>
      </c>
      <c r="CL21" s="5">
        <f t="shared" si="49"/>
        <v>13498.7253148</v>
      </c>
      <c r="CM21" s="35">
        <f t="shared" si="50"/>
        <v>144.2719932</v>
      </c>
      <c r="CN21" s="5"/>
      <c r="CO21" s="35">
        <f t="shared" si="105"/>
        <v>116076.2295</v>
      </c>
      <c r="CP21" s="35">
        <f t="shared" si="51"/>
        <v>15963.5053908</v>
      </c>
      <c r="CQ21" s="35">
        <f t="shared" si="52"/>
        <v>132039.7348908</v>
      </c>
      <c r="CR21" s="35">
        <f t="shared" si="53"/>
        <v>1411.2173772</v>
      </c>
      <c r="CS21" s="5"/>
      <c r="CT21" s="35">
        <f t="shared" si="106"/>
        <v>16030.014</v>
      </c>
      <c r="CU21" s="35">
        <f t="shared" si="54"/>
        <v>2204.5445136</v>
      </c>
      <c r="CV21" s="35">
        <f t="shared" si="55"/>
        <v>18234.5585136</v>
      </c>
      <c r="CW21" s="35">
        <f t="shared" si="56"/>
        <v>194.88774239999998</v>
      </c>
      <c r="CX21" s="5"/>
      <c r="CY21" s="35">
        <f t="shared" si="107"/>
        <v>64036.28</v>
      </c>
      <c r="CZ21" s="35">
        <f t="shared" si="57"/>
        <v>8806.656672</v>
      </c>
      <c r="DA21" s="5">
        <f t="shared" si="58"/>
        <v>72842.936672</v>
      </c>
      <c r="DB21" s="35">
        <f t="shared" si="59"/>
        <v>778.5324479999999</v>
      </c>
      <c r="DC21" s="5"/>
      <c r="DD21" s="35">
        <f t="shared" si="108"/>
        <v>514927.87499999994</v>
      </c>
      <c r="DE21" s="35">
        <f t="shared" si="60"/>
        <v>70815.9969</v>
      </c>
      <c r="DF21" s="35">
        <f t="shared" si="61"/>
        <v>585743.8718999999</v>
      </c>
      <c r="DG21" s="35">
        <f t="shared" si="62"/>
        <v>6260.3270999999995</v>
      </c>
      <c r="DH21" s="5"/>
      <c r="DI21" s="35">
        <f t="shared" si="109"/>
        <v>769256.7575</v>
      </c>
      <c r="DJ21" s="35">
        <f t="shared" si="63"/>
        <v>105792.843618</v>
      </c>
      <c r="DK21" s="5">
        <f t="shared" si="64"/>
        <v>875049.601118</v>
      </c>
      <c r="DL21" s="35">
        <f t="shared" si="65"/>
        <v>9352.375662</v>
      </c>
      <c r="DM21" s="5"/>
      <c r="DN21" s="35">
        <f t="shared" si="110"/>
        <v>6411.482</v>
      </c>
      <c r="DO21" s="35">
        <f t="shared" si="66"/>
        <v>881.7457968</v>
      </c>
      <c r="DP21" s="5">
        <f t="shared" si="67"/>
        <v>7293.2277968</v>
      </c>
      <c r="DQ21" s="35">
        <f t="shared" si="68"/>
        <v>77.9487312</v>
      </c>
      <c r="DR21" s="5"/>
      <c r="DS21" s="35">
        <f t="shared" si="111"/>
        <v>245845.2535</v>
      </c>
      <c r="DT21" s="35">
        <f t="shared" si="69"/>
        <v>33810.1267284</v>
      </c>
      <c r="DU21" s="5">
        <f t="shared" si="70"/>
        <v>279655.3802284</v>
      </c>
      <c r="DV21" s="35">
        <f t="shared" si="71"/>
        <v>2988.9073356</v>
      </c>
      <c r="DW21" s="5"/>
      <c r="DX21" s="35">
        <f t="shared" si="112"/>
        <v>410188.89449999994</v>
      </c>
      <c r="DY21" s="35">
        <f t="shared" si="72"/>
        <v>56411.6585868</v>
      </c>
      <c r="DZ21" s="5">
        <f t="shared" si="73"/>
        <v>466600.5530867999</v>
      </c>
      <c r="EA21" s="35">
        <f t="shared" si="74"/>
        <v>4986.944341199999</v>
      </c>
      <c r="EB21" s="5"/>
      <c r="EC21" s="35">
        <f t="shared" si="113"/>
        <v>351179.17449999996</v>
      </c>
      <c r="ED21" s="35">
        <f t="shared" si="75"/>
        <v>48296.2848588</v>
      </c>
      <c r="EE21" s="5">
        <f t="shared" si="76"/>
        <v>399475.45935879997</v>
      </c>
      <c r="EF21" s="35">
        <f t="shared" si="77"/>
        <v>4269.5231892</v>
      </c>
      <c r="EG21" s="5"/>
      <c r="EH21" s="35">
        <f t="shared" si="114"/>
        <v>348226.0705</v>
      </c>
      <c r="EI21" s="35">
        <f t="shared" si="78"/>
        <v>47890.1561292</v>
      </c>
      <c r="EJ21" s="5">
        <f t="shared" si="79"/>
        <v>396116.2266292</v>
      </c>
      <c r="EK21" s="35">
        <f t="shared" si="80"/>
        <v>4233.6203028</v>
      </c>
      <c r="EL21" s="5"/>
      <c r="EM21" s="35">
        <f t="shared" si="115"/>
        <v>504911.40699999995</v>
      </c>
      <c r="EN21" s="35">
        <f t="shared" si="81"/>
        <v>69438.4716168</v>
      </c>
      <c r="EO21" s="35">
        <f t="shared" si="82"/>
        <v>574349.8786168</v>
      </c>
      <c r="EP21" s="35">
        <f t="shared" si="83"/>
        <v>6138.550111199999</v>
      </c>
      <c r="EQ21" s="5"/>
      <c r="ER21" s="35">
        <f t="shared" si="116"/>
        <v>639552.529</v>
      </c>
      <c r="ES21" s="35">
        <f t="shared" si="84"/>
        <v>87955.1333496</v>
      </c>
      <c r="ET21" s="35">
        <f t="shared" si="85"/>
        <v>727507.6623496</v>
      </c>
      <c r="EU21" s="35">
        <f t="shared" si="86"/>
        <v>7775.473466400001</v>
      </c>
      <c r="EV21" s="5"/>
      <c r="EW21" s="35">
        <f t="shared" si="117"/>
        <v>2951.1405</v>
      </c>
      <c r="EX21" s="35">
        <f t="shared" si="87"/>
        <v>405.8586972</v>
      </c>
      <c r="EY21" s="5">
        <f t="shared" si="88"/>
        <v>3356.9991972</v>
      </c>
      <c r="EZ21" s="35">
        <f t="shared" si="89"/>
        <v>35.8790148</v>
      </c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</row>
    <row r="22" spans="1:199" ht="12.75">
      <c r="A22" s="36">
        <v>45566</v>
      </c>
      <c r="C22" s="78"/>
      <c r="D22" s="78">
        <v>794816</v>
      </c>
      <c r="E22" s="34">
        <f t="shared" si="0"/>
        <v>794816</v>
      </c>
      <c r="F22" s="34">
        <v>79572</v>
      </c>
      <c r="H22" s="35"/>
      <c r="I22" s="35">
        <f t="shared" si="1"/>
        <v>177427.570496</v>
      </c>
      <c r="J22" s="35">
        <f t="shared" si="2"/>
        <v>177427.570496</v>
      </c>
      <c r="K22" s="35">
        <f>'Academic Project '!K22</f>
        <v>17762.937132</v>
      </c>
      <c r="M22" s="35"/>
      <c r="N22" s="34">
        <f t="shared" si="3"/>
        <v>617388.429504</v>
      </c>
      <c r="O22" s="5">
        <f t="shared" si="4"/>
        <v>617388.429504</v>
      </c>
      <c r="P22" s="34">
        <f t="shared" si="5"/>
        <v>61809.062867999986</v>
      </c>
      <c r="R22" s="35"/>
      <c r="S22" s="35">
        <f t="shared" si="6"/>
        <v>172.6340352</v>
      </c>
      <c r="T22" s="5">
        <f t="shared" si="7"/>
        <v>172.6340352</v>
      </c>
      <c r="U22" s="35">
        <f t="shared" si="8"/>
        <v>17.2830384</v>
      </c>
      <c r="W22" s="35"/>
      <c r="X22" s="35">
        <f t="shared" si="9"/>
        <v>18371.774432</v>
      </c>
      <c r="Y22" s="5">
        <f t="shared" si="10"/>
        <v>18371.774432</v>
      </c>
      <c r="Z22" s="35">
        <f t="shared" si="11"/>
        <v>1839.266994</v>
      </c>
      <c r="AB22" s="35"/>
      <c r="AC22" s="35">
        <f t="shared" si="12"/>
        <v>1127.2875328</v>
      </c>
      <c r="AD22" s="35">
        <f t="shared" si="13"/>
        <v>1127.2875328</v>
      </c>
      <c r="AE22" s="35">
        <f t="shared" si="14"/>
        <v>112.85696759999999</v>
      </c>
      <c r="AG22" s="35"/>
      <c r="AH22" s="35">
        <f t="shared" si="15"/>
        <v>8153.1430464000005</v>
      </c>
      <c r="AI22" s="5">
        <f t="shared" si="16"/>
        <v>8153.1430464000005</v>
      </c>
      <c r="AJ22" s="35">
        <f t="shared" si="17"/>
        <v>816.2416188000001</v>
      </c>
      <c r="AL22" s="35"/>
      <c r="AM22" s="35">
        <f t="shared" si="18"/>
        <v>6448.8190976000005</v>
      </c>
      <c r="AN22" s="5">
        <f t="shared" si="19"/>
        <v>6448.8190976000005</v>
      </c>
      <c r="AO22" s="35">
        <f t="shared" si="20"/>
        <v>645.6153792</v>
      </c>
      <c r="AQ22" s="35"/>
      <c r="AR22" s="35">
        <f t="shared" si="21"/>
        <v>1720.2997504</v>
      </c>
      <c r="AS22" s="5">
        <f t="shared" si="22"/>
        <v>1720.2997504</v>
      </c>
      <c r="AT22" s="35">
        <f t="shared" si="23"/>
        <v>172.2256368</v>
      </c>
      <c r="AV22" s="35"/>
      <c r="AW22" s="35">
        <f t="shared" si="24"/>
        <v>19451.6909312</v>
      </c>
      <c r="AX22" s="5">
        <f t="shared" si="25"/>
        <v>19451.6909312</v>
      </c>
      <c r="AY22" s="35">
        <f t="shared" si="26"/>
        <v>1947.3814704000001</v>
      </c>
      <c r="AZ22" s="5"/>
      <c r="BA22" s="35"/>
      <c r="BB22" s="35">
        <f t="shared" si="27"/>
        <v>342.0093248</v>
      </c>
      <c r="BC22" s="5">
        <f t="shared" si="28"/>
        <v>342.0093248</v>
      </c>
      <c r="BD22" s="35">
        <f t="shared" si="29"/>
        <v>34.2398316</v>
      </c>
      <c r="BE22" s="5"/>
      <c r="BF22" s="35"/>
      <c r="BG22" s="35">
        <f t="shared" si="30"/>
        <v>73.0435904</v>
      </c>
      <c r="BH22" s="5">
        <f t="shared" si="31"/>
        <v>73.0435904</v>
      </c>
      <c r="BI22" s="35">
        <f t="shared" si="32"/>
        <v>7.3126668</v>
      </c>
      <c r="BJ22" s="5"/>
      <c r="BK22" s="35"/>
      <c r="BL22" s="35">
        <f t="shared" si="33"/>
        <v>69859.557504</v>
      </c>
      <c r="BM22" s="5">
        <f t="shared" si="34"/>
        <v>69859.557504</v>
      </c>
      <c r="BN22" s="35">
        <f t="shared" si="35"/>
        <v>6993.901368</v>
      </c>
      <c r="BO22" s="5"/>
      <c r="BP22" s="35"/>
      <c r="BQ22" s="35">
        <f t="shared" si="36"/>
        <v>134.721312</v>
      </c>
      <c r="BR22" s="5">
        <f t="shared" si="37"/>
        <v>134.721312</v>
      </c>
      <c r="BS22" s="35">
        <f t="shared" si="38"/>
        <v>13.487454</v>
      </c>
      <c r="BT22" s="5"/>
      <c r="BU22" s="35"/>
      <c r="BV22" s="35">
        <f t="shared" si="39"/>
        <v>80.0379712</v>
      </c>
      <c r="BW22" s="5">
        <f t="shared" si="40"/>
        <v>80.0379712</v>
      </c>
      <c r="BX22" s="35">
        <f t="shared" si="41"/>
        <v>8.0129004</v>
      </c>
      <c r="BY22" s="5"/>
      <c r="BZ22" s="35"/>
      <c r="CA22" s="35">
        <f t="shared" si="42"/>
        <v>4993.9878912</v>
      </c>
      <c r="CB22" s="5">
        <f t="shared" si="43"/>
        <v>4993.9878912</v>
      </c>
      <c r="CC22" s="35">
        <f t="shared" si="44"/>
        <v>499.9667904</v>
      </c>
      <c r="CD22" s="5"/>
      <c r="CE22" s="35"/>
      <c r="CF22" s="35">
        <f t="shared" si="45"/>
        <v>527.5193792</v>
      </c>
      <c r="CG22" s="5">
        <f t="shared" si="46"/>
        <v>527.5193792</v>
      </c>
      <c r="CH22" s="35">
        <f t="shared" si="47"/>
        <v>52.8119364</v>
      </c>
      <c r="CI22" s="5"/>
      <c r="CJ22" s="35"/>
      <c r="CK22" s="35">
        <f t="shared" si="48"/>
        <v>1441.0808896</v>
      </c>
      <c r="CL22" s="5">
        <f t="shared" si="49"/>
        <v>1441.0808896</v>
      </c>
      <c r="CM22" s="35">
        <f t="shared" si="50"/>
        <v>144.2719932</v>
      </c>
      <c r="CN22" s="5"/>
      <c r="CO22" s="35"/>
      <c r="CP22" s="35">
        <f t="shared" si="51"/>
        <v>14096.1412416</v>
      </c>
      <c r="CQ22" s="35">
        <f t="shared" si="52"/>
        <v>14096.1412416</v>
      </c>
      <c r="CR22" s="35">
        <f t="shared" si="53"/>
        <v>1411.2173772</v>
      </c>
      <c r="CS22" s="5"/>
      <c r="CT22" s="35"/>
      <c r="CU22" s="35">
        <f t="shared" si="54"/>
        <v>1946.6633471999999</v>
      </c>
      <c r="CV22" s="35">
        <f t="shared" si="55"/>
        <v>1946.6633471999999</v>
      </c>
      <c r="CW22" s="35">
        <f t="shared" si="56"/>
        <v>194.88774239999998</v>
      </c>
      <c r="CX22" s="5"/>
      <c r="CY22" s="35"/>
      <c r="CZ22" s="35">
        <f t="shared" si="57"/>
        <v>7776.479743999999</v>
      </c>
      <c r="DA22" s="5">
        <f t="shared" si="58"/>
        <v>7776.479743999999</v>
      </c>
      <c r="DB22" s="35">
        <f t="shared" si="59"/>
        <v>778.5324479999999</v>
      </c>
      <c r="DC22" s="5"/>
      <c r="DD22" s="35"/>
      <c r="DE22" s="35">
        <f t="shared" si="60"/>
        <v>62532.148799999995</v>
      </c>
      <c r="DF22" s="35">
        <f t="shared" si="61"/>
        <v>62532.148799999995</v>
      </c>
      <c r="DG22" s="35">
        <f t="shared" si="62"/>
        <v>6260.3270999999995</v>
      </c>
      <c r="DH22" s="5"/>
      <c r="DI22" s="35"/>
      <c r="DJ22" s="35">
        <f t="shared" si="63"/>
        <v>93417.506336</v>
      </c>
      <c r="DK22" s="5">
        <f t="shared" si="64"/>
        <v>93417.506336</v>
      </c>
      <c r="DL22" s="35">
        <f t="shared" si="65"/>
        <v>9352.375662</v>
      </c>
      <c r="DM22" s="5"/>
      <c r="DN22" s="35"/>
      <c r="DO22" s="35">
        <f t="shared" si="66"/>
        <v>778.6017535999999</v>
      </c>
      <c r="DP22" s="5">
        <f t="shared" si="67"/>
        <v>778.6017535999999</v>
      </c>
      <c r="DQ22" s="35">
        <f t="shared" si="68"/>
        <v>77.9487312</v>
      </c>
      <c r="DR22" s="5"/>
      <c r="DS22" s="35"/>
      <c r="DT22" s="35">
        <f t="shared" si="69"/>
        <v>29855.1170368</v>
      </c>
      <c r="DU22" s="5">
        <f t="shared" si="70"/>
        <v>29855.1170368</v>
      </c>
      <c r="DV22" s="35">
        <f t="shared" si="71"/>
        <v>2988.9073356</v>
      </c>
      <c r="DW22" s="5"/>
      <c r="DX22" s="35"/>
      <c r="DY22" s="35">
        <f t="shared" si="72"/>
        <v>49812.78783359999</v>
      </c>
      <c r="DZ22" s="5">
        <f t="shared" si="73"/>
        <v>49812.78783359999</v>
      </c>
      <c r="EA22" s="35">
        <f t="shared" si="74"/>
        <v>4986.944341199999</v>
      </c>
      <c r="EB22" s="5"/>
      <c r="EC22" s="35"/>
      <c r="ED22" s="35">
        <f t="shared" si="75"/>
        <v>42646.7267776</v>
      </c>
      <c r="EE22" s="5">
        <f t="shared" si="76"/>
        <v>42646.7267776</v>
      </c>
      <c r="EF22" s="35">
        <f t="shared" si="77"/>
        <v>4269.5231892</v>
      </c>
      <c r="EG22" s="5"/>
      <c r="EH22" s="35"/>
      <c r="EI22" s="35">
        <f t="shared" si="78"/>
        <v>42288.1057984</v>
      </c>
      <c r="EJ22" s="5">
        <f t="shared" si="79"/>
        <v>42288.1057984</v>
      </c>
      <c r="EK22" s="35">
        <f t="shared" si="80"/>
        <v>4233.6203028</v>
      </c>
      <c r="EL22" s="5"/>
      <c r="EM22" s="35"/>
      <c r="EN22" s="35">
        <f t="shared" si="81"/>
        <v>61315.762393599995</v>
      </c>
      <c r="EO22" s="35">
        <f t="shared" si="82"/>
        <v>61315.762393599995</v>
      </c>
      <c r="EP22" s="35">
        <f t="shared" si="83"/>
        <v>6138.550111199999</v>
      </c>
      <c r="EQ22" s="5"/>
      <c r="ER22" s="35"/>
      <c r="ES22" s="35">
        <f t="shared" si="84"/>
        <v>77666.3992192</v>
      </c>
      <c r="ET22" s="35">
        <f t="shared" si="85"/>
        <v>77666.3992192</v>
      </c>
      <c r="EU22" s="35">
        <f t="shared" si="86"/>
        <v>7775.473466400001</v>
      </c>
      <c r="EV22" s="5"/>
      <c r="EW22" s="35"/>
      <c r="EX22" s="35">
        <f t="shared" si="87"/>
        <v>358.3825344</v>
      </c>
      <c r="EY22" s="5">
        <f t="shared" si="88"/>
        <v>358.3825344</v>
      </c>
      <c r="EZ22" s="35">
        <f t="shared" si="89"/>
        <v>35.8790148</v>
      </c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</row>
    <row r="23" spans="1:199" ht="12.75">
      <c r="A23" s="36">
        <v>45748</v>
      </c>
      <c r="C23" s="78">
        <v>6755000</v>
      </c>
      <c r="D23" s="78">
        <v>794816</v>
      </c>
      <c r="E23" s="34">
        <f t="shared" si="0"/>
        <v>7549816</v>
      </c>
      <c r="F23" s="34">
        <v>79572</v>
      </c>
      <c r="H23" s="35">
        <f t="shared" si="90"/>
        <v>1507925.405</v>
      </c>
      <c r="I23" s="35">
        <f t="shared" si="1"/>
        <v>177427.570496</v>
      </c>
      <c r="J23" s="35">
        <f t="shared" si="2"/>
        <v>1685352.9754960001</v>
      </c>
      <c r="K23" s="35">
        <f>'Academic Project '!K23</f>
        <v>17762.937132</v>
      </c>
      <c r="M23" s="35">
        <f>R23+W23+AB23+AG23+AL23+AQ23+AV23+BA23+BF23+BK23+BP23+BU23+BZ23+CE23+CO23+CT23+CY23+DD23+DI23+DN23+DS23+DX23+EC23+EH23+CJ23+EM23+ER23+EW23+FB23</f>
        <v>5247074.594999999</v>
      </c>
      <c r="N23" s="34">
        <f t="shared" si="3"/>
        <v>617388.429504</v>
      </c>
      <c r="O23" s="5">
        <f t="shared" si="4"/>
        <v>5864463.024503998</v>
      </c>
      <c r="P23" s="34">
        <f t="shared" si="5"/>
        <v>61809.062867999986</v>
      </c>
      <c r="R23" s="35">
        <f t="shared" si="91"/>
        <v>1467.186</v>
      </c>
      <c r="S23" s="35">
        <f t="shared" si="6"/>
        <v>172.6340352</v>
      </c>
      <c r="T23" s="5">
        <f t="shared" si="7"/>
        <v>1639.8200352</v>
      </c>
      <c r="U23" s="35">
        <f t="shared" si="8"/>
        <v>17.2830384</v>
      </c>
      <c r="W23" s="35">
        <f t="shared" si="92"/>
        <v>156138.4475</v>
      </c>
      <c r="X23" s="35">
        <f t="shared" si="9"/>
        <v>18371.774432</v>
      </c>
      <c r="Y23" s="5">
        <f t="shared" si="10"/>
        <v>174510.22193200001</v>
      </c>
      <c r="Z23" s="35">
        <f t="shared" si="11"/>
        <v>1839.266994</v>
      </c>
      <c r="AB23" s="35">
        <f t="shared" si="93"/>
        <v>9580.6165</v>
      </c>
      <c r="AC23" s="35">
        <f t="shared" si="12"/>
        <v>1127.2875328</v>
      </c>
      <c r="AD23" s="35">
        <f t="shared" si="13"/>
        <v>10707.904032800001</v>
      </c>
      <c r="AE23" s="35">
        <f t="shared" si="14"/>
        <v>112.85696759999999</v>
      </c>
      <c r="AG23" s="35">
        <f t="shared" si="94"/>
        <v>69292.1145</v>
      </c>
      <c r="AH23" s="35">
        <f t="shared" si="15"/>
        <v>8153.1430464000005</v>
      </c>
      <c r="AI23" s="5">
        <f t="shared" si="16"/>
        <v>77445.2575464</v>
      </c>
      <c r="AJ23" s="35">
        <f t="shared" si="17"/>
        <v>816.2416188000001</v>
      </c>
      <c r="AL23" s="35">
        <f t="shared" si="95"/>
        <v>54807.368</v>
      </c>
      <c r="AM23" s="35">
        <f t="shared" si="18"/>
        <v>6448.8190976000005</v>
      </c>
      <c r="AN23" s="5">
        <f t="shared" si="19"/>
        <v>61256.18709760001</v>
      </c>
      <c r="AO23" s="35">
        <f t="shared" si="20"/>
        <v>645.6153792</v>
      </c>
      <c r="AQ23" s="35">
        <f t="shared" si="96"/>
        <v>14620.521999999999</v>
      </c>
      <c r="AR23" s="35">
        <f t="shared" si="21"/>
        <v>1720.2997504</v>
      </c>
      <c r="AS23" s="5">
        <f t="shared" si="22"/>
        <v>16340.821750399999</v>
      </c>
      <c r="AT23" s="35">
        <f t="shared" si="23"/>
        <v>172.2256368</v>
      </c>
      <c r="AV23" s="35">
        <f t="shared" si="97"/>
        <v>165316.46600000001</v>
      </c>
      <c r="AW23" s="35">
        <f t="shared" si="24"/>
        <v>19451.6909312</v>
      </c>
      <c r="AX23" s="5">
        <f t="shared" si="25"/>
        <v>184768.1569312</v>
      </c>
      <c r="AY23" s="35">
        <f t="shared" si="26"/>
        <v>1947.3814704000001</v>
      </c>
      <c r="AZ23" s="5"/>
      <c r="BA23" s="35">
        <f t="shared" si="98"/>
        <v>2906.6765</v>
      </c>
      <c r="BB23" s="35">
        <f t="shared" si="27"/>
        <v>342.0093248</v>
      </c>
      <c r="BC23" s="5">
        <f t="shared" si="28"/>
        <v>3248.6858248</v>
      </c>
      <c r="BD23" s="35">
        <f t="shared" si="29"/>
        <v>34.2398316</v>
      </c>
      <c r="BE23" s="5"/>
      <c r="BF23" s="35">
        <f t="shared" si="99"/>
        <v>620.7845</v>
      </c>
      <c r="BG23" s="35">
        <f t="shared" si="30"/>
        <v>73.0435904</v>
      </c>
      <c r="BH23" s="5">
        <f t="shared" si="31"/>
        <v>693.8280904</v>
      </c>
      <c r="BI23" s="35">
        <f t="shared" si="32"/>
        <v>7.3126668</v>
      </c>
      <c r="BJ23" s="5"/>
      <c r="BK23" s="35">
        <f t="shared" si="100"/>
        <v>593723.97</v>
      </c>
      <c r="BL23" s="35">
        <f t="shared" si="33"/>
        <v>69859.557504</v>
      </c>
      <c r="BM23" s="5">
        <f t="shared" si="34"/>
        <v>663583.527504</v>
      </c>
      <c r="BN23" s="35">
        <f t="shared" si="35"/>
        <v>6993.901368</v>
      </c>
      <c r="BO23" s="5"/>
      <c r="BP23" s="35">
        <f t="shared" si="101"/>
        <v>1144.9725</v>
      </c>
      <c r="BQ23" s="35">
        <f t="shared" si="36"/>
        <v>134.721312</v>
      </c>
      <c r="BR23" s="5">
        <f t="shared" si="37"/>
        <v>1279.693812</v>
      </c>
      <c r="BS23" s="35">
        <f t="shared" si="38"/>
        <v>13.487454</v>
      </c>
      <c r="BT23" s="5"/>
      <c r="BU23" s="35">
        <f t="shared" si="102"/>
        <v>680.2284999999999</v>
      </c>
      <c r="BV23" s="35">
        <f t="shared" si="39"/>
        <v>80.0379712</v>
      </c>
      <c r="BW23" s="5">
        <f t="shared" si="40"/>
        <v>760.2664712</v>
      </c>
      <c r="BX23" s="35">
        <f t="shared" si="41"/>
        <v>8.0129004</v>
      </c>
      <c r="BY23" s="5"/>
      <c r="BZ23" s="35">
        <f t="shared" si="103"/>
        <v>42443.016</v>
      </c>
      <c r="CA23" s="35">
        <f t="shared" si="42"/>
        <v>4993.9878912</v>
      </c>
      <c r="CB23" s="5">
        <f t="shared" si="43"/>
        <v>47437.0038912</v>
      </c>
      <c r="CC23" s="35">
        <f t="shared" si="44"/>
        <v>499.9667904</v>
      </c>
      <c r="CD23" s="5"/>
      <c r="CE23" s="35">
        <f t="shared" si="104"/>
        <v>4483.2935</v>
      </c>
      <c r="CF23" s="35">
        <f t="shared" si="45"/>
        <v>527.5193792</v>
      </c>
      <c r="CG23" s="5">
        <f t="shared" si="46"/>
        <v>5010.8128792</v>
      </c>
      <c r="CH23" s="35">
        <f t="shared" si="47"/>
        <v>52.8119364</v>
      </c>
      <c r="CI23" s="5"/>
      <c r="CJ23" s="35">
        <f>$C23*CK$6</f>
        <v>12247.4905</v>
      </c>
      <c r="CK23" s="35">
        <f t="shared" si="48"/>
        <v>1441.0808896</v>
      </c>
      <c r="CL23" s="5">
        <f t="shared" si="49"/>
        <v>13688.5713896</v>
      </c>
      <c r="CM23" s="35">
        <f t="shared" si="50"/>
        <v>144.2719932</v>
      </c>
      <c r="CN23" s="5"/>
      <c r="CO23" s="35">
        <f t="shared" si="105"/>
        <v>119800.6005</v>
      </c>
      <c r="CP23" s="35">
        <f t="shared" si="51"/>
        <v>14096.1412416</v>
      </c>
      <c r="CQ23" s="35">
        <f t="shared" si="52"/>
        <v>133896.7417416</v>
      </c>
      <c r="CR23" s="35">
        <f t="shared" si="53"/>
        <v>1411.2173772</v>
      </c>
      <c r="CS23" s="5"/>
      <c r="CT23" s="35">
        <f t="shared" si="106"/>
        <v>16544.345999999998</v>
      </c>
      <c r="CU23" s="35">
        <f t="shared" si="54"/>
        <v>1946.6633471999999</v>
      </c>
      <c r="CV23" s="35">
        <f t="shared" si="55"/>
        <v>18491.009347199997</v>
      </c>
      <c r="CW23" s="35">
        <f t="shared" si="56"/>
        <v>194.88774239999998</v>
      </c>
      <c r="CX23" s="5"/>
      <c r="CY23" s="35">
        <f t="shared" si="107"/>
        <v>66090.92</v>
      </c>
      <c r="CZ23" s="35">
        <f t="shared" si="57"/>
        <v>7776.479743999999</v>
      </c>
      <c r="DA23" s="5">
        <f t="shared" si="58"/>
        <v>73867.399744</v>
      </c>
      <c r="DB23" s="35">
        <f t="shared" si="59"/>
        <v>778.5324479999999</v>
      </c>
      <c r="DC23" s="5"/>
      <c r="DD23" s="35">
        <f t="shared" si="108"/>
        <v>531449.625</v>
      </c>
      <c r="DE23" s="35">
        <f t="shared" si="60"/>
        <v>62532.148799999995</v>
      </c>
      <c r="DF23" s="35">
        <f t="shared" si="61"/>
        <v>593981.7738</v>
      </c>
      <c r="DG23" s="35">
        <f t="shared" si="62"/>
        <v>6260.3270999999995</v>
      </c>
      <c r="DH23" s="5"/>
      <c r="DI23" s="35">
        <f t="shared" si="109"/>
        <v>793938.7925</v>
      </c>
      <c r="DJ23" s="35">
        <f t="shared" si="63"/>
        <v>93417.506336</v>
      </c>
      <c r="DK23" s="5">
        <f t="shared" si="64"/>
        <v>887356.298836</v>
      </c>
      <c r="DL23" s="35">
        <f t="shared" si="65"/>
        <v>9352.375662</v>
      </c>
      <c r="DM23" s="5"/>
      <c r="DN23" s="35">
        <f t="shared" si="110"/>
        <v>6617.197999999999</v>
      </c>
      <c r="DO23" s="35">
        <f t="shared" si="66"/>
        <v>778.6017535999999</v>
      </c>
      <c r="DP23" s="5">
        <f t="shared" si="67"/>
        <v>7395.799753599999</v>
      </c>
      <c r="DQ23" s="35">
        <f t="shared" si="68"/>
        <v>77.9487312</v>
      </c>
      <c r="DR23" s="5"/>
      <c r="DS23" s="35">
        <f t="shared" si="111"/>
        <v>253733.3365</v>
      </c>
      <c r="DT23" s="35">
        <f t="shared" si="69"/>
        <v>29855.1170368</v>
      </c>
      <c r="DU23" s="5">
        <f t="shared" si="70"/>
        <v>283588.4535368</v>
      </c>
      <c r="DV23" s="35">
        <f t="shared" si="71"/>
        <v>2988.9073356</v>
      </c>
      <c r="DW23" s="5"/>
      <c r="DX23" s="35">
        <f t="shared" si="112"/>
        <v>423350.03549999994</v>
      </c>
      <c r="DY23" s="35">
        <f t="shared" si="72"/>
        <v>49812.78783359999</v>
      </c>
      <c r="DZ23" s="5">
        <f t="shared" si="73"/>
        <v>473162.82333359995</v>
      </c>
      <c r="EA23" s="35">
        <f t="shared" si="74"/>
        <v>4986.944341199999</v>
      </c>
      <c r="EB23" s="5"/>
      <c r="EC23" s="35">
        <f t="shared" si="113"/>
        <v>362446.9555</v>
      </c>
      <c r="ED23" s="35">
        <f t="shared" si="75"/>
        <v>42646.7267776</v>
      </c>
      <c r="EE23" s="5">
        <f t="shared" si="76"/>
        <v>405093.6822776</v>
      </c>
      <c r="EF23" s="35">
        <f t="shared" si="77"/>
        <v>4269.5231892</v>
      </c>
      <c r="EG23" s="5"/>
      <c r="EH23" s="35">
        <f t="shared" si="114"/>
        <v>359399.0995</v>
      </c>
      <c r="EI23" s="35">
        <f t="shared" si="78"/>
        <v>42288.1057984</v>
      </c>
      <c r="EJ23" s="5">
        <f t="shared" si="79"/>
        <v>401687.2052984</v>
      </c>
      <c r="EK23" s="35">
        <f t="shared" si="80"/>
        <v>4233.6203028</v>
      </c>
      <c r="EL23" s="5"/>
      <c r="EM23" s="35">
        <f t="shared" si="115"/>
        <v>521111.773</v>
      </c>
      <c r="EN23" s="35">
        <f t="shared" si="81"/>
        <v>61315.762393599995</v>
      </c>
      <c r="EO23" s="35">
        <f t="shared" si="82"/>
        <v>582427.5353936</v>
      </c>
      <c r="EP23" s="35">
        <f t="shared" si="83"/>
        <v>6138.550111199999</v>
      </c>
      <c r="EQ23" s="5"/>
      <c r="ER23" s="35">
        <f t="shared" si="116"/>
        <v>660072.931</v>
      </c>
      <c r="ES23" s="35">
        <f t="shared" si="84"/>
        <v>77666.3992192</v>
      </c>
      <c r="ET23" s="35">
        <f t="shared" si="85"/>
        <v>737739.3302192</v>
      </c>
      <c r="EU23" s="35">
        <f t="shared" si="86"/>
        <v>7775.473466400001</v>
      </c>
      <c r="EV23" s="5"/>
      <c r="EW23" s="35">
        <f t="shared" si="117"/>
        <v>3045.8295000000003</v>
      </c>
      <c r="EX23" s="35">
        <f t="shared" si="87"/>
        <v>358.3825344</v>
      </c>
      <c r="EY23" s="5">
        <f t="shared" si="88"/>
        <v>3404.2120344000004</v>
      </c>
      <c r="EZ23" s="35">
        <f t="shared" si="89"/>
        <v>35.8790148</v>
      </c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</row>
    <row r="24" spans="1:199" ht="12.75">
      <c r="A24" s="36">
        <v>45931</v>
      </c>
      <c r="C24" s="78"/>
      <c r="D24" s="78">
        <v>681753</v>
      </c>
      <c r="E24" s="34">
        <f t="shared" si="0"/>
        <v>681753</v>
      </c>
      <c r="F24" s="34">
        <v>79572</v>
      </c>
      <c r="H24" s="35"/>
      <c r="I24" s="35">
        <f t="shared" si="1"/>
        <v>152188.403943</v>
      </c>
      <c r="J24" s="35">
        <f t="shared" si="2"/>
        <v>152188.403943</v>
      </c>
      <c r="K24" s="35">
        <f>'Academic Project '!K24</f>
        <v>17762.937132</v>
      </c>
      <c r="M24" s="35"/>
      <c r="N24" s="34">
        <f t="shared" si="3"/>
        <v>529564.596057</v>
      </c>
      <c r="O24" s="5">
        <f t="shared" si="4"/>
        <v>529564.596057</v>
      </c>
      <c r="P24" s="34">
        <f t="shared" si="5"/>
        <v>61809.062867999986</v>
      </c>
      <c r="R24" s="35"/>
      <c r="S24" s="35">
        <f t="shared" si="6"/>
        <v>148.0767516</v>
      </c>
      <c r="T24" s="5">
        <f t="shared" si="7"/>
        <v>148.0767516</v>
      </c>
      <c r="U24" s="35">
        <f t="shared" si="8"/>
        <v>17.2830384</v>
      </c>
      <c r="W24" s="35"/>
      <c r="X24" s="35">
        <f t="shared" si="9"/>
        <v>15758.3797185</v>
      </c>
      <c r="Y24" s="5">
        <f t="shared" si="10"/>
        <v>15758.3797185</v>
      </c>
      <c r="Z24" s="35">
        <f t="shared" si="11"/>
        <v>1839.266994</v>
      </c>
      <c r="AB24" s="35"/>
      <c r="AC24" s="35">
        <f t="shared" si="12"/>
        <v>966.9302799</v>
      </c>
      <c r="AD24" s="35">
        <f t="shared" si="13"/>
        <v>966.9302799</v>
      </c>
      <c r="AE24" s="35">
        <f t="shared" si="14"/>
        <v>112.85696759999999</v>
      </c>
      <c r="AG24" s="35"/>
      <c r="AH24" s="35">
        <f t="shared" si="15"/>
        <v>6993.354098700001</v>
      </c>
      <c r="AI24" s="5">
        <f t="shared" si="16"/>
        <v>6993.354098700001</v>
      </c>
      <c r="AJ24" s="35">
        <f t="shared" si="17"/>
        <v>816.2416188000001</v>
      </c>
      <c r="AL24" s="35"/>
      <c r="AM24" s="35">
        <f t="shared" si="18"/>
        <v>5531.4711408</v>
      </c>
      <c r="AN24" s="5">
        <f t="shared" si="19"/>
        <v>5531.4711408</v>
      </c>
      <c r="AO24" s="35">
        <f t="shared" si="20"/>
        <v>645.6153792</v>
      </c>
      <c r="AQ24" s="35"/>
      <c r="AR24" s="35">
        <f t="shared" si="21"/>
        <v>1475.5861932</v>
      </c>
      <c r="AS24" s="5">
        <f t="shared" si="22"/>
        <v>1475.5861932</v>
      </c>
      <c r="AT24" s="35">
        <f t="shared" si="23"/>
        <v>172.2256368</v>
      </c>
      <c r="AV24" s="35"/>
      <c r="AW24" s="35">
        <f t="shared" si="24"/>
        <v>16684.6775196</v>
      </c>
      <c r="AX24" s="5">
        <f t="shared" si="25"/>
        <v>16684.6775196</v>
      </c>
      <c r="AY24" s="35">
        <f t="shared" si="26"/>
        <v>1947.3814704000001</v>
      </c>
      <c r="AZ24" s="5"/>
      <c r="BA24" s="35"/>
      <c r="BB24" s="35">
        <f t="shared" si="27"/>
        <v>293.3583159</v>
      </c>
      <c r="BC24" s="5">
        <f t="shared" si="28"/>
        <v>293.3583159</v>
      </c>
      <c r="BD24" s="35">
        <f t="shared" si="29"/>
        <v>34.2398316</v>
      </c>
      <c r="BE24" s="5"/>
      <c r="BF24" s="35"/>
      <c r="BG24" s="35">
        <f t="shared" si="30"/>
        <v>62.653100699999996</v>
      </c>
      <c r="BH24" s="5">
        <f t="shared" si="31"/>
        <v>62.653100699999996</v>
      </c>
      <c r="BI24" s="35">
        <f t="shared" si="32"/>
        <v>7.3126668</v>
      </c>
      <c r="BJ24" s="5"/>
      <c r="BK24" s="35"/>
      <c r="BL24" s="35">
        <f t="shared" si="33"/>
        <v>59921.998182</v>
      </c>
      <c r="BM24" s="5">
        <f t="shared" si="34"/>
        <v>59921.998182</v>
      </c>
      <c r="BN24" s="35">
        <f t="shared" si="35"/>
        <v>6993.901368</v>
      </c>
      <c r="BO24" s="5"/>
      <c r="BP24" s="35"/>
      <c r="BQ24" s="35">
        <f t="shared" si="36"/>
        <v>115.5571335</v>
      </c>
      <c r="BR24" s="5">
        <f t="shared" si="37"/>
        <v>115.5571335</v>
      </c>
      <c r="BS24" s="35">
        <f t="shared" si="38"/>
        <v>13.487454</v>
      </c>
      <c r="BT24" s="5"/>
      <c r="BU24" s="35"/>
      <c r="BV24" s="35">
        <f t="shared" si="39"/>
        <v>68.6525271</v>
      </c>
      <c r="BW24" s="5">
        <f t="shared" si="40"/>
        <v>68.6525271</v>
      </c>
      <c r="BX24" s="35">
        <f t="shared" si="41"/>
        <v>8.0129004</v>
      </c>
      <c r="BY24" s="5"/>
      <c r="BZ24" s="35"/>
      <c r="CA24" s="35">
        <f t="shared" si="42"/>
        <v>4283.5904496</v>
      </c>
      <c r="CB24" s="5">
        <f t="shared" si="43"/>
        <v>4283.5904496</v>
      </c>
      <c r="CC24" s="35">
        <f t="shared" si="44"/>
        <v>499.9667904</v>
      </c>
      <c r="CD24" s="5"/>
      <c r="CE24" s="35"/>
      <c r="CF24" s="35">
        <f t="shared" si="45"/>
        <v>452.4794661</v>
      </c>
      <c r="CG24" s="5">
        <f t="shared" si="46"/>
        <v>452.4794661</v>
      </c>
      <c r="CH24" s="35">
        <f t="shared" si="47"/>
        <v>52.8119364</v>
      </c>
      <c r="CI24" s="5"/>
      <c r="CJ24" s="35"/>
      <c r="CK24" s="35">
        <f t="shared" si="48"/>
        <v>1236.0863643</v>
      </c>
      <c r="CL24" s="5">
        <f t="shared" si="49"/>
        <v>1236.0863643</v>
      </c>
      <c r="CM24" s="35">
        <f t="shared" si="50"/>
        <v>144.2719932</v>
      </c>
      <c r="CN24" s="5"/>
      <c r="CO24" s="35"/>
      <c r="CP24" s="35">
        <f t="shared" si="51"/>
        <v>12090.9576303</v>
      </c>
      <c r="CQ24" s="35">
        <f t="shared" si="52"/>
        <v>12090.9576303</v>
      </c>
      <c r="CR24" s="35">
        <f t="shared" si="53"/>
        <v>1411.2173772</v>
      </c>
      <c r="CS24" s="5"/>
      <c r="CT24" s="35"/>
      <c r="CU24" s="35">
        <f t="shared" si="54"/>
        <v>1669.7494476</v>
      </c>
      <c r="CV24" s="35">
        <f t="shared" si="55"/>
        <v>1669.7494476</v>
      </c>
      <c r="CW24" s="35">
        <f t="shared" si="56"/>
        <v>194.88774239999998</v>
      </c>
      <c r="CX24" s="5"/>
      <c r="CY24" s="35"/>
      <c r="CZ24" s="35">
        <f t="shared" si="57"/>
        <v>6670.271352</v>
      </c>
      <c r="DA24" s="5">
        <f t="shared" si="58"/>
        <v>6670.271352</v>
      </c>
      <c r="DB24" s="35">
        <f t="shared" si="59"/>
        <v>778.5324479999999</v>
      </c>
      <c r="DC24" s="5"/>
      <c r="DD24" s="35"/>
      <c r="DE24" s="35">
        <f t="shared" si="60"/>
        <v>53636.917275</v>
      </c>
      <c r="DF24" s="35">
        <f t="shared" si="61"/>
        <v>53636.917275</v>
      </c>
      <c r="DG24" s="35">
        <f t="shared" si="62"/>
        <v>6260.3270999999995</v>
      </c>
      <c r="DH24" s="5"/>
      <c r="DI24" s="35"/>
      <c r="DJ24" s="35">
        <f t="shared" si="63"/>
        <v>80128.8162255</v>
      </c>
      <c r="DK24" s="5">
        <f t="shared" si="64"/>
        <v>80128.8162255</v>
      </c>
      <c r="DL24" s="35">
        <f t="shared" si="65"/>
        <v>9352.375662</v>
      </c>
      <c r="DM24" s="5"/>
      <c r="DN24" s="35"/>
      <c r="DO24" s="35">
        <f t="shared" si="66"/>
        <v>667.8452388</v>
      </c>
      <c r="DP24" s="5">
        <f t="shared" si="67"/>
        <v>667.8452388</v>
      </c>
      <c r="DQ24" s="35">
        <f t="shared" si="68"/>
        <v>77.9487312</v>
      </c>
      <c r="DR24" s="5"/>
      <c r="DS24" s="35"/>
      <c r="DT24" s="35">
        <f t="shared" si="69"/>
        <v>25608.2107119</v>
      </c>
      <c r="DU24" s="5">
        <f t="shared" si="70"/>
        <v>25608.2107119</v>
      </c>
      <c r="DV24" s="35">
        <f t="shared" si="71"/>
        <v>2988.9073356</v>
      </c>
      <c r="DW24" s="5"/>
      <c r="DX24" s="35"/>
      <c r="DY24" s="35">
        <f t="shared" si="72"/>
        <v>42726.892191299994</v>
      </c>
      <c r="DZ24" s="5">
        <f t="shared" si="73"/>
        <v>42726.892191299994</v>
      </c>
      <c r="EA24" s="35">
        <f t="shared" si="74"/>
        <v>4986.944341199999</v>
      </c>
      <c r="EB24" s="5"/>
      <c r="EC24" s="35"/>
      <c r="ED24" s="35">
        <f t="shared" si="75"/>
        <v>36580.2071433</v>
      </c>
      <c r="EE24" s="5">
        <f t="shared" si="76"/>
        <v>36580.2071433</v>
      </c>
      <c r="EF24" s="35">
        <f t="shared" si="77"/>
        <v>4269.5231892</v>
      </c>
      <c r="EG24" s="5"/>
      <c r="EH24" s="35"/>
      <c r="EI24" s="35">
        <f t="shared" si="78"/>
        <v>36272.6001897</v>
      </c>
      <c r="EJ24" s="5">
        <f t="shared" si="79"/>
        <v>36272.6001897</v>
      </c>
      <c r="EK24" s="35">
        <f t="shared" si="80"/>
        <v>4233.6203028</v>
      </c>
      <c r="EL24" s="5"/>
      <c r="EM24" s="35"/>
      <c r="EN24" s="35">
        <f t="shared" si="81"/>
        <v>52593.56248379999</v>
      </c>
      <c r="EO24" s="35">
        <f t="shared" si="82"/>
        <v>52593.56248379999</v>
      </c>
      <c r="EP24" s="35">
        <f t="shared" si="83"/>
        <v>6138.550111199999</v>
      </c>
      <c r="EQ24" s="5"/>
      <c r="ER24" s="35"/>
      <c r="ES24" s="35">
        <f t="shared" si="84"/>
        <v>66618.3124986</v>
      </c>
      <c r="ET24" s="35">
        <f t="shared" si="85"/>
        <v>66618.3124986</v>
      </c>
      <c r="EU24" s="35">
        <f t="shared" si="86"/>
        <v>7775.473466400001</v>
      </c>
      <c r="EV24" s="5"/>
      <c r="EW24" s="35"/>
      <c r="EX24" s="35">
        <f t="shared" si="87"/>
        <v>307.40242770000003</v>
      </c>
      <c r="EY24" s="5">
        <f t="shared" si="88"/>
        <v>307.40242770000003</v>
      </c>
      <c r="EZ24" s="35">
        <f t="shared" si="89"/>
        <v>35.8790148</v>
      </c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</row>
    <row r="25" spans="1:199" ht="12.75">
      <c r="A25" s="36">
        <v>46113</v>
      </c>
      <c r="C25" s="78">
        <v>6980000</v>
      </c>
      <c r="D25" s="78">
        <v>681753</v>
      </c>
      <c r="E25" s="34">
        <f t="shared" si="0"/>
        <v>7661753</v>
      </c>
      <c r="F25" s="34">
        <v>79572</v>
      </c>
      <c r="H25" s="35">
        <f t="shared" si="90"/>
        <v>1558152.3800000001</v>
      </c>
      <c r="I25" s="35">
        <f t="shared" si="1"/>
        <v>152188.403943</v>
      </c>
      <c r="J25" s="35">
        <f t="shared" si="2"/>
        <v>1710340.7839430002</v>
      </c>
      <c r="K25" s="35">
        <f>'Academic Project '!K25</f>
        <v>17762.937132</v>
      </c>
      <c r="M25" s="35">
        <f>R25+W25+AB25+AG25+AL25+AQ25+AV25+BA25+BF25+BK25+BP25+BU25+BZ25+CE25+CO25+CT25+CY25+DD25+DI25+DN25+DS25+DX25+EC25+EH25+CJ25+EM25+ER25+EW25+FB25</f>
        <v>5421847.619999999</v>
      </c>
      <c r="N25" s="34">
        <f t="shared" si="3"/>
        <v>529564.596057</v>
      </c>
      <c r="O25" s="5">
        <f t="shared" si="4"/>
        <v>5951412.216056999</v>
      </c>
      <c r="P25" s="34">
        <f t="shared" si="5"/>
        <v>61809.062867999986</v>
      </c>
      <c r="R25" s="35">
        <f t="shared" si="91"/>
        <v>1516.056</v>
      </c>
      <c r="S25" s="35">
        <f t="shared" si="6"/>
        <v>148.0767516</v>
      </c>
      <c r="T25" s="5">
        <f t="shared" si="7"/>
        <v>1664.1327516000001</v>
      </c>
      <c r="U25" s="35">
        <f t="shared" si="8"/>
        <v>17.2830384</v>
      </c>
      <c r="W25" s="35">
        <f t="shared" si="92"/>
        <v>161339.21</v>
      </c>
      <c r="X25" s="35">
        <f t="shared" si="9"/>
        <v>15758.3797185</v>
      </c>
      <c r="Y25" s="5">
        <f t="shared" si="10"/>
        <v>177097.58971849998</v>
      </c>
      <c r="Z25" s="35">
        <f t="shared" si="11"/>
        <v>1839.266994</v>
      </c>
      <c r="AB25" s="35">
        <f t="shared" si="93"/>
        <v>9899.734</v>
      </c>
      <c r="AC25" s="35">
        <f t="shared" si="12"/>
        <v>966.9302799</v>
      </c>
      <c r="AD25" s="35">
        <f t="shared" si="13"/>
        <v>10866.6642799</v>
      </c>
      <c r="AE25" s="35">
        <f t="shared" si="14"/>
        <v>112.85696759999999</v>
      </c>
      <c r="AG25" s="35">
        <f t="shared" si="94"/>
        <v>71600.142</v>
      </c>
      <c r="AH25" s="35">
        <f t="shared" si="15"/>
        <v>6993.354098700001</v>
      </c>
      <c r="AI25" s="5">
        <f t="shared" si="16"/>
        <v>78593.49609870001</v>
      </c>
      <c r="AJ25" s="35">
        <f t="shared" si="17"/>
        <v>816.2416188000001</v>
      </c>
      <c r="AL25" s="35">
        <f t="shared" si="95"/>
        <v>56632.928</v>
      </c>
      <c r="AM25" s="35">
        <f t="shared" si="18"/>
        <v>5531.4711408</v>
      </c>
      <c r="AN25" s="5">
        <f t="shared" si="19"/>
        <v>62164.3991408</v>
      </c>
      <c r="AO25" s="35">
        <f t="shared" si="20"/>
        <v>645.6153792</v>
      </c>
      <c r="AQ25" s="35">
        <f t="shared" si="96"/>
        <v>15107.511999999999</v>
      </c>
      <c r="AR25" s="35">
        <f t="shared" si="21"/>
        <v>1475.5861932</v>
      </c>
      <c r="AS25" s="5">
        <f t="shared" si="22"/>
        <v>16583.0981932</v>
      </c>
      <c r="AT25" s="35">
        <f t="shared" si="23"/>
        <v>172.2256368</v>
      </c>
      <c r="AV25" s="35">
        <f t="shared" si="97"/>
        <v>170822.93600000002</v>
      </c>
      <c r="AW25" s="35">
        <f t="shared" si="24"/>
        <v>16684.6775196</v>
      </c>
      <c r="AX25" s="5">
        <f t="shared" si="25"/>
        <v>187507.6135196</v>
      </c>
      <c r="AY25" s="35">
        <f t="shared" si="26"/>
        <v>1947.3814704000001</v>
      </c>
      <c r="AZ25" s="5"/>
      <c r="BA25" s="35">
        <f t="shared" si="98"/>
        <v>3003.494</v>
      </c>
      <c r="BB25" s="35">
        <f t="shared" si="27"/>
        <v>293.3583159</v>
      </c>
      <c r="BC25" s="5">
        <f t="shared" si="28"/>
        <v>3296.8523159</v>
      </c>
      <c r="BD25" s="35">
        <f t="shared" si="29"/>
        <v>34.2398316</v>
      </c>
      <c r="BE25" s="5"/>
      <c r="BF25" s="35">
        <f t="shared" si="99"/>
        <v>641.462</v>
      </c>
      <c r="BG25" s="35">
        <f t="shared" si="30"/>
        <v>62.653100699999996</v>
      </c>
      <c r="BH25" s="5">
        <f t="shared" si="31"/>
        <v>704.1151007</v>
      </c>
      <c r="BI25" s="35">
        <f t="shared" si="32"/>
        <v>7.3126668</v>
      </c>
      <c r="BJ25" s="5"/>
      <c r="BK25" s="35">
        <f t="shared" si="100"/>
        <v>613500.12</v>
      </c>
      <c r="BL25" s="35">
        <f t="shared" si="33"/>
        <v>59921.998182</v>
      </c>
      <c r="BM25" s="5">
        <f t="shared" si="34"/>
        <v>673422.118182</v>
      </c>
      <c r="BN25" s="35">
        <f t="shared" si="35"/>
        <v>6993.901368</v>
      </c>
      <c r="BO25" s="5"/>
      <c r="BP25" s="35">
        <f t="shared" si="101"/>
        <v>1183.11</v>
      </c>
      <c r="BQ25" s="35">
        <f t="shared" si="36"/>
        <v>115.5571335</v>
      </c>
      <c r="BR25" s="5">
        <f t="shared" si="37"/>
        <v>1298.6671334999999</v>
      </c>
      <c r="BS25" s="35">
        <f t="shared" si="38"/>
        <v>13.487454</v>
      </c>
      <c r="BT25" s="5"/>
      <c r="BU25" s="35">
        <f t="shared" si="102"/>
        <v>702.886</v>
      </c>
      <c r="BV25" s="35">
        <f t="shared" si="39"/>
        <v>68.6525271</v>
      </c>
      <c r="BW25" s="5">
        <f t="shared" si="40"/>
        <v>771.5385271</v>
      </c>
      <c r="BX25" s="35">
        <f t="shared" si="41"/>
        <v>8.0129004</v>
      </c>
      <c r="BY25" s="5"/>
      <c r="BZ25" s="35">
        <f t="shared" si="103"/>
        <v>43856.736</v>
      </c>
      <c r="CA25" s="35">
        <f t="shared" si="42"/>
        <v>4283.5904496</v>
      </c>
      <c r="CB25" s="5">
        <f t="shared" si="43"/>
        <v>48140.3264496</v>
      </c>
      <c r="CC25" s="35">
        <f t="shared" si="44"/>
        <v>499.9667904</v>
      </c>
      <c r="CD25" s="5"/>
      <c r="CE25" s="35">
        <f t="shared" si="104"/>
        <v>4632.626</v>
      </c>
      <c r="CF25" s="35">
        <f t="shared" si="45"/>
        <v>452.4794661</v>
      </c>
      <c r="CG25" s="5">
        <f t="shared" si="46"/>
        <v>5085.1054661</v>
      </c>
      <c r="CH25" s="35">
        <f t="shared" si="47"/>
        <v>52.8119364</v>
      </c>
      <c r="CI25" s="5"/>
      <c r="CJ25" s="35">
        <f>$C25*CK$6</f>
        <v>12655.438</v>
      </c>
      <c r="CK25" s="35">
        <f t="shared" si="48"/>
        <v>1236.0863643</v>
      </c>
      <c r="CL25" s="5">
        <f t="shared" si="49"/>
        <v>13891.5243643</v>
      </c>
      <c r="CM25" s="35">
        <f t="shared" si="50"/>
        <v>144.2719932</v>
      </c>
      <c r="CN25" s="5"/>
      <c r="CO25" s="35">
        <f t="shared" si="105"/>
        <v>123790.998</v>
      </c>
      <c r="CP25" s="35">
        <f t="shared" si="51"/>
        <v>12090.9576303</v>
      </c>
      <c r="CQ25" s="35">
        <f t="shared" si="52"/>
        <v>135881.9556303</v>
      </c>
      <c r="CR25" s="35">
        <f t="shared" si="53"/>
        <v>1411.2173772</v>
      </c>
      <c r="CS25" s="5"/>
      <c r="CT25" s="35">
        <f t="shared" si="106"/>
        <v>17095.416</v>
      </c>
      <c r="CU25" s="35">
        <f t="shared" si="54"/>
        <v>1669.7494476</v>
      </c>
      <c r="CV25" s="35">
        <f t="shared" si="55"/>
        <v>18765.1654476</v>
      </c>
      <c r="CW25" s="35">
        <f t="shared" si="56"/>
        <v>194.88774239999998</v>
      </c>
      <c r="CX25" s="5"/>
      <c r="CY25" s="35">
        <f t="shared" si="107"/>
        <v>68292.31999999999</v>
      </c>
      <c r="CZ25" s="35">
        <f t="shared" si="57"/>
        <v>6670.271352</v>
      </c>
      <c r="DA25" s="5">
        <f t="shared" si="58"/>
        <v>74962.59135199999</v>
      </c>
      <c r="DB25" s="35">
        <f t="shared" si="59"/>
        <v>778.5324479999999</v>
      </c>
      <c r="DC25" s="5"/>
      <c r="DD25" s="35">
        <f t="shared" si="108"/>
        <v>549151.5</v>
      </c>
      <c r="DE25" s="35">
        <f t="shared" si="60"/>
        <v>53636.917275</v>
      </c>
      <c r="DF25" s="35">
        <f t="shared" si="61"/>
        <v>602788.417275</v>
      </c>
      <c r="DG25" s="35">
        <f t="shared" si="62"/>
        <v>6260.3270999999995</v>
      </c>
      <c r="DH25" s="5"/>
      <c r="DI25" s="35">
        <f t="shared" si="109"/>
        <v>820383.83</v>
      </c>
      <c r="DJ25" s="35">
        <f t="shared" si="63"/>
        <v>80128.8162255</v>
      </c>
      <c r="DK25" s="5">
        <f t="shared" si="64"/>
        <v>900512.6462254999</v>
      </c>
      <c r="DL25" s="35">
        <f t="shared" si="65"/>
        <v>9352.375662</v>
      </c>
      <c r="DM25" s="5"/>
      <c r="DN25" s="35">
        <f t="shared" si="110"/>
        <v>6837.607999999999</v>
      </c>
      <c r="DO25" s="35">
        <f t="shared" si="66"/>
        <v>667.8452388</v>
      </c>
      <c r="DP25" s="5">
        <f t="shared" si="67"/>
        <v>7505.453238799999</v>
      </c>
      <c r="DQ25" s="35">
        <f t="shared" si="68"/>
        <v>77.9487312</v>
      </c>
      <c r="DR25" s="5"/>
      <c r="DS25" s="35">
        <f t="shared" si="111"/>
        <v>262184.854</v>
      </c>
      <c r="DT25" s="35">
        <f t="shared" si="69"/>
        <v>25608.2107119</v>
      </c>
      <c r="DU25" s="5">
        <f t="shared" si="70"/>
        <v>287793.06471189996</v>
      </c>
      <c r="DV25" s="35">
        <f t="shared" si="71"/>
        <v>2988.9073356</v>
      </c>
      <c r="DW25" s="5"/>
      <c r="DX25" s="35">
        <f t="shared" si="112"/>
        <v>437451.258</v>
      </c>
      <c r="DY25" s="35">
        <f t="shared" si="72"/>
        <v>42726.892191299994</v>
      </c>
      <c r="DZ25" s="5">
        <f t="shared" si="73"/>
        <v>480178.15019129997</v>
      </c>
      <c r="EA25" s="35">
        <f t="shared" si="74"/>
        <v>4986.944341199999</v>
      </c>
      <c r="EB25" s="5"/>
      <c r="EC25" s="35">
        <f t="shared" si="113"/>
        <v>374519.578</v>
      </c>
      <c r="ED25" s="35">
        <f t="shared" si="75"/>
        <v>36580.2071433</v>
      </c>
      <c r="EE25" s="5">
        <f t="shared" si="76"/>
        <v>411099.78514329996</v>
      </c>
      <c r="EF25" s="35">
        <f t="shared" si="77"/>
        <v>4269.5231892</v>
      </c>
      <c r="EG25" s="5"/>
      <c r="EH25" s="35">
        <f t="shared" si="114"/>
        <v>371370.202</v>
      </c>
      <c r="EI25" s="35">
        <f t="shared" si="78"/>
        <v>36272.6001897</v>
      </c>
      <c r="EJ25" s="5">
        <f t="shared" si="79"/>
        <v>407642.8021897</v>
      </c>
      <c r="EK25" s="35">
        <f t="shared" si="80"/>
        <v>4233.6203028</v>
      </c>
      <c r="EL25" s="5"/>
      <c r="EM25" s="35">
        <f t="shared" si="115"/>
        <v>538469.308</v>
      </c>
      <c r="EN25" s="35">
        <f t="shared" si="81"/>
        <v>52593.56248379999</v>
      </c>
      <c r="EO25" s="35">
        <f t="shared" si="82"/>
        <v>591062.8704838</v>
      </c>
      <c r="EP25" s="35">
        <f t="shared" si="83"/>
        <v>6138.550111199999</v>
      </c>
      <c r="EQ25" s="5"/>
      <c r="ER25" s="35">
        <f t="shared" si="116"/>
        <v>682059.076</v>
      </c>
      <c r="ES25" s="35">
        <f t="shared" si="84"/>
        <v>66618.3124986</v>
      </c>
      <c r="ET25" s="35">
        <f t="shared" si="85"/>
        <v>748677.3884986</v>
      </c>
      <c r="EU25" s="35">
        <f t="shared" si="86"/>
        <v>7775.473466400001</v>
      </c>
      <c r="EV25" s="5"/>
      <c r="EW25" s="35">
        <f t="shared" si="117"/>
        <v>3147.282</v>
      </c>
      <c r="EX25" s="35">
        <f t="shared" si="87"/>
        <v>307.40242770000003</v>
      </c>
      <c r="EY25" s="5">
        <f t="shared" si="88"/>
        <v>3454.6844277</v>
      </c>
      <c r="EZ25" s="35">
        <f t="shared" si="89"/>
        <v>35.8790148</v>
      </c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</row>
    <row r="26" spans="1:199" ht="12.75">
      <c r="A26" s="36">
        <v>46296</v>
      </c>
      <c r="C26" s="78"/>
      <c r="D26" s="78">
        <v>561523</v>
      </c>
      <c r="E26" s="34">
        <f t="shared" si="0"/>
        <v>561523</v>
      </c>
      <c r="F26" s="34">
        <v>79572</v>
      </c>
      <c r="H26" s="35"/>
      <c r="I26" s="35">
        <f t="shared" si="1"/>
        <v>125349.340813</v>
      </c>
      <c r="J26" s="35">
        <f t="shared" si="2"/>
        <v>125349.340813</v>
      </c>
      <c r="K26" s="35">
        <f>'Academic Project '!K26</f>
        <v>17762.937132</v>
      </c>
      <c r="M26" s="35"/>
      <c r="N26" s="34">
        <f t="shared" si="3"/>
        <v>436173.65918699995</v>
      </c>
      <c r="O26" s="5">
        <f t="shared" si="4"/>
        <v>436173.65918699995</v>
      </c>
      <c r="P26" s="34">
        <f t="shared" si="5"/>
        <v>61809.062867999986</v>
      </c>
      <c r="R26" s="35"/>
      <c r="S26" s="35">
        <f t="shared" si="6"/>
        <v>121.96279559999999</v>
      </c>
      <c r="T26" s="5">
        <f t="shared" si="7"/>
        <v>121.96279559999999</v>
      </c>
      <c r="U26" s="35">
        <f t="shared" si="8"/>
        <v>17.2830384</v>
      </c>
      <c r="W26" s="35"/>
      <c r="X26" s="35">
        <f t="shared" si="9"/>
        <v>12979.3233835</v>
      </c>
      <c r="Y26" s="5">
        <f t="shared" si="10"/>
        <v>12979.3233835</v>
      </c>
      <c r="Z26" s="35">
        <f t="shared" si="11"/>
        <v>1839.266994</v>
      </c>
      <c r="AB26" s="35"/>
      <c r="AC26" s="35">
        <f t="shared" si="12"/>
        <v>796.4080709</v>
      </c>
      <c r="AD26" s="35">
        <f t="shared" si="13"/>
        <v>796.4080709</v>
      </c>
      <c r="AE26" s="35">
        <f t="shared" si="14"/>
        <v>112.85696759999999</v>
      </c>
      <c r="AG26" s="35"/>
      <c r="AH26" s="35">
        <f t="shared" si="15"/>
        <v>5760.0467817</v>
      </c>
      <c r="AI26" s="5">
        <f t="shared" si="16"/>
        <v>5760.0467817</v>
      </c>
      <c r="AJ26" s="35">
        <f t="shared" si="17"/>
        <v>816.2416188000001</v>
      </c>
      <c r="AL26" s="35"/>
      <c r="AM26" s="35">
        <f t="shared" si="18"/>
        <v>4555.9730128</v>
      </c>
      <c r="AN26" s="5">
        <f t="shared" si="19"/>
        <v>4555.9730128</v>
      </c>
      <c r="AO26" s="35">
        <f t="shared" si="20"/>
        <v>645.6153792</v>
      </c>
      <c r="AQ26" s="35"/>
      <c r="AR26" s="35">
        <f t="shared" si="21"/>
        <v>1215.3603812</v>
      </c>
      <c r="AS26" s="5">
        <f t="shared" si="22"/>
        <v>1215.3603812</v>
      </c>
      <c r="AT26" s="35">
        <f t="shared" si="23"/>
        <v>172.2256368</v>
      </c>
      <c r="AV26" s="35"/>
      <c r="AW26" s="35">
        <f t="shared" si="24"/>
        <v>13742.2646836</v>
      </c>
      <c r="AX26" s="5">
        <f t="shared" si="25"/>
        <v>13742.2646836</v>
      </c>
      <c r="AY26" s="35">
        <f t="shared" si="26"/>
        <v>1947.3814704000001</v>
      </c>
      <c r="AZ26" s="5"/>
      <c r="BA26" s="35"/>
      <c r="BB26" s="35">
        <f t="shared" si="27"/>
        <v>241.6233469</v>
      </c>
      <c r="BC26" s="5">
        <f t="shared" si="28"/>
        <v>241.6233469</v>
      </c>
      <c r="BD26" s="35">
        <f t="shared" si="29"/>
        <v>34.2398316</v>
      </c>
      <c r="BE26" s="5"/>
      <c r="BF26" s="35"/>
      <c r="BG26" s="35">
        <f t="shared" si="30"/>
        <v>51.6039637</v>
      </c>
      <c r="BH26" s="5">
        <f t="shared" si="31"/>
        <v>51.6039637</v>
      </c>
      <c r="BI26" s="35">
        <f t="shared" si="32"/>
        <v>7.3126668</v>
      </c>
      <c r="BJ26" s="5"/>
      <c r="BK26" s="35"/>
      <c r="BL26" s="35">
        <f t="shared" si="33"/>
        <v>49354.502562</v>
      </c>
      <c r="BM26" s="5">
        <f t="shared" si="34"/>
        <v>49354.502562</v>
      </c>
      <c r="BN26" s="35">
        <f t="shared" si="35"/>
        <v>6993.901368</v>
      </c>
      <c r="BO26" s="5"/>
      <c r="BP26" s="35"/>
      <c r="BQ26" s="35">
        <f t="shared" si="36"/>
        <v>95.1781485</v>
      </c>
      <c r="BR26" s="5">
        <f t="shared" si="37"/>
        <v>95.1781485</v>
      </c>
      <c r="BS26" s="35">
        <f t="shared" si="38"/>
        <v>13.487454</v>
      </c>
      <c r="BT26" s="5"/>
      <c r="BU26" s="35"/>
      <c r="BV26" s="35">
        <f t="shared" si="39"/>
        <v>56.545366099999995</v>
      </c>
      <c r="BW26" s="5">
        <f t="shared" si="40"/>
        <v>56.545366099999995</v>
      </c>
      <c r="BX26" s="35">
        <f t="shared" si="41"/>
        <v>8.0129004</v>
      </c>
      <c r="BY26" s="5"/>
      <c r="BZ26" s="35"/>
      <c r="CA26" s="35">
        <f t="shared" si="42"/>
        <v>3528.1613136</v>
      </c>
      <c r="CB26" s="5">
        <f t="shared" si="43"/>
        <v>3528.1613136</v>
      </c>
      <c r="CC26" s="35">
        <f t="shared" si="44"/>
        <v>499.9667904</v>
      </c>
      <c r="CD26" s="5"/>
      <c r="CE26" s="35"/>
      <c r="CF26" s="35">
        <f t="shared" si="45"/>
        <v>372.6828151</v>
      </c>
      <c r="CG26" s="5">
        <f t="shared" si="46"/>
        <v>372.6828151</v>
      </c>
      <c r="CH26" s="35">
        <f t="shared" si="47"/>
        <v>52.8119364</v>
      </c>
      <c r="CI26" s="5"/>
      <c r="CJ26" s="35"/>
      <c r="CK26" s="35">
        <f t="shared" si="48"/>
        <v>1018.0973513</v>
      </c>
      <c r="CL26" s="5">
        <f t="shared" si="49"/>
        <v>1018.0973513</v>
      </c>
      <c r="CM26" s="35">
        <f t="shared" si="50"/>
        <v>144.2719932</v>
      </c>
      <c r="CN26" s="5"/>
      <c r="CO26" s="35"/>
      <c r="CP26" s="35">
        <f t="shared" si="51"/>
        <v>9958.666557300001</v>
      </c>
      <c r="CQ26" s="35">
        <f t="shared" si="52"/>
        <v>9958.666557300001</v>
      </c>
      <c r="CR26" s="35">
        <f t="shared" si="53"/>
        <v>1411.2173772</v>
      </c>
      <c r="CS26" s="5"/>
      <c r="CT26" s="35"/>
      <c r="CU26" s="35">
        <f t="shared" si="54"/>
        <v>1375.2821316</v>
      </c>
      <c r="CV26" s="35">
        <f t="shared" si="55"/>
        <v>1375.2821316</v>
      </c>
      <c r="CW26" s="35">
        <f t="shared" si="56"/>
        <v>194.88774239999998</v>
      </c>
      <c r="CX26" s="5"/>
      <c r="CY26" s="35"/>
      <c r="CZ26" s="35">
        <f t="shared" si="57"/>
        <v>5493.941032</v>
      </c>
      <c r="DA26" s="5">
        <f t="shared" si="58"/>
        <v>5493.941032</v>
      </c>
      <c r="DB26" s="35">
        <f t="shared" si="59"/>
        <v>778.5324479999999</v>
      </c>
      <c r="DC26" s="5"/>
      <c r="DD26" s="35"/>
      <c r="DE26" s="35">
        <f t="shared" si="60"/>
        <v>44177.822024999994</v>
      </c>
      <c r="DF26" s="35">
        <f t="shared" si="61"/>
        <v>44177.822024999994</v>
      </c>
      <c r="DG26" s="35">
        <f t="shared" si="62"/>
        <v>6260.3270999999995</v>
      </c>
      <c r="DH26" s="5"/>
      <c r="DI26" s="35"/>
      <c r="DJ26" s="35">
        <f t="shared" si="63"/>
        <v>65997.7635205</v>
      </c>
      <c r="DK26" s="5">
        <f t="shared" si="64"/>
        <v>65997.7635205</v>
      </c>
      <c r="DL26" s="35">
        <f t="shared" si="65"/>
        <v>9352.375662</v>
      </c>
      <c r="DM26" s="5"/>
      <c r="DN26" s="35"/>
      <c r="DO26" s="35">
        <f t="shared" si="66"/>
        <v>550.0679308</v>
      </c>
      <c r="DP26" s="5">
        <f t="shared" si="67"/>
        <v>550.0679308</v>
      </c>
      <c r="DQ26" s="35">
        <f t="shared" si="68"/>
        <v>77.9487312</v>
      </c>
      <c r="DR26" s="5"/>
      <c r="DS26" s="35"/>
      <c r="DT26" s="35">
        <f t="shared" si="69"/>
        <v>21092.0953829</v>
      </c>
      <c r="DU26" s="5">
        <f t="shared" si="70"/>
        <v>21092.0953829</v>
      </c>
      <c r="DV26" s="35">
        <f t="shared" si="71"/>
        <v>2988.9073356</v>
      </c>
      <c r="DW26" s="5"/>
      <c r="DX26" s="35"/>
      <c r="DY26" s="35">
        <f t="shared" si="72"/>
        <v>35191.825608299994</v>
      </c>
      <c r="DZ26" s="5">
        <f t="shared" si="73"/>
        <v>35191.825608299994</v>
      </c>
      <c r="EA26" s="35">
        <f t="shared" si="74"/>
        <v>4986.944341199999</v>
      </c>
      <c r="EB26" s="5"/>
      <c r="EC26" s="35"/>
      <c r="ED26" s="35">
        <f t="shared" si="75"/>
        <v>30129.134240299998</v>
      </c>
      <c r="EE26" s="5">
        <f t="shared" si="76"/>
        <v>30129.134240299998</v>
      </c>
      <c r="EF26" s="35">
        <f t="shared" si="77"/>
        <v>4269.5231892</v>
      </c>
      <c r="EG26" s="5"/>
      <c r="EH26" s="35"/>
      <c r="EI26" s="35">
        <f t="shared" si="78"/>
        <v>29875.7750627</v>
      </c>
      <c r="EJ26" s="5">
        <f t="shared" si="79"/>
        <v>29875.7750627</v>
      </c>
      <c r="EK26" s="35">
        <f t="shared" si="80"/>
        <v>4233.6203028</v>
      </c>
      <c r="EL26" s="5"/>
      <c r="EM26" s="35"/>
      <c r="EN26" s="35">
        <f t="shared" si="81"/>
        <v>43318.4672258</v>
      </c>
      <c r="EO26" s="35">
        <f t="shared" si="82"/>
        <v>43318.4672258</v>
      </c>
      <c r="EP26" s="35">
        <f t="shared" si="83"/>
        <v>6138.550111199999</v>
      </c>
      <c r="EQ26" s="5"/>
      <c r="ER26" s="35"/>
      <c r="ES26" s="35">
        <f t="shared" si="84"/>
        <v>54869.8937726</v>
      </c>
      <c r="ET26" s="35">
        <f t="shared" si="85"/>
        <v>54869.8937726</v>
      </c>
      <c r="EU26" s="35">
        <f t="shared" si="86"/>
        <v>7775.473466400001</v>
      </c>
      <c r="EV26" s="5"/>
      <c r="EW26" s="35"/>
      <c r="EX26" s="35">
        <f t="shared" si="87"/>
        <v>253.1907207</v>
      </c>
      <c r="EY26" s="5">
        <f t="shared" si="88"/>
        <v>253.1907207</v>
      </c>
      <c r="EZ26" s="35">
        <f t="shared" si="89"/>
        <v>35.8790148</v>
      </c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</row>
    <row r="27" spans="1:199" ht="12.75">
      <c r="A27" s="36">
        <v>46478</v>
      </c>
      <c r="C27" s="78">
        <v>7220000</v>
      </c>
      <c r="D27" s="78">
        <v>561523</v>
      </c>
      <c r="E27" s="34">
        <f t="shared" si="0"/>
        <v>7781523</v>
      </c>
      <c r="F27" s="34">
        <v>79572</v>
      </c>
      <c r="H27" s="35">
        <f t="shared" si="90"/>
        <v>1611727.82</v>
      </c>
      <c r="I27" s="35">
        <f t="shared" si="1"/>
        <v>125349.340813</v>
      </c>
      <c r="J27" s="35">
        <f t="shared" si="2"/>
        <v>1737077.160813</v>
      </c>
      <c r="K27" s="35">
        <f>'Academic Project '!K27</f>
        <v>17762.937132</v>
      </c>
      <c r="M27" s="35">
        <f>R27+W27+AB27+AG27+AL27+AQ27+AV27+BA27+BF27+BK27+BP27+BU27+BZ27+CE27+CO27+CT27+CY27+DD27+DI27+DN27+DS27+DX27+EC27+EH27+CJ27+EM27+ER27+EW27+FB27</f>
        <v>5608272.179999999</v>
      </c>
      <c r="N27" s="34">
        <f t="shared" si="3"/>
        <v>436173.65918699995</v>
      </c>
      <c r="O27" s="5">
        <f t="shared" si="4"/>
        <v>6044445.839186999</v>
      </c>
      <c r="P27" s="34">
        <f t="shared" si="5"/>
        <v>61809.062867999986</v>
      </c>
      <c r="R27" s="35">
        <f t="shared" si="91"/>
        <v>1568.184</v>
      </c>
      <c r="S27" s="35">
        <f t="shared" si="6"/>
        <v>121.96279559999999</v>
      </c>
      <c r="T27" s="5">
        <f t="shared" si="7"/>
        <v>1690.1467956</v>
      </c>
      <c r="U27" s="35">
        <f t="shared" si="8"/>
        <v>17.2830384</v>
      </c>
      <c r="W27" s="35">
        <f t="shared" si="92"/>
        <v>166886.69</v>
      </c>
      <c r="X27" s="35">
        <f t="shared" si="9"/>
        <v>12979.3233835</v>
      </c>
      <c r="Y27" s="5">
        <f t="shared" si="10"/>
        <v>179866.0133835</v>
      </c>
      <c r="Z27" s="35">
        <f t="shared" si="11"/>
        <v>1839.266994</v>
      </c>
      <c r="AB27" s="35">
        <f t="shared" si="93"/>
        <v>10240.126</v>
      </c>
      <c r="AC27" s="35">
        <f t="shared" si="12"/>
        <v>796.4080709</v>
      </c>
      <c r="AD27" s="35">
        <f t="shared" si="13"/>
        <v>11036.534070900001</v>
      </c>
      <c r="AE27" s="35">
        <f t="shared" si="14"/>
        <v>112.85696759999999</v>
      </c>
      <c r="AG27" s="35">
        <f t="shared" si="94"/>
        <v>74062.038</v>
      </c>
      <c r="AH27" s="35">
        <f t="shared" si="15"/>
        <v>5760.0467817</v>
      </c>
      <c r="AI27" s="5">
        <f t="shared" si="16"/>
        <v>79822.0847817</v>
      </c>
      <c r="AJ27" s="35">
        <f t="shared" si="17"/>
        <v>816.2416188000001</v>
      </c>
      <c r="AL27" s="35">
        <f t="shared" si="95"/>
        <v>58580.192</v>
      </c>
      <c r="AM27" s="35">
        <f t="shared" si="18"/>
        <v>4555.9730128</v>
      </c>
      <c r="AN27" s="5">
        <f t="shared" si="19"/>
        <v>63136.165012800004</v>
      </c>
      <c r="AO27" s="35">
        <f t="shared" si="20"/>
        <v>645.6153792</v>
      </c>
      <c r="AQ27" s="35">
        <f t="shared" si="96"/>
        <v>15626.967999999999</v>
      </c>
      <c r="AR27" s="35">
        <f t="shared" si="21"/>
        <v>1215.3603812</v>
      </c>
      <c r="AS27" s="5">
        <f t="shared" si="22"/>
        <v>16842.328381199997</v>
      </c>
      <c r="AT27" s="35">
        <f t="shared" si="23"/>
        <v>172.2256368</v>
      </c>
      <c r="AV27" s="35">
        <f t="shared" si="97"/>
        <v>176696.50400000002</v>
      </c>
      <c r="AW27" s="35">
        <f t="shared" si="24"/>
        <v>13742.2646836</v>
      </c>
      <c r="AX27" s="5">
        <f t="shared" si="25"/>
        <v>190438.7686836</v>
      </c>
      <c r="AY27" s="35">
        <f t="shared" si="26"/>
        <v>1947.3814704000001</v>
      </c>
      <c r="AZ27" s="5"/>
      <c r="BA27" s="35">
        <f t="shared" si="98"/>
        <v>3106.766</v>
      </c>
      <c r="BB27" s="35">
        <f t="shared" si="27"/>
        <v>241.6233469</v>
      </c>
      <c r="BC27" s="5">
        <f t="shared" si="28"/>
        <v>3348.3893469</v>
      </c>
      <c r="BD27" s="35">
        <f t="shared" si="29"/>
        <v>34.2398316</v>
      </c>
      <c r="BE27" s="5"/>
      <c r="BF27" s="35">
        <f t="shared" si="99"/>
        <v>663.518</v>
      </c>
      <c r="BG27" s="35">
        <f t="shared" si="30"/>
        <v>51.6039637</v>
      </c>
      <c r="BH27" s="5">
        <f t="shared" si="31"/>
        <v>715.1219637</v>
      </c>
      <c r="BI27" s="35">
        <f t="shared" si="32"/>
        <v>7.3126668</v>
      </c>
      <c r="BJ27" s="5"/>
      <c r="BK27" s="35">
        <f t="shared" si="100"/>
        <v>634594.68</v>
      </c>
      <c r="BL27" s="35">
        <f t="shared" si="33"/>
        <v>49354.502562</v>
      </c>
      <c r="BM27" s="5">
        <f t="shared" si="34"/>
        <v>683949.182562</v>
      </c>
      <c r="BN27" s="35">
        <f t="shared" si="35"/>
        <v>6993.901368</v>
      </c>
      <c r="BO27" s="5"/>
      <c r="BP27" s="35">
        <f t="shared" si="101"/>
        <v>1223.79</v>
      </c>
      <c r="BQ27" s="35">
        <f t="shared" si="36"/>
        <v>95.1781485</v>
      </c>
      <c r="BR27" s="5">
        <f t="shared" si="37"/>
        <v>1318.9681484999999</v>
      </c>
      <c r="BS27" s="35">
        <f t="shared" si="38"/>
        <v>13.487454</v>
      </c>
      <c r="BT27" s="5"/>
      <c r="BU27" s="35">
        <f t="shared" si="102"/>
        <v>727.054</v>
      </c>
      <c r="BV27" s="35">
        <f t="shared" si="39"/>
        <v>56.545366099999995</v>
      </c>
      <c r="BW27" s="5">
        <f t="shared" si="40"/>
        <v>783.5993661</v>
      </c>
      <c r="BX27" s="35">
        <f t="shared" si="41"/>
        <v>8.0129004</v>
      </c>
      <c r="BY27" s="5"/>
      <c r="BZ27" s="35">
        <f t="shared" si="103"/>
        <v>45364.704</v>
      </c>
      <c r="CA27" s="35">
        <f t="shared" si="42"/>
        <v>3528.1613136</v>
      </c>
      <c r="CB27" s="5">
        <f t="shared" si="43"/>
        <v>48892.8653136</v>
      </c>
      <c r="CC27" s="35">
        <f t="shared" si="44"/>
        <v>499.9667904</v>
      </c>
      <c r="CD27" s="5"/>
      <c r="CE27" s="35">
        <f t="shared" si="104"/>
        <v>4791.914000000001</v>
      </c>
      <c r="CF27" s="35">
        <f t="shared" si="45"/>
        <v>372.6828151</v>
      </c>
      <c r="CG27" s="5">
        <f t="shared" si="46"/>
        <v>5164.596815100001</v>
      </c>
      <c r="CH27" s="35">
        <f t="shared" si="47"/>
        <v>52.8119364</v>
      </c>
      <c r="CI27" s="5"/>
      <c r="CJ27" s="35">
        <f>$C27*CK$6</f>
        <v>13090.582</v>
      </c>
      <c r="CK27" s="35">
        <f t="shared" si="48"/>
        <v>1018.0973513</v>
      </c>
      <c r="CL27" s="5">
        <f t="shared" si="49"/>
        <v>14108.679351300001</v>
      </c>
      <c r="CM27" s="35">
        <f t="shared" si="50"/>
        <v>144.2719932</v>
      </c>
      <c r="CN27" s="5"/>
      <c r="CO27" s="35">
        <f t="shared" si="105"/>
        <v>128047.422</v>
      </c>
      <c r="CP27" s="35">
        <f t="shared" si="51"/>
        <v>9958.666557300001</v>
      </c>
      <c r="CQ27" s="35">
        <f t="shared" si="52"/>
        <v>138006.0885573</v>
      </c>
      <c r="CR27" s="35">
        <f t="shared" si="53"/>
        <v>1411.2173772</v>
      </c>
      <c r="CS27" s="5"/>
      <c r="CT27" s="35">
        <f t="shared" si="106"/>
        <v>17683.224</v>
      </c>
      <c r="CU27" s="35">
        <f t="shared" si="54"/>
        <v>1375.2821316</v>
      </c>
      <c r="CV27" s="35">
        <f t="shared" si="55"/>
        <v>19058.5061316</v>
      </c>
      <c r="CW27" s="35">
        <f t="shared" si="56"/>
        <v>194.88774239999998</v>
      </c>
      <c r="CX27" s="5"/>
      <c r="CY27" s="35">
        <f t="shared" si="107"/>
        <v>70640.48</v>
      </c>
      <c r="CZ27" s="35">
        <f t="shared" si="57"/>
        <v>5493.941032</v>
      </c>
      <c r="DA27" s="5">
        <f t="shared" si="58"/>
        <v>76134.421032</v>
      </c>
      <c r="DB27" s="35">
        <f t="shared" si="59"/>
        <v>778.5324479999999</v>
      </c>
      <c r="DC27" s="5"/>
      <c r="DD27" s="35">
        <f t="shared" si="108"/>
        <v>568033.5</v>
      </c>
      <c r="DE27" s="35">
        <f t="shared" si="60"/>
        <v>44177.822024999994</v>
      </c>
      <c r="DF27" s="35">
        <f t="shared" si="61"/>
        <v>612211.322025</v>
      </c>
      <c r="DG27" s="35">
        <f t="shared" si="62"/>
        <v>6260.3270999999995</v>
      </c>
      <c r="DH27" s="5"/>
      <c r="DI27" s="35">
        <f t="shared" si="109"/>
        <v>848591.87</v>
      </c>
      <c r="DJ27" s="35">
        <f t="shared" si="63"/>
        <v>65997.7635205</v>
      </c>
      <c r="DK27" s="5">
        <f t="shared" si="64"/>
        <v>914589.6335205</v>
      </c>
      <c r="DL27" s="35">
        <f t="shared" si="65"/>
        <v>9352.375662</v>
      </c>
      <c r="DM27" s="5"/>
      <c r="DN27" s="35">
        <f t="shared" si="110"/>
        <v>7072.7119999999995</v>
      </c>
      <c r="DO27" s="35">
        <f t="shared" si="66"/>
        <v>550.0679308</v>
      </c>
      <c r="DP27" s="5">
        <f t="shared" si="67"/>
        <v>7622.779930799999</v>
      </c>
      <c r="DQ27" s="35">
        <f t="shared" si="68"/>
        <v>77.9487312</v>
      </c>
      <c r="DR27" s="5"/>
      <c r="DS27" s="35">
        <f t="shared" si="111"/>
        <v>271199.806</v>
      </c>
      <c r="DT27" s="35">
        <f t="shared" si="69"/>
        <v>21092.0953829</v>
      </c>
      <c r="DU27" s="5">
        <f t="shared" si="70"/>
        <v>292291.90138289996</v>
      </c>
      <c r="DV27" s="35">
        <f t="shared" si="71"/>
        <v>2988.9073356</v>
      </c>
      <c r="DW27" s="5"/>
      <c r="DX27" s="35">
        <f t="shared" si="112"/>
        <v>452492.562</v>
      </c>
      <c r="DY27" s="35">
        <f t="shared" si="72"/>
        <v>35191.825608299994</v>
      </c>
      <c r="DZ27" s="5">
        <f t="shared" si="73"/>
        <v>487684.38760829996</v>
      </c>
      <c r="EA27" s="35">
        <f t="shared" si="74"/>
        <v>4986.944341199999</v>
      </c>
      <c r="EB27" s="5"/>
      <c r="EC27" s="35">
        <f t="shared" si="113"/>
        <v>387397.042</v>
      </c>
      <c r="ED27" s="35">
        <f t="shared" si="75"/>
        <v>30129.134240299998</v>
      </c>
      <c r="EE27" s="5">
        <f t="shared" si="76"/>
        <v>417526.1762403</v>
      </c>
      <c r="EF27" s="35">
        <f t="shared" si="77"/>
        <v>4269.5231892</v>
      </c>
      <c r="EG27" s="5"/>
      <c r="EH27" s="35">
        <f t="shared" si="114"/>
        <v>384139.37799999997</v>
      </c>
      <c r="EI27" s="35">
        <f t="shared" si="78"/>
        <v>29875.7750627</v>
      </c>
      <c r="EJ27" s="5">
        <f t="shared" si="79"/>
        <v>414015.15306269994</v>
      </c>
      <c r="EK27" s="35">
        <f t="shared" si="80"/>
        <v>4233.6203028</v>
      </c>
      <c r="EL27" s="5"/>
      <c r="EM27" s="35">
        <f t="shared" si="115"/>
        <v>556984.012</v>
      </c>
      <c r="EN27" s="35">
        <f t="shared" si="81"/>
        <v>43318.4672258</v>
      </c>
      <c r="EO27" s="35">
        <f t="shared" si="82"/>
        <v>600302.4792258</v>
      </c>
      <c r="EP27" s="35">
        <f t="shared" si="83"/>
        <v>6138.550111199999</v>
      </c>
      <c r="EQ27" s="5"/>
      <c r="ER27" s="35">
        <f t="shared" si="116"/>
        <v>705510.964</v>
      </c>
      <c r="ES27" s="35">
        <f t="shared" si="84"/>
        <v>54869.8937726</v>
      </c>
      <c r="ET27" s="35">
        <f t="shared" si="85"/>
        <v>760380.8577726</v>
      </c>
      <c r="EU27" s="35">
        <f t="shared" si="86"/>
        <v>7775.473466400001</v>
      </c>
      <c r="EV27" s="5"/>
      <c r="EW27" s="35">
        <f t="shared" si="117"/>
        <v>3255.498</v>
      </c>
      <c r="EX27" s="35">
        <f t="shared" si="87"/>
        <v>253.1907207</v>
      </c>
      <c r="EY27" s="5">
        <f t="shared" si="88"/>
        <v>3508.6887207</v>
      </c>
      <c r="EZ27" s="35">
        <f t="shared" si="89"/>
        <v>35.8790148</v>
      </c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</row>
    <row r="28" spans="1:199" ht="12.75">
      <c r="A28" s="36">
        <v>46661</v>
      </c>
      <c r="C28" s="78"/>
      <c r="D28" s="78">
        <v>433638</v>
      </c>
      <c r="E28" s="34">
        <f t="shared" si="0"/>
        <v>433638</v>
      </c>
      <c r="F28" s="34">
        <v>79572</v>
      </c>
      <c r="H28" s="35"/>
      <c r="I28" s="35">
        <f t="shared" si="1"/>
        <v>96801.444378</v>
      </c>
      <c r="J28" s="35">
        <f t="shared" si="2"/>
        <v>96801.444378</v>
      </c>
      <c r="K28" s="35">
        <f>'Academic Project '!K28</f>
        <v>17762.937132</v>
      </c>
      <c r="M28" s="35"/>
      <c r="N28" s="34">
        <f t="shared" si="3"/>
        <v>336836.555622</v>
      </c>
      <c r="O28" s="5">
        <f t="shared" si="4"/>
        <v>336836.555622</v>
      </c>
      <c r="P28" s="34">
        <f t="shared" si="5"/>
        <v>61809.062867999986</v>
      </c>
      <c r="R28" s="35"/>
      <c r="S28" s="35">
        <f t="shared" si="6"/>
        <v>94.1861736</v>
      </c>
      <c r="T28" s="5">
        <f t="shared" si="7"/>
        <v>94.1861736</v>
      </c>
      <c r="U28" s="35">
        <f t="shared" si="8"/>
        <v>17.2830384</v>
      </c>
      <c r="W28" s="35"/>
      <c r="X28" s="35">
        <f t="shared" si="9"/>
        <v>10023.325551</v>
      </c>
      <c r="Y28" s="5">
        <f t="shared" si="10"/>
        <v>10023.325551</v>
      </c>
      <c r="Z28" s="35">
        <f t="shared" si="11"/>
        <v>1839.266994</v>
      </c>
      <c r="AB28" s="35"/>
      <c r="AC28" s="35">
        <f t="shared" si="12"/>
        <v>615.0287754</v>
      </c>
      <c r="AD28" s="35">
        <f t="shared" si="13"/>
        <v>615.0287754</v>
      </c>
      <c r="AE28" s="35">
        <f t="shared" si="14"/>
        <v>112.85696759999999</v>
      </c>
      <c r="AG28" s="35"/>
      <c r="AH28" s="35">
        <f t="shared" si="15"/>
        <v>4448.2152402</v>
      </c>
      <c r="AI28" s="5">
        <f t="shared" si="16"/>
        <v>4448.2152402</v>
      </c>
      <c r="AJ28" s="35">
        <f t="shared" si="17"/>
        <v>816.2416188000001</v>
      </c>
      <c r="AL28" s="35"/>
      <c r="AM28" s="35">
        <f t="shared" si="18"/>
        <v>3518.3652768</v>
      </c>
      <c r="AN28" s="5">
        <f t="shared" si="19"/>
        <v>3518.3652768</v>
      </c>
      <c r="AO28" s="35">
        <f t="shared" si="20"/>
        <v>645.6153792</v>
      </c>
      <c r="AQ28" s="35"/>
      <c r="AR28" s="35">
        <f t="shared" si="21"/>
        <v>938.5660872</v>
      </c>
      <c r="AS28" s="5">
        <f t="shared" si="22"/>
        <v>938.5660872</v>
      </c>
      <c r="AT28" s="35">
        <f t="shared" si="23"/>
        <v>172.2256368</v>
      </c>
      <c r="AV28" s="35"/>
      <c r="AW28" s="35">
        <f t="shared" si="24"/>
        <v>10612.5095016</v>
      </c>
      <c r="AX28" s="5">
        <f t="shared" si="25"/>
        <v>10612.5095016</v>
      </c>
      <c r="AY28" s="35">
        <f t="shared" si="26"/>
        <v>1947.3814704000001</v>
      </c>
      <c r="AZ28" s="5"/>
      <c r="BA28" s="35"/>
      <c r="BB28" s="35">
        <f t="shared" si="27"/>
        <v>186.5944314</v>
      </c>
      <c r="BC28" s="5">
        <f t="shared" si="28"/>
        <v>186.5944314</v>
      </c>
      <c r="BD28" s="35">
        <f t="shared" si="29"/>
        <v>34.2398316</v>
      </c>
      <c r="BE28" s="5"/>
      <c r="BF28" s="35"/>
      <c r="BG28" s="35">
        <f t="shared" si="30"/>
        <v>39.8513322</v>
      </c>
      <c r="BH28" s="5">
        <f t="shared" si="31"/>
        <v>39.8513322</v>
      </c>
      <c r="BI28" s="35">
        <f t="shared" si="32"/>
        <v>7.3126668</v>
      </c>
      <c r="BJ28" s="5"/>
      <c r="BK28" s="35"/>
      <c r="BL28" s="35">
        <f t="shared" si="33"/>
        <v>38114.178372</v>
      </c>
      <c r="BM28" s="5">
        <f t="shared" si="34"/>
        <v>38114.178372</v>
      </c>
      <c r="BN28" s="35">
        <f t="shared" si="35"/>
        <v>6993.901368</v>
      </c>
      <c r="BO28" s="5"/>
      <c r="BP28" s="35"/>
      <c r="BQ28" s="35">
        <f t="shared" si="36"/>
        <v>73.501641</v>
      </c>
      <c r="BR28" s="5">
        <f t="shared" si="37"/>
        <v>73.501641</v>
      </c>
      <c r="BS28" s="35">
        <f t="shared" si="38"/>
        <v>13.487454</v>
      </c>
      <c r="BT28" s="5"/>
      <c r="BU28" s="35"/>
      <c r="BV28" s="35">
        <f t="shared" si="39"/>
        <v>43.667346599999995</v>
      </c>
      <c r="BW28" s="5">
        <f t="shared" si="40"/>
        <v>43.667346599999995</v>
      </c>
      <c r="BX28" s="35">
        <f t="shared" si="41"/>
        <v>8.0129004</v>
      </c>
      <c r="BY28" s="5"/>
      <c r="BZ28" s="35"/>
      <c r="CA28" s="35">
        <f t="shared" si="42"/>
        <v>2724.6342816</v>
      </c>
      <c r="CB28" s="5">
        <f t="shared" si="43"/>
        <v>2724.6342816</v>
      </c>
      <c r="CC28" s="35">
        <f t="shared" si="44"/>
        <v>499.9667904</v>
      </c>
      <c r="CD28" s="5"/>
      <c r="CE28" s="35"/>
      <c r="CF28" s="35">
        <f t="shared" si="45"/>
        <v>287.80554060000003</v>
      </c>
      <c r="CG28" s="5">
        <f t="shared" si="46"/>
        <v>287.80554060000003</v>
      </c>
      <c r="CH28" s="35">
        <f t="shared" si="47"/>
        <v>52.8119364</v>
      </c>
      <c r="CI28" s="5"/>
      <c r="CJ28" s="35"/>
      <c r="CK28" s="35">
        <f t="shared" si="48"/>
        <v>786.2290578</v>
      </c>
      <c r="CL28" s="5">
        <f t="shared" si="49"/>
        <v>786.2290578</v>
      </c>
      <c r="CM28" s="35">
        <f t="shared" si="50"/>
        <v>144.2719932</v>
      </c>
      <c r="CN28" s="5"/>
      <c r="CO28" s="35"/>
      <c r="CP28" s="35">
        <f t="shared" si="51"/>
        <v>7690.6132938</v>
      </c>
      <c r="CQ28" s="35">
        <f t="shared" si="52"/>
        <v>7690.6132938</v>
      </c>
      <c r="CR28" s="35">
        <f t="shared" si="53"/>
        <v>1411.2173772</v>
      </c>
      <c r="CS28" s="5"/>
      <c r="CT28" s="35"/>
      <c r="CU28" s="35">
        <f t="shared" si="54"/>
        <v>1062.0661896</v>
      </c>
      <c r="CV28" s="35">
        <f t="shared" si="55"/>
        <v>1062.0661896</v>
      </c>
      <c r="CW28" s="35">
        <f t="shared" si="56"/>
        <v>194.88774239999998</v>
      </c>
      <c r="CX28" s="5"/>
      <c r="CY28" s="35"/>
      <c r="CZ28" s="35">
        <f t="shared" si="57"/>
        <v>4242.7141919999995</v>
      </c>
      <c r="DA28" s="5">
        <f t="shared" si="58"/>
        <v>4242.7141919999995</v>
      </c>
      <c r="DB28" s="35">
        <f t="shared" si="59"/>
        <v>778.5324479999999</v>
      </c>
      <c r="DC28" s="5"/>
      <c r="DD28" s="35"/>
      <c r="DE28" s="35">
        <f t="shared" si="60"/>
        <v>34116.46965</v>
      </c>
      <c r="DF28" s="35">
        <f t="shared" si="61"/>
        <v>34116.46965</v>
      </c>
      <c r="DG28" s="35">
        <f t="shared" si="62"/>
        <v>6260.3270999999995</v>
      </c>
      <c r="DH28" s="5"/>
      <c r="DI28" s="35"/>
      <c r="DJ28" s="35">
        <f t="shared" si="63"/>
        <v>50966.991873</v>
      </c>
      <c r="DK28" s="5">
        <f t="shared" si="64"/>
        <v>50966.991873</v>
      </c>
      <c r="DL28" s="35">
        <f t="shared" si="65"/>
        <v>9352.375662</v>
      </c>
      <c r="DM28" s="5"/>
      <c r="DN28" s="35"/>
      <c r="DO28" s="35">
        <f t="shared" si="66"/>
        <v>424.79178479999996</v>
      </c>
      <c r="DP28" s="5">
        <f t="shared" si="67"/>
        <v>424.79178479999996</v>
      </c>
      <c r="DQ28" s="35">
        <f t="shared" si="68"/>
        <v>77.9487312</v>
      </c>
      <c r="DR28" s="5"/>
      <c r="DS28" s="35"/>
      <c r="DT28" s="35">
        <f t="shared" si="69"/>
        <v>16288.4406474</v>
      </c>
      <c r="DU28" s="5">
        <f t="shared" si="70"/>
        <v>16288.4406474</v>
      </c>
      <c r="DV28" s="35">
        <f t="shared" si="71"/>
        <v>2988.9073356</v>
      </c>
      <c r="DW28" s="5"/>
      <c r="DX28" s="35"/>
      <c r="DY28" s="35">
        <f t="shared" si="72"/>
        <v>27177.004099799997</v>
      </c>
      <c r="DZ28" s="5">
        <f t="shared" si="73"/>
        <v>27177.004099799997</v>
      </c>
      <c r="EA28" s="35">
        <f t="shared" si="74"/>
        <v>4986.944341199999</v>
      </c>
      <c r="EB28" s="5"/>
      <c r="EC28" s="35"/>
      <c r="ED28" s="35">
        <f t="shared" si="75"/>
        <v>23267.3238918</v>
      </c>
      <c r="EE28" s="5">
        <f t="shared" si="76"/>
        <v>23267.3238918</v>
      </c>
      <c r="EF28" s="35">
        <f t="shared" si="77"/>
        <v>4269.5231892</v>
      </c>
      <c r="EG28" s="5"/>
      <c r="EH28" s="35"/>
      <c r="EI28" s="35">
        <f t="shared" si="78"/>
        <v>23071.6664262</v>
      </c>
      <c r="EJ28" s="5">
        <f t="shared" si="79"/>
        <v>23071.6664262</v>
      </c>
      <c r="EK28" s="35">
        <f t="shared" si="80"/>
        <v>4233.6203028</v>
      </c>
      <c r="EL28" s="5"/>
      <c r="EM28" s="35"/>
      <c r="EN28" s="35">
        <f t="shared" si="81"/>
        <v>33452.8300548</v>
      </c>
      <c r="EO28" s="35">
        <f t="shared" si="82"/>
        <v>33452.8300548</v>
      </c>
      <c r="EP28" s="35">
        <f t="shared" si="83"/>
        <v>6138.550111199999</v>
      </c>
      <c r="EQ28" s="5"/>
      <c r="ER28" s="35"/>
      <c r="ES28" s="35">
        <f t="shared" si="84"/>
        <v>42373.4575356</v>
      </c>
      <c r="ET28" s="35">
        <f t="shared" si="85"/>
        <v>42373.4575356</v>
      </c>
      <c r="EU28" s="35">
        <f t="shared" si="86"/>
        <v>7775.473466400001</v>
      </c>
      <c r="EV28" s="5"/>
      <c r="EW28" s="35"/>
      <c r="EX28" s="35">
        <f t="shared" si="87"/>
        <v>195.5273742</v>
      </c>
      <c r="EY28" s="5">
        <f t="shared" si="88"/>
        <v>195.5273742</v>
      </c>
      <c r="EZ28" s="35">
        <f t="shared" si="89"/>
        <v>35.8790148</v>
      </c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</row>
    <row r="29" spans="1:199" ht="12.75">
      <c r="A29" s="36">
        <v>46844</v>
      </c>
      <c r="C29" s="78">
        <v>7475000</v>
      </c>
      <c r="D29" s="78">
        <v>433638</v>
      </c>
      <c r="E29" s="34">
        <f t="shared" si="0"/>
        <v>7908638</v>
      </c>
      <c r="F29" s="34">
        <v>79572</v>
      </c>
      <c r="H29" s="35">
        <f t="shared" si="90"/>
        <v>1668651.725</v>
      </c>
      <c r="I29" s="35">
        <f t="shared" si="1"/>
        <v>96801.444378</v>
      </c>
      <c r="J29" s="35">
        <f t="shared" si="2"/>
        <v>1765453.169378</v>
      </c>
      <c r="K29" s="35">
        <f>'Academic Project '!K29</f>
        <v>17762.937132</v>
      </c>
      <c r="M29" s="35">
        <f>R29+W29+AB29+AG29+AL29+AQ29+AV29+BA29+BF29+BK29+BP29+BU29+BZ29+CE29+CO29+CT29+CY29+DD29+DI29+DN29+DS29+DX29+EC29+EH29+CJ29+EM29+ER29+EW29+FB29</f>
        <v>5806348.274999999</v>
      </c>
      <c r="N29" s="34">
        <f t="shared" si="3"/>
        <v>336836.555622</v>
      </c>
      <c r="O29" s="5">
        <f t="shared" si="4"/>
        <v>6143184.830622</v>
      </c>
      <c r="P29" s="34">
        <f t="shared" si="5"/>
        <v>61809.062867999986</v>
      </c>
      <c r="R29" s="35">
        <f t="shared" si="91"/>
        <v>1623.57</v>
      </c>
      <c r="S29" s="35">
        <f t="shared" si="6"/>
        <v>94.1861736</v>
      </c>
      <c r="T29" s="5">
        <f t="shared" si="7"/>
        <v>1717.7561736</v>
      </c>
      <c r="U29" s="35">
        <f t="shared" si="8"/>
        <v>17.2830384</v>
      </c>
      <c r="W29" s="35">
        <f t="shared" si="92"/>
        <v>172780.8875</v>
      </c>
      <c r="X29" s="35">
        <f t="shared" si="9"/>
        <v>10023.325551</v>
      </c>
      <c r="Y29" s="5">
        <f t="shared" si="10"/>
        <v>182804.213051</v>
      </c>
      <c r="Z29" s="35">
        <f t="shared" si="11"/>
        <v>1839.266994</v>
      </c>
      <c r="AB29" s="35">
        <f t="shared" si="93"/>
        <v>10601.7925</v>
      </c>
      <c r="AC29" s="35">
        <f t="shared" si="12"/>
        <v>615.0287754</v>
      </c>
      <c r="AD29" s="35">
        <f t="shared" si="13"/>
        <v>11216.8212754</v>
      </c>
      <c r="AE29" s="35">
        <f t="shared" si="14"/>
        <v>112.85696759999999</v>
      </c>
      <c r="AG29" s="35">
        <f t="shared" si="94"/>
        <v>76677.8025</v>
      </c>
      <c r="AH29" s="35">
        <f t="shared" si="15"/>
        <v>4448.2152402</v>
      </c>
      <c r="AI29" s="5">
        <f t="shared" si="16"/>
        <v>81126.01774020001</v>
      </c>
      <c r="AJ29" s="35">
        <f t="shared" si="17"/>
        <v>816.2416188000001</v>
      </c>
      <c r="AL29" s="35">
        <f t="shared" si="95"/>
        <v>60649.16</v>
      </c>
      <c r="AM29" s="35">
        <f t="shared" si="18"/>
        <v>3518.3652768</v>
      </c>
      <c r="AN29" s="5">
        <f t="shared" si="19"/>
        <v>64167.52527680001</v>
      </c>
      <c r="AO29" s="35">
        <f t="shared" si="20"/>
        <v>645.6153792</v>
      </c>
      <c r="AQ29" s="35">
        <f t="shared" si="96"/>
        <v>16178.89</v>
      </c>
      <c r="AR29" s="35">
        <f t="shared" si="21"/>
        <v>938.5660872</v>
      </c>
      <c r="AS29" s="5">
        <f t="shared" si="22"/>
        <v>17117.4560872</v>
      </c>
      <c r="AT29" s="35">
        <f t="shared" si="23"/>
        <v>172.2256368</v>
      </c>
      <c r="AV29" s="35">
        <f t="shared" si="97"/>
        <v>182937.17</v>
      </c>
      <c r="AW29" s="35">
        <f t="shared" si="24"/>
        <v>10612.5095016</v>
      </c>
      <c r="AX29" s="5">
        <f t="shared" si="25"/>
        <v>193549.6795016</v>
      </c>
      <c r="AY29" s="35">
        <f t="shared" si="26"/>
        <v>1947.3814704000001</v>
      </c>
      <c r="AZ29" s="5"/>
      <c r="BA29" s="35">
        <f t="shared" si="98"/>
        <v>3216.4925</v>
      </c>
      <c r="BB29" s="35">
        <f t="shared" si="27"/>
        <v>186.5944314</v>
      </c>
      <c r="BC29" s="5">
        <f t="shared" si="28"/>
        <v>3403.0869313999997</v>
      </c>
      <c r="BD29" s="35">
        <f t="shared" si="29"/>
        <v>34.2398316</v>
      </c>
      <c r="BE29" s="5"/>
      <c r="BF29" s="35">
        <f t="shared" si="99"/>
        <v>686.9525</v>
      </c>
      <c r="BG29" s="35">
        <f t="shared" si="30"/>
        <v>39.8513322</v>
      </c>
      <c r="BH29" s="5">
        <f t="shared" si="31"/>
        <v>726.8038322</v>
      </c>
      <c r="BI29" s="35">
        <f t="shared" si="32"/>
        <v>7.3126668</v>
      </c>
      <c r="BJ29" s="5"/>
      <c r="BK29" s="35">
        <f t="shared" si="100"/>
        <v>657007.65</v>
      </c>
      <c r="BL29" s="35">
        <f t="shared" si="33"/>
        <v>38114.178372</v>
      </c>
      <c r="BM29" s="5">
        <f t="shared" si="34"/>
        <v>695121.828372</v>
      </c>
      <c r="BN29" s="35">
        <f t="shared" si="35"/>
        <v>6993.901368</v>
      </c>
      <c r="BO29" s="5"/>
      <c r="BP29" s="35">
        <f t="shared" si="101"/>
        <v>1267.0125</v>
      </c>
      <c r="BQ29" s="35">
        <f t="shared" si="36"/>
        <v>73.501641</v>
      </c>
      <c r="BR29" s="5">
        <f t="shared" si="37"/>
        <v>1340.514141</v>
      </c>
      <c r="BS29" s="35">
        <f t="shared" si="38"/>
        <v>13.487454</v>
      </c>
      <c r="BT29" s="5"/>
      <c r="BU29" s="35">
        <f t="shared" si="102"/>
        <v>752.7325</v>
      </c>
      <c r="BV29" s="35">
        <f t="shared" si="39"/>
        <v>43.667346599999995</v>
      </c>
      <c r="BW29" s="5">
        <f t="shared" si="40"/>
        <v>796.3998465999999</v>
      </c>
      <c r="BX29" s="35">
        <f t="shared" si="41"/>
        <v>8.0129004</v>
      </c>
      <c r="BY29" s="5"/>
      <c r="BZ29" s="35">
        <f t="shared" si="103"/>
        <v>46966.92</v>
      </c>
      <c r="CA29" s="35">
        <f t="shared" si="42"/>
        <v>2724.6342816</v>
      </c>
      <c r="CB29" s="5">
        <f t="shared" si="43"/>
        <v>49691.5542816</v>
      </c>
      <c r="CC29" s="35">
        <f t="shared" si="44"/>
        <v>499.9667904</v>
      </c>
      <c r="CD29" s="5"/>
      <c r="CE29" s="35">
        <f t="shared" si="104"/>
        <v>4961.1575</v>
      </c>
      <c r="CF29" s="35">
        <f t="shared" si="45"/>
        <v>287.80554060000003</v>
      </c>
      <c r="CG29" s="5">
        <f t="shared" si="46"/>
        <v>5248.963040600001</v>
      </c>
      <c r="CH29" s="35">
        <f t="shared" si="47"/>
        <v>52.8119364</v>
      </c>
      <c r="CI29" s="5"/>
      <c r="CJ29" s="35">
        <f>$C29*CK$6</f>
        <v>13552.9225</v>
      </c>
      <c r="CK29" s="35">
        <f t="shared" si="48"/>
        <v>786.2290578</v>
      </c>
      <c r="CL29" s="5">
        <f t="shared" si="49"/>
        <v>14339.1515578</v>
      </c>
      <c r="CM29" s="35">
        <f t="shared" si="50"/>
        <v>144.2719932</v>
      </c>
      <c r="CN29" s="5"/>
      <c r="CO29" s="35">
        <f t="shared" si="105"/>
        <v>132569.8725</v>
      </c>
      <c r="CP29" s="35">
        <f t="shared" si="51"/>
        <v>7690.6132938</v>
      </c>
      <c r="CQ29" s="35">
        <f t="shared" si="52"/>
        <v>140260.4857938</v>
      </c>
      <c r="CR29" s="35">
        <f t="shared" si="53"/>
        <v>1411.2173772</v>
      </c>
      <c r="CS29" s="5"/>
      <c r="CT29" s="35">
        <f t="shared" si="106"/>
        <v>18307.77</v>
      </c>
      <c r="CU29" s="35">
        <f t="shared" si="54"/>
        <v>1062.0661896</v>
      </c>
      <c r="CV29" s="35">
        <f t="shared" si="55"/>
        <v>19369.8361896</v>
      </c>
      <c r="CW29" s="35">
        <f t="shared" si="56"/>
        <v>194.88774239999998</v>
      </c>
      <c r="CX29" s="5"/>
      <c r="CY29" s="35">
        <f t="shared" si="107"/>
        <v>73135.4</v>
      </c>
      <c r="CZ29" s="35">
        <f t="shared" si="57"/>
        <v>4242.7141919999995</v>
      </c>
      <c r="DA29" s="5">
        <f t="shared" si="58"/>
        <v>77378.114192</v>
      </c>
      <c r="DB29" s="35">
        <f t="shared" si="59"/>
        <v>778.5324479999999</v>
      </c>
      <c r="DC29" s="5"/>
      <c r="DD29" s="35">
        <f t="shared" si="108"/>
        <v>588095.625</v>
      </c>
      <c r="DE29" s="35">
        <f t="shared" si="60"/>
        <v>34116.46965</v>
      </c>
      <c r="DF29" s="35">
        <f t="shared" si="61"/>
        <v>622212.09465</v>
      </c>
      <c r="DG29" s="35">
        <f t="shared" si="62"/>
        <v>6260.3270999999995</v>
      </c>
      <c r="DH29" s="5"/>
      <c r="DI29" s="35">
        <f t="shared" si="109"/>
        <v>878562.9125</v>
      </c>
      <c r="DJ29" s="35">
        <f t="shared" si="63"/>
        <v>50966.991873</v>
      </c>
      <c r="DK29" s="5">
        <f t="shared" si="64"/>
        <v>929529.904373</v>
      </c>
      <c r="DL29" s="35">
        <f t="shared" si="65"/>
        <v>9352.375662</v>
      </c>
      <c r="DM29" s="5"/>
      <c r="DN29" s="35">
        <f t="shared" si="110"/>
        <v>7322.509999999999</v>
      </c>
      <c r="DO29" s="35">
        <f t="shared" si="66"/>
        <v>424.79178479999996</v>
      </c>
      <c r="DP29" s="5">
        <f t="shared" si="67"/>
        <v>7747.301784799999</v>
      </c>
      <c r="DQ29" s="35">
        <f t="shared" si="68"/>
        <v>77.9487312</v>
      </c>
      <c r="DR29" s="5"/>
      <c r="DS29" s="35">
        <f t="shared" si="111"/>
        <v>280778.1925</v>
      </c>
      <c r="DT29" s="35">
        <f t="shared" si="69"/>
        <v>16288.4406474</v>
      </c>
      <c r="DU29" s="5">
        <f t="shared" si="70"/>
        <v>297066.6331474</v>
      </c>
      <c r="DV29" s="35">
        <f t="shared" si="71"/>
        <v>2988.9073356</v>
      </c>
      <c r="DW29" s="5"/>
      <c r="DX29" s="35">
        <f t="shared" si="112"/>
        <v>468473.94749999995</v>
      </c>
      <c r="DY29" s="35">
        <f t="shared" si="72"/>
        <v>27177.004099799997</v>
      </c>
      <c r="DZ29" s="5">
        <f t="shared" si="73"/>
        <v>495650.95159979997</v>
      </c>
      <c r="EA29" s="35">
        <f t="shared" si="74"/>
        <v>4986.944341199999</v>
      </c>
      <c r="EB29" s="5"/>
      <c r="EC29" s="35">
        <f t="shared" si="113"/>
        <v>401079.3475</v>
      </c>
      <c r="ED29" s="35">
        <f t="shared" si="75"/>
        <v>23267.3238918</v>
      </c>
      <c r="EE29" s="5">
        <f t="shared" si="76"/>
        <v>424346.6713918</v>
      </c>
      <c r="EF29" s="35">
        <f t="shared" si="77"/>
        <v>4269.5231892</v>
      </c>
      <c r="EG29" s="5"/>
      <c r="EH29" s="35">
        <f t="shared" si="114"/>
        <v>397706.6275</v>
      </c>
      <c r="EI29" s="35">
        <f t="shared" si="78"/>
        <v>23071.6664262</v>
      </c>
      <c r="EJ29" s="5">
        <f t="shared" si="79"/>
        <v>420778.2939262</v>
      </c>
      <c r="EK29" s="35">
        <f t="shared" si="80"/>
        <v>4233.6203028</v>
      </c>
      <c r="EL29" s="5"/>
      <c r="EM29" s="35">
        <f t="shared" si="115"/>
        <v>576655.885</v>
      </c>
      <c r="EN29" s="35">
        <f t="shared" si="81"/>
        <v>33452.8300548</v>
      </c>
      <c r="EO29" s="35">
        <f t="shared" si="82"/>
        <v>610108.7150548</v>
      </c>
      <c r="EP29" s="35">
        <f t="shared" si="83"/>
        <v>6138.550111199999</v>
      </c>
      <c r="EQ29" s="5"/>
      <c r="ER29" s="35">
        <f t="shared" si="116"/>
        <v>730428.595</v>
      </c>
      <c r="ES29" s="35">
        <f t="shared" si="84"/>
        <v>42373.4575356</v>
      </c>
      <c r="ET29" s="35">
        <f t="shared" si="85"/>
        <v>772802.0525356</v>
      </c>
      <c r="EU29" s="35">
        <f t="shared" si="86"/>
        <v>7775.473466400001</v>
      </c>
      <c r="EV29" s="5"/>
      <c r="EW29" s="35">
        <f t="shared" si="117"/>
        <v>3370.4775</v>
      </c>
      <c r="EX29" s="35">
        <f t="shared" si="87"/>
        <v>195.5273742</v>
      </c>
      <c r="EY29" s="5">
        <f t="shared" si="88"/>
        <v>3566.0048742</v>
      </c>
      <c r="EZ29" s="35">
        <f t="shared" si="89"/>
        <v>35.8790148</v>
      </c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</row>
    <row r="30" spans="1:199" ht="12.75">
      <c r="A30" s="36">
        <v>47027</v>
      </c>
      <c r="C30" s="78"/>
      <c r="D30" s="78">
        <v>297593</v>
      </c>
      <c r="E30" s="34">
        <f t="shared" si="0"/>
        <v>297593</v>
      </c>
      <c r="F30" s="34">
        <v>79572</v>
      </c>
      <c r="H30" s="35"/>
      <c r="I30" s="35">
        <f t="shared" si="1"/>
        <v>66431.98298300001</v>
      </c>
      <c r="J30" s="35">
        <f t="shared" si="2"/>
        <v>66431.98298300001</v>
      </c>
      <c r="K30" s="35">
        <f>'Academic Project '!K30</f>
        <v>17762.937132</v>
      </c>
      <c r="M30" s="35"/>
      <c r="N30" s="34">
        <f t="shared" si="3"/>
        <v>231161.017017</v>
      </c>
      <c r="O30" s="5">
        <f t="shared" si="4"/>
        <v>231161.017017</v>
      </c>
      <c r="P30" s="34">
        <f t="shared" si="5"/>
        <v>61809.062867999986</v>
      </c>
      <c r="R30" s="35"/>
      <c r="S30" s="35">
        <f t="shared" si="6"/>
        <v>64.6371996</v>
      </c>
      <c r="T30" s="5">
        <f t="shared" si="7"/>
        <v>64.6371996</v>
      </c>
      <c r="U30" s="35">
        <f t="shared" si="8"/>
        <v>17.2830384</v>
      </c>
      <c r="W30" s="35"/>
      <c r="X30" s="35">
        <f t="shared" si="9"/>
        <v>6878.7133985</v>
      </c>
      <c r="Y30" s="5">
        <f t="shared" si="10"/>
        <v>6878.7133985</v>
      </c>
      <c r="Z30" s="35">
        <f t="shared" si="11"/>
        <v>1839.266994</v>
      </c>
      <c r="AB30" s="35"/>
      <c r="AC30" s="35">
        <f t="shared" si="12"/>
        <v>422.07615189999996</v>
      </c>
      <c r="AD30" s="35">
        <f t="shared" si="13"/>
        <v>422.07615189999996</v>
      </c>
      <c r="AE30" s="35">
        <f t="shared" si="14"/>
        <v>112.85696759999999</v>
      </c>
      <c r="AG30" s="35"/>
      <c r="AH30" s="35">
        <f t="shared" si="15"/>
        <v>3052.6792347</v>
      </c>
      <c r="AI30" s="5">
        <f t="shared" si="16"/>
        <v>3052.6792347</v>
      </c>
      <c r="AJ30" s="35">
        <f t="shared" si="17"/>
        <v>816.2416188000001</v>
      </c>
      <c r="AL30" s="35"/>
      <c r="AM30" s="35">
        <f t="shared" si="18"/>
        <v>2414.5505648000003</v>
      </c>
      <c r="AN30" s="5">
        <f t="shared" si="19"/>
        <v>2414.5505648000003</v>
      </c>
      <c r="AO30" s="35">
        <f t="shared" si="20"/>
        <v>645.6153792</v>
      </c>
      <c r="AQ30" s="35"/>
      <c r="AR30" s="35">
        <f t="shared" si="21"/>
        <v>644.1102892</v>
      </c>
      <c r="AS30" s="5">
        <f t="shared" si="22"/>
        <v>644.1102892</v>
      </c>
      <c r="AT30" s="35">
        <f t="shared" si="23"/>
        <v>172.2256368</v>
      </c>
      <c r="AV30" s="35"/>
      <c r="AW30" s="35">
        <f t="shared" si="24"/>
        <v>7283.0530076000005</v>
      </c>
      <c r="AX30" s="5">
        <f t="shared" si="25"/>
        <v>7283.0530076000005</v>
      </c>
      <c r="AY30" s="35">
        <f t="shared" si="26"/>
        <v>1947.3814704000001</v>
      </c>
      <c r="AZ30" s="5"/>
      <c r="BA30" s="35"/>
      <c r="BB30" s="35">
        <f t="shared" si="27"/>
        <v>128.05426789999999</v>
      </c>
      <c r="BC30" s="5">
        <f t="shared" si="28"/>
        <v>128.05426789999999</v>
      </c>
      <c r="BD30" s="35">
        <f t="shared" si="29"/>
        <v>34.2398316</v>
      </c>
      <c r="BE30" s="5"/>
      <c r="BF30" s="35"/>
      <c r="BG30" s="35">
        <f t="shared" si="30"/>
        <v>27.348796699999998</v>
      </c>
      <c r="BH30" s="5">
        <f t="shared" si="31"/>
        <v>27.348796699999998</v>
      </c>
      <c r="BI30" s="35">
        <f t="shared" si="32"/>
        <v>7.3126668</v>
      </c>
      <c r="BJ30" s="5"/>
      <c r="BK30" s="35"/>
      <c r="BL30" s="35">
        <f t="shared" si="33"/>
        <v>26156.639142</v>
      </c>
      <c r="BM30" s="5">
        <f t="shared" si="34"/>
        <v>26156.639142</v>
      </c>
      <c r="BN30" s="35">
        <f t="shared" si="35"/>
        <v>6993.901368</v>
      </c>
      <c r="BO30" s="5"/>
      <c r="BP30" s="35"/>
      <c r="BQ30" s="35">
        <f t="shared" si="36"/>
        <v>50.4420135</v>
      </c>
      <c r="BR30" s="5">
        <f t="shared" si="37"/>
        <v>50.4420135</v>
      </c>
      <c r="BS30" s="35">
        <f t="shared" si="38"/>
        <v>13.487454</v>
      </c>
      <c r="BT30" s="5"/>
      <c r="BU30" s="35"/>
      <c r="BV30" s="35">
        <f t="shared" si="39"/>
        <v>29.9676151</v>
      </c>
      <c r="BW30" s="5">
        <f t="shared" si="40"/>
        <v>29.9676151</v>
      </c>
      <c r="BX30" s="35">
        <f t="shared" si="41"/>
        <v>8.0129004</v>
      </c>
      <c r="BY30" s="5"/>
      <c r="BZ30" s="35"/>
      <c r="CA30" s="35">
        <f t="shared" si="42"/>
        <v>1869.8363376</v>
      </c>
      <c r="CB30" s="5">
        <f t="shared" si="43"/>
        <v>1869.8363376</v>
      </c>
      <c r="CC30" s="35">
        <f t="shared" si="44"/>
        <v>499.9667904</v>
      </c>
      <c r="CD30" s="5"/>
      <c r="CE30" s="35"/>
      <c r="CF30" s="35">
        <f t="shared" si="45"/>
        <v>197.51247410000002</v>
      </c>
      <c r="CG30" s="5">
        <f t="shared" si="46"/>
        <v>197.51247410000002</v>
      </c>
      <c r="CH30" s="35">
        <f t="shared" si="47"/>
        <v>52.8119364</v>
      </c>
      <c r="CI30" s="5"/>
      <c r="CJ30" s="35"/>
      <c r="CK30" s="35">
        <f t="shared" si="48"/>
        <v>539.5658683</v>
      </c>
      <c r="CL30" s="5">
        <f t="shared" si="49"/>
        <v>539.5658683</v>
      </c>
      <c r="CM30" s="35">
        <f t="shared" si="50"/>
        <v>144.2719932</v>
      </c>
      <c r="CN30" s="5"/>
      <c r="CO30" s="35"/>
      <c r="CP30" s="35">
        <f t="shared" si="51"/>
        <v>5277.8416143</v>
      </c>
      <c r="CQ30" s="35">
        <f t="shared" si="52"/>
        <v>5277.8416143</v>
      </c>
      <c r="CR30" s="35">
        <f t="shared" si="53"/>
        <v>1411.2173772</v>
      </c>
      <c r="CS30" s="5"/>
      <c r="CT30" s="35"/>
      <c r="CU30" s="35">
        <f t="shared" si="54"/>
        <v>728.8647755999999</v>
      </c>
      <c r="CV30" s="35">
        <f t="shared" si="55"/>
        <v>728.8647755999999</v>
      </c>
      <c r="CW30" s="35">
        <f t="shared" si="56"/>
        <v>194.88774239999998</v>
      </c>
      <c r="CX30" s="5"/>
      <c r="CY30" s="35"/>
      <c r="CZ30" s="35">
        <f t="shared" si="57"/>
        <v>2911.649912</v>
      </c>
      <c r="DA30" s="5">
        <f t="shared" si="58"/>
        <v>2911.649912</v>
      </c>
      <c r="DB30" s="35">
        <f t="shared" si="59"/>
        <v>778.5324479999999</v>
      </c>
      <c r="DC30" s="5"/>
      <c r="DD30" s="35"/>
      <c r="DE30" s="35">
        <f t="shared" si="60"/>
        <v>23413.129275</v>
      </c>
      <c r="DF30" s="35">
        <f t="shared" si="61"/>
        <v>23413.129275</v>
      </c>
      <c r="DG30" s="35">
        <f t="shared" si="62"/>
        <v>6260.3270999999995</v>
      </c>
      <c r="DH30" s="5"/>
      <c r="DI30" s="35"/>
      <c r="DJ30" s="35">
        <f t="shared" si="63"/>
        <v>34977.1468655</v>
      </c>
      <c r="DK30" s="5">
        <f t="shared" si="64"/>
        <v>34977.1468655</v>
      </c>
      <c r="DL30" s="35">
        <f t="shared" si="65"/>
        <v>9352.375662</v>
      </c>
      <c r="DM30" s="5"/>
      <c r="DN30" s="35"/>
      <c r="DO30" s="35">
        <f t="shared" si="66"/>
        <v>291.52210279999997</v>
      </c>
      <c r="DP30" s="5">
        <f t="shared" si="67"/>
        <v>291.52210279999997</v>
      </c>
      <c r="DQ30" s="35">
        <f t="shared" si="68"/>
        <v>77.9487312</v>
      </c>
      <c r="DR30" s="5"/>
      <c r="DS30" s="35"/>
      <c r="DT30" s="35">
        <f t="shared" si="69"/>
        <v>11178.2775439</v>
      </c>
      <c r="DU30" s="5">
        <f t="shared" si="70"/>
        <v>11178.2775439</v>
      </c>
      <c r="DV30" s="35">
        <f t="shared" si="71"/>
        <v>2988.9073356</v>
      </c>
      <c r="DW30" s="5"/>
      <c r="DX30" s="35"/>
      <c r="DY30" s="35">
        <f t="shared" si="72"/>
        <v>18650.7782553</v>
      </c>
      <c r="DZ30" s="5">
        <f t="shared" si="73"/>
        <v>18650.7782553</v>
      </c>
      <c r="EA30" s="35">
        <f t="shared" si="74"/>
        <v>4986.944341199999</v>
      </c>
      <c r="EB30" s="5"/>
      <c r="EC30" s="35"/>
      <c r="ED30" s="35">
        <f t="shared" si="75"/>
        <v>15967.6797673</v>
      </c>
      <c r="EE30" s="5">
        <f t="shared" si="76"/>
        <v>15967.6797673</v>
      </c>
      <c r="EF30" s="35">
        <f t="shared" si="77"/>
        <v>4269.5231892</v>
      </c>
      <c r="EG30" s="5"/>
      <c r="EH30" s="35"/>
      <c r="EI30" s="35">
        <f t="shared" si="78"/>
        <v>15833.4058057</v>
      </c>
      <c r="EJ30" s="5">
        <f t="shared" si="79"/>
        <v>15833.4058057</v>
      </c>
      <c r="EK30" s="35">
        <f t="shared" si="80"/>
        <v>4233.6203028</v>
      </c>
      <c r="EL30" s="5"/>
      <c r="EM30" s="35"/>
      <c r="EN30" s="35">
        <f t="shared" si="81"/>
        <v>22957.6929478</v>
      </c>
      <c r="EO30" s="35">
        <f t="shared" si="82"/>
        <v>22957.6929478</v>
      </c>
      <c r="EP30" s="35">
        <f t="shared" si="83"/>
        <v>6138.550111199999</v>
      </c>
      <c r="EQ30" s="5"/>
      <c r="ER30" s="35"/>
      <c r="ES30" s="35">
        <f t="shared" si="84"/>
        <v>29079.6571066</v>
      </c>
      <c r="ET30" s="35">
        <f t="shared" si="85"/>
        <v>29079.6571066</v>
      </c>
      <c r="EU30" s="35">
        <f t="shared" si="86"/>
        <v>7775.473466400001</v>
      </c>
      <c r="EV30" s="5"/>
      <c r="EW30" s="35"/>
      <c r="EX30" s="35">
        <f t="shared" si="87"/>
        <v>134.1846837</v>
      </c>
      <c r="EY30" s="5">
        <f t="shared" si="88"/>
        <v>134.1846837</v>
      </c>
      <c r="EZ30" s="35">
        <f t="shared" si="89"/>
        <v>35.8790148</v>
      </c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</row>
    <row r="31" spans="1:199" ht="12.75">
      <c r="A31" s="36">
        <v>47209</v>
      </c>
      <c r="C31" s="78">
        <v>7750000</v>
      </c>
      <c r="D31" s="78">
        <v>297593</v>
      </c>
      <c r="E31" s="34">
        <f t="shared" si="0"/>
        <v>8047593</v>
      </c>
      <c r="F31" s="34">
        <v>79572</v>
      </c>
      <c r="H31" s="35">
        <f t="shared" si="90"/>
        <v>1730040.25</v>
      </c>
      <c r="I31" s="35">
        <f t="shared" si="1"/>
        <v>66431.98298300001</v>
      </c>
      <c r="J31" s="35">
        <f t="shared" si="2"/>
        <v>1796472.232983</v>
      </c>
      <c r="K31" s="35">
        <f>'Academic Project '!K31</f>
        <v>17762.937132</v>
      </c>
      <c r="M31" s="35">
        <f>R31+W31+AB31+AG31+AL31+AQ31+AV31+BA31+BF31+BK31+BP31+BU31+BZ31+CE31+CO31+CT31+CY31+DD31+DI31+DN31+DS31+DX31+EC31+EH31+CJ31+EM31+ER31+EW31+FB31</f>
        <v>6019959.749999999</v>
      </c>
      <c r="N31" s="34">
        <f t="shared" si="3"/>
        <v>231161.017017</v>
      </c>
      <c r="O31" s="5">
        <f t="shared" si="4"/>
        <v>6251120.767016999</v>
      </c>
      <c r="P31" s="34">
        <f t="shared" si="5"/>
        <v>61809.062867999986</v>
      </c>
      <c r="R31" s="35">
        <f t="shared" si="91"/>
        <v>1683.3</v>
      </c>
      <c r="S31" s="35">
        <f t="shared" si="6"/>
        <v>64.6371996</v>
      </c>
      <c r="T31" s="5">
        <f t="shared" si="7"/>
        <v>1747.9371996</v>
      </c>
      <c r="U31" s="35">
        <f t="shared" si="8"/>
        <v>17.2830384</v>
      </c>
      <c r="W31" s="35">
        <f t="shared" si="92"/>
        <v>179137.375</v>
      </c>
      <c r="X31" s="35">
        <f t="shared" si="9"/>
        <v>6878.7133985</v>
      </c>
      <c r="Y31" s="5">
        <f t="shared" si="10"/>
        <v>186016.0883985</v>
      </c>
      <c r="Z31" s="35">
        <f t="shared" si="11"/>
        <v>1839.266994</v>
      </c>
      <c r="AB31" s="35">
        <f t="shared" si="93"/>
        <v>10991.824999999999</v>
      </c>
      <c r="AC31" s="35">
        <f t="shared" si="12"/>
        <v>422.07615189999996</v>
      </c>
      <c r="AD31" s="35">
        <f t="shared" si="13"/>
        <v>11413.9011519</v>
      </c>
      <c r="AE31" s="35">
        <f t="shared" si="14"/>
        <v>112.85696759999999</v>
      </c>
      <c r="AG31" s="35">
        <f t="shared" si="94"/>
        <v>79498.725</v>
      </c>
      <c r="AH31" s="35">
        <f t="shared" si="15"/>
        <v>3052.6792347</v>
      </c>
      <c r="AI31" s="5">
        <f t="shared" si="16"/>
        <v>82551.4042347</v>
      </c>
      <c r="AJ31" s="35">
        <f t="shared" si="17"/>
        <v>816.2416188000001</v>
      </c>
      <c r="AL31" s="35">
        <f t="shared" si="95"/>
        <v>62880.4</v>
      </c>
      <c r="AM31" s="35">
        <f t="shared" si="18"/>
        <v>2414.5505648000003</v>
      </c>
      <c r="AN31" s="5">
        <f t="shared" si="19"/>
        <v>65294.950564800005</v>
      </c>
      <c r="AO31" s="35">
        <f t="shared" si="20"/>
        <v>645.6153792</v>
      </c>
      <c r="AQ31" s="35">
        <f t="shared" si="96"/>
        <v>16774.1</v>
      </c>
      <c r="AR31" s="35">
        <f t="shared" si="21"/>
        <v>644.1102892</v>
      </c>
      <c r="AS31" s="5">
        <f t="shared" si="22"/>
        <v>17418.2102892</v>
      </c>
      <c r="AT31" s="35">
        <f t="shared" si="23"/>
        <v>172.2256368</v>
      </c>
      <c r="AV31" s="35">
        <f t="shared" si="97"/>
        <v>189667.30000000002</v>
      </c>
      <c r="AW31" s="35">
        <f t="shared" si="24"/>
        <v>7283.0530076000005</v>
      </c>
      <c r="AX31" s="5">
        <f t="shared" si="25"/>
        <v>196950.35300760003</v>
      </c>
      <c r="AY31" s="35">
        <f t="shared" si="26"/>
        <v>1947.3814704000001</v>
      </c>
      <c r="AZ31" s="5"/>
      <c r="BA31" s="35">
        <f t="shared" si="98"/>
        <v>3334.825</v>
      </c>
      <c r="BB31" s="35">
        <f t="shared" si="27"/>
        <v>128.05426789999999</v>
      </c>
      <c r="BC31" s="5">
        <f t="shared" si="28"/>
        <v>3462.8792679</v>
      </c>
      <c r="BD31" s="35">
        <f t="shared" si="29"/>
        <v>34.2398316</v>
      </c>
      <c r="BE31" s="5"/>
      <c r="BF31" s="35">
        <f t="shared" si="99"/>
        <v>712.225</v>
      </c>
      <c r="BG31" s="35">
        <f t="shared" si="30"/>
        <v>27.348796699999998</v>
      </c>
      <c r="BH31" s="5">
        <f t="shared" si="31"/>
        <v>739.5737967</v>
      </c>
      <c r="BI31" s="35">
        <f t="shared" si="32"/>
        <v>7.3126668</v>
      </c>
      <c r="BJ31" s="5"/>
      <c r="BK31" s="35">
        <f t="shared" si="100"/>
        <v>681178.5</v>
      </c>
      <c r="BL31" s="35">
        <f t="shared" si="33"/>
        <v>26156.639142</v>
      </c>
      <c r="BM31" s="5">
        <f t="shared" si="34"/>
        <v>707335.139142</v>
      </c>
      <c r="BN31" s="35">
        <f t="shared" si="35"/>
        <v>6993.901368</v>
      </c>
      <c r="BO31" s="5"/>
      <c r="BP31" s="35">
        <f t="shared" si="101"/>
        <v>1313.625</v>
      </c>
      <c r="BQ31" s="35">
        <f t="shared" si="36"/>
        <v>50.4420135</v>
      </c>
      <c r="BR31" s="5">
        <f t="shared" si="37"/>
        <v>1364.0670135</v>
      </c>
      <c r="BS31" s="35">
        <f t="shared" si="38"/>
        <v>13.487454</v>
      </c>
      <c r="BT31" s="5"/>
      <c r="BU31" s="35">
        <f t="shared" si="102"/>
        <v>780.425</v>
      </c>
      <c r="BV31" s="35">
        <f t="shared" si="39"/>
        <v>29.9676151</v>
      </c>
      <c r="BW31" s="5">
        <f t="shared" si="40"/>
        <v>810.3926151</v>
      </c>
      <c r="BX31" s="35">
        <f t="shared" si="41"/>
        <v>8.0129004</v>
      </c>
      <c r="BY31" s="5"/>
      <c r="BZ31" s="35">
        <f t="shared" si="103"/>
        <v>48694.8</v>
      </c>
      <c r="CA31" s="35">
        <f t="shared" si="42"/>
        <v>1869.8363376</v>
      </c>
      <c r="CB31" s="5">
        <f t="shared" si="43"/>
        <v>50564.6363376</v>
      </c>
      <c r="CC31" s="35">
        <f t="shared" si="44"/>
        <v>499.9667904</v>
      </c>
      <c r="CD31" s="5"/>
      <c r="CE31" s="35">
        <f t="shared" si="104"/>
        <v>5143.675</v>
      </c>
      <c r="CF31" s="35">
        <f t="shared" si="45"/>
        <v>197.51247410000002</v>
      </c>
      <c r="CG31" s="5">
        <f t="shared" si="46"/>
        <v>5341.1874741</v>
      </c>
      <c r="CH31" s="35">
        <f t="shared" si="47"/>
        <v>52.8119364</v>
      </c>
      <c r="CI31" s="5"/>
      <c r="CJ31" s="35">
        <f>$C31*CK$6</f>
        <v>14051.525</v>
      </c>
      <c r="CK31" s="35">
        <f t="shared" si="48"/>
        <v>539.5658683</v>
      </c>
      <c r="CL31" s="5">
        <f t="shared" si="49"/>
        <v>14591.0908683</v>
      </c>
      <c r="CM31" s="35">
        <f t="shared" si="50"/>
        <v>144.2719932</v>
      </c>
      <c r="CN31" s="5"/>
      <c r="CO31" s="35">
        <f t="shared" si="105"/>
        <v>137447.025</v>
      </c>
      <c r="CP31" s="35">
        <f t="shared" si="51"/>
        <v>5277.8416143</v>
      </c>
      <c r="CQ31" s="35">
        <f t="shared" si="52"/>
        <v>142724.8666143</v>
      </c>
      <c r="CR31" s="35">
        <f t="shared" si="53"/>
        <v>1411.2173772</v>
      </c>
      <c r="CS31" s="5"/>
      <c r="CT31" s="35">
        <f t="shared" si="106"/>
        <v>18981.3</v>
      </c>
      <c r="CU31" s="35">
        <f t="shared" si="54"/>
        <v>728.8647755999999</v>
      </c>
      <c r="CV31" s="35">
        <f t="shared" si="55"/>
        <v>19710.1647756</v>
      </c>
      <c r="CW31" s="35">
        <f t="shared" si="56"/>
        <v>194.88774239999998</v>
      </c>
      <c r="CX31" s="5"/>
      <c r="CY31" s="35">
        <f t="shared" si="107"/>
        <v>75826</v>
      </c>
      <c r="CZ31" s="35">
        <f t="shared" si="57"/>
        <v>2911.649912</v>
      </c>
      <c r="DA31" s="5">
        <f t="shared" si="58"/>
        <v>78737.649912</v>
      </c>
      <c r="DB31" s="35">
        <f t="shared" si="59"/>
        <v>778.5324479999999</v>
      </c>
      <c r="DC31" s="5"/>
      <c r="DD31" s="35">
        <f t="shared" si="108"/>
        <v>609731.25</v>
      </c>
      <c r="DE31" s="35">
        <f t="shared" si="60"/>
        <v>23413.129275</v>
      </c>
      <c r="DF31" s="35">
        <f t="shared" si="61"/>
        <v>633144.379275</v>
      </c>
      <c r="DG31" s="35">
        <f t="shared" si="62"/>
        <v>6260.3270999999995</v>
      </c>
      <c r="DH31" s="5"/>
      <c r="DI31" s="35">
        <f t="shared" si="109"/>
        <v>910884.625</v>
      </c>
      <c r="DJ31" s="35">
        <f t="shared" si="63"/>
        <v>34977.1468655</v>
      </c>
      <c r="DK31" s="5">
        <f t="shared" si="64"/>
        <v>945861.7718655</v>
      </c>
      <c r="DL31" s="35">
        <f t="shared" si="65"/>
        <v>9352.375662</v>
      </c>
      <c r="DM31" s="5"/>
      <c r="DN31" s="35">
        <f t="shared" si="110"/>
        <v>7591.9</v>
      </c>
      <c r="DO31" s="35">
        <f t="shared" si="66"/>
        <v>291.52210279999997</v>
      </c>
      <c r="DP31" s="5">
        <f t="shared" si="67"/>
        <v>7883.422102799999</v>
      </c>
      <c r="DQ31" s="35">
        <f t="shared" si="68"/>
        <v>77.9487312</v>
      </c>
      <c r="DR31" s="5"/>
      <c r="DS31" s="35">
        <f t="shared" si="111"/>
        <v>291107.825</v>
      </c>
      <c r="DT31" s="35">
        <f t="shared" si="69"/>
        <v>11178.2775439</v>
      </c>
      <c r="DU31" s="5">
        <f t="shared" si="70"/>
        <v>302286.1025439</v>
      </c>
      <c r="DV31" s="35">
        <f t="shared" si="71"/>
        <v>2988.9073356</v>
      </c>
      <c r="DW31" s="5"/>
      <c r="DX31" s="35">
        <f t="shared" si="112"/>
        <v>485708.77499999997</v>
      </c>
      <c r="DY31" s="35">
        <f t="shared" si="72"/>
        <v>18650.7782553</v>
      </c>
      <c r="DZ31" s="5">
        <f t="shared" si="73"/>
        <v>504359.5532553</v>
      </c>
      <c r="EA31" s="35">
        <f t="shared" si="74"/>
        <v>4986.944341199999</v>
      </c>
      <c r="EB31" s="5"/>
      <c r="EC31" s="35">
        <f t="shared" si="113"/>
        <v>415834.77499999997</v>
      </c>
      <c r="ED31" s="35">
        <f t="shared" si="75"/>
        <v>15967.6797673</v>
      </c>
      <c r="EE31" s="5">
        <f t="shared" si="76"/>
        <v>431802.4547673</v>
      </c>
      <c r="EF31" s="35">
        <f t="shared" si="77"/>
        <v>4269.5231892</v>
      </c>
      <c r="EG31" s="5"/>
      <c r="EH31" s="35">
        <f t="shared" si="114"/>
        <v>412337.975</v>
      </c>
      <c r="EI31" s="35">
        <f t="shared" si="78"/>
        <v>15833.4058057</v>
      </c>
      <c r="EJ31" s="5">
        <f t="shared" si="79"/>
        <v>428171.38080569997</v>
      </c>
      <c r="EK31" s="35">
        <f t="shared" si="80"/>
        <v>4233.6203028</v>
      </c>
      <c r="EL31" s="5"/>
      <c r="EM31" s="35">
        <f t="shared" si="115"/>
        <v>597870.6499999999</v>
      </c>
      <c r="EN31" s="35">
        <f t="shared" si="81"/>
        <v>22957.6929478</v>
      </c>
      <c r="EO31" s="35">
        <f t="shared" si="82"/>
        <v>620828.3429478</v>
      </c>
      <c r="EP31" s="35">
        <f t="shared" si="83"/>
        <v>6138.550111199999</v>
      </c>
      <c r="EQ31" s="5"/>
      <c r="ER31" s="35">
        <f t="shared" si="116"/>
        <v>757300.55</v>
      </c>
      <c r="ES31" s="35">
        <f t="shared" si="84"/>
        <v>29079.6571066</v>
      </c>
      <c r="ET31" s="35">
        <f t="shared" si="85"/>
        <v>786380.2071066</v>
      </c>
      <c r="EU31" s="35">
        <f t="shared" si="86"/>
        <v>7775.473466400001</v>
      </c>
      <c r="EV31" s="5"/>
      <c r="EW31" s="35">
        <f t="shared" si="117"/>
        <v>3494.475</v>
      </c>
      <c r="EX31" s="35">
        <f t="shared" si="87"/>
        <v>134.1846837</v>
      </c>
      <c r="EY31" s="5">
        <f t="shared" si="88"/>
        <v>3628.6596836999997</v>
      </c>
      <c r="EZ31" s="35">
        <f t="shared" si="89"/>
        <v>35.8790148</v>
      </c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</row>
    <row r="32" spans="1:199" ht="12.75">
      <c r="A32" s="36">
        <v>47392</v>
      </c>
      <c r="C32" s="78"/>
      <c r="D32" s="78">
        <v>152766</v>
      </c>
      <c r="E32" s="34">
        <f t="shared" si="0"/>
        <v>152766</v>
      </c>
      <c r="F32" s="34">
        <v>79572</v>
      </c>
      <c r="H32" s="35"/>
      <c r="I32" s="35">
        <f t="shared" si="1"/>
        <v>34102.106946</v>
      </c>
      <c r="J32" s="35">
        <f t="shared" si="2"/>
        <v>34102.106946</v>
      </c>
      <c r="K32" s="35">
        <f>'Academic Project '!K32</f>
        <v>17762.937132</v>
      </c>
      <c r="M32" s="35"/>
      <c r="N32" s="34">
        <f t="shared" si="3"/>
        <v>118663.89305399999</v>
      </c>
      <c r="O32" s="5">
        <f t="shared" si="4"/>
        <v>118663.89305399999</v>
      </c>
      <c r="P32" s="34">
        <f t="shared" si="5"/>
        <v>61809.062867999986</v>
      </c>
      <c r="R32" s="35"/>
      <c r="S32" s="35">
        <f t="shared" si="6"/>
        <v>33.1807752</v>
      </c>
      <c r="T32" s="5">
        <f t="shared" si="7"/>
        <v>33.1807752</v>
      </c>
      <c r="U32" s="35">
        <f t="shared" si="8"/>
        <v>17.2830384</v>
      </c>
      <c r="W32" s="35"/>
      <c r="X32" s="35">
        <f t="shared" si="9"/>
        <v>3531.109707</v>
      </c>
      <c r="Y32" s="5">
        <f t="shared" si="10"/>
        <v>3531.109707</v>
      </c>
      <c r="Z32" s="35">
        <f t="shared" si="11"/>
        <v>1839.266994</v>
      </c>
      <c r="AB32" s="35"/>
      <c r="AC32" s="35">
        <f t="shared" si="12"/>
        <v>216.6680178</v>
      </c>
      <c r="AD32" s="35">
        <f t="shared" si="13"/>
        <v>216.6680178</v>
      </c>
      <c r="AE32" s="35">
        <f t="shared" si="14"/>
        <v>112.85696759999999</v>
      </c>
      <c r="AG32" s="35"/>
      <c r="AH32" s="35">
        <f t="shared" si="15"/>
        <v>1567.0583514</v>
      </c>
      <c r="AI32" s="5">
        <f t="shared" si="16"/>
        <v>1567.0583514</v>
      </c>
      <c r="AJ32" s="35">
        <f t="shared" si="17"/>
        <v>816.2416188000001</v>
      </c>
      <c r="AL32" s="35"/>
      <c r="AM32" s="35">
        <f t="shared" si="18"/>
        <v>1239.4822176</v>
      </c>
      <c r="AN32" s="5">
        <f t="shared" si="19"/>
        <v>1239.4822176</v>
      </c>
      <c r="AO32" s="35">
        <f t="shared" si="20"/>
        <v>645.6153792</v>
      </c>
      <c r="AQ32" s="35"/>
      <c r="AR32" s="35">
        <f t="shared" si="21"/>
        <v>330.64673039999997</v>
      </c>
      <c r="AS32" s="5">
        <f t="shared" si="22"/>
        <v>330.64673039999997</v>
      </c>
      <c r="AT32" s="35">
        <f t="shared" si="23"/>
        <v>172.2256368</v>
      </c>
      <c r="AV32" s="35"/>
      <c r="AW32" s="35">
        <f t="shared" si="24"/>
        <v>3738.6728712</v>
      </c>
      <c r="AX32" s="5">
        <f t="shared" si="25"/>
        <v>3738.6728712</v>
      </c>
      <c r="AY32" s="35">
        <f t="shared" si="26"/>
        <v>1947.3814704000001</v>
      </c>
      <c r="AZ32" s="5"/>
      <c r="BA32" s="35"/>
      <c r="BB32" s="35">
        <f t="shared" si="27"/>
        <v>65.73520979999999</v>
      </c>
      <c r="BC32" s="5">
        <f t="shared" si="28"/>
        <v>65.73520979999999</v>
      </c>
      <c r="BD32" s="35">
        <f t="shared" si="29"/>
        <v>34.2398316</v>
      </c>
      <c r="BE32" s="5"/>
      <c r="BF32" s="35"/>
      <c r="BG32" s="35">
        <f t="shared" si="30"/>
        <v>14.039195399999999</v>
      </c>
      <c r="BH32" s="5">
        <f t="shared" si="31"/>
        <v>14.039195399999999</v>
      </c>
      <c r="BI32" s="35">
        <f t="shared" si="32"/>
        <v>7.3126668</v>
      </c>
      <c r="BJ32" s="5"/>
      <c r="BK32" s="35"/>
      <c r="BL32" s="35">
        <f t="shared" si="33"/>
        <v>13427.214804</v>
      </c>
      <c r="BM32" s="5">
        <f t="shared" si="34"/>
        <v>13427.214804</v>
      </c>
      <c r="BN32" s="35">
        <f t="shared" si="35"/>
        <v>6993.901368</v>
      </c>
      <c r="BO32" s="5"/>
      <c r="BP32" s="35"/>
      <c r="BQ32" s="35">
        <f t="shared" si="36"/>
        <v>25.893837</v>
      </c>
      <c r="BR32" s="5">
        <f t="shared" si="37"/>
        <v>25.893837</v>
      </c>
      <c r="BS32" s="35">
        <f t="shared" si="38"/>
        <v>13.487454</v>
      </c>
      <c r="BT32" s="5"/>
      <c r="BU32" s="35"/>
      <c r="BV32" s="35">
        <f t="shared" si="39"/>
        <v>15.3835362</v>
      </c>
      <c r="BW32" s="5">
        <f t="shared" si="40"/>
        <v>15.3835362</v>
      </c>
      <c r="BX32" s="35">
        <f t="shared" si="41"/>
        <v>8.0129004</v>
      </c>
      <c r="BY32" s="5"/>
      <c r="BZ32" s="35"/>
      <c r="CA32" s="35">
        <f t="shared" si="42"/>
        <v>959.8593312</v>
      </c>
      <c r="CB32" s="5">
        <f t="shared" si="43"/>
        <v>959.8593312</v>
      </c>
      <c r="CC32" s="35">
        <f t="shared" si="44"/>
        <v>499.9667904</v>
      </c>
      <c r="CD32" s="5"/>
      <c r="CE32" s="35"/>
      <c r="CF32" s="35">
        <f t="shared" si="45"/>
        <v>101.3907942</v>
      </c>
      <c r="CG32" s="5">
        <f t="shared" si="46"/>
        <v>101.3907942</v>
      </c>
      <c r="CH32" s="35">
        <f t="shared" si="47"/>
        <v>52.8119364</v>
      </c>
      <c r="CI32" s="5"/>
      <c r="CJ32" s="35"/>
      <c r="CK32" s="35">
        <f t="shared" si="48"/>
        <v>276.9800346</v>
      </c>
      <c r="CL32" s="5">
        <f t="shared" si="49"/>
        <v>276.9800346</v>
      </c>
      <c r="CM32" s="35">
        <f t="shared" si="50"/>
        <v>144.2719932</v>
      </c>
      <c r="CN32" s="5"/>
      <c r="CO32" s="35"/>
      <c r="CP32" s="35">
        <f t="shared" si="51"/>
        <v>2709.3202866</v>
      </c>
      <c r="CQ32" s="35">
        <f t="shared" si="52"/>
        <v>2709.3202866</v>
      </c>
      <c r="CR32" s="35">
        <f t="shared" si="53"/>
        <v>1411.2173772</v>
      </c>
      <c r="CS32" s="5"/>
      <c r="CT32" s="35"/>
      <c r="CU32" s="35">
        <f t="shared" si="54"/>
        <v>374.1544872</v>
      </c>
      <c r="CV32" s="35">
        <f t="shared" si="55"/>
        <v>374.1544872</v>
      </c>
      <c r="CW32" s="35">
        <f t="shared" si="56"/>
        <v>194.88774239999998</v>
      </c>
      <c r="CX32" s="5"/>
      <c r="CY32" s="35"/>
      <c r="CZ32" s="35">
        <f t="shared" si="57"/>
        <v>1494.6625439999998</v>
      </c>
      <c r="DA32" s="5">
        <f t="shared" si="58"/>
        <v>1494.6625439999998</v>
      </c>
      <c r="DB32" s="35">
        <f t="shared" si="59"/>
        <v>778.5324479999999</v>
      </c>
      <c r="DC32" s="5"/>
      <c r="DD32" s="35"/>
      <c r="DE32" s="35">
        <f t="shared" si="60"/>
        <v>12018.865049999999</v>
      </c>
      <c r="DF32" s="35">
        <f t="shared" si="61"/>
        <v>12018.865049999999</v>
      </c>
      <c r="DG32" s="35">
        <f t="shared" si="62"/>
        <v>6260.3270999999995</v>
      </c>
      <c r="DH32" s="5"/>
      <c r="DI32" s="35"/>
      <c r="DJ32" s="35">
        <f t="shared" si="63"/>
        <v>17955.122661</v>
      </c>
      <c r="DK32" s="5">
        <f t="shared" si="64"/>
        <v>17955.122661</v>
      </c>
      <c r="DL32" s="35">
        <f t="shared" si="65"/>
        <v>9352.375662</v>
      </c>
      <c r="DM32" s="5"/>
      <c r="DN32" s="35"/>
      <c r="DO32" s="35">
        <f t="shared" si="66"/>
        <v>149.6495736</v>
      </c>
      <c r="DP32" s="5">
        <f t="shared" si="67"/>
        <v>149.6495736</v>
      </c>
      <c r="DQ32" s="35">
        <f t="shared" si="68"/>
        <v>77.9487312</v>
      </c>
      <c r="DR32" s="5"/>
      <c r="DS32" s="35"/>
      <c r="DT32" s="35">
        <f t="shared" si="69"/>
        <v>5738.2423218</v>
      </c>
      <c r="DU32" s="5">
        <f t="shared" si="70"/>
        <v>5738.2423218</v>
      </c>
      <c r="DV32" s="35">
        <f t="shared" si="71"/>
        <v>2988.9073356</v>
      </c>
      <c r="DW32" s="5"/>
      <c r="DX32" s="35"/>
      <c r="DY32" s="35">
        <f t="shared" si="72"/>
        <v>9574.166028599999</v>
      </c>
      <c r="DZ32" s="5">
        <f t="shared" si="73"/>
        <v>9574.166028599999</v>
      </c>
      <c r="EA32" s="35">
        <f t="shared" si="74"/>
        <v>4986.944341199999</v>
      </c>
      <c r="EB32" s="5"/>
      <c r="EC32" s="35"/>
      <c r="ED32" s="35">
        <f t="shared" si="75"/>
        <v>8196.8277726</v>
      </c>
      <c r="EE32" s="5">
        <f t="shared" si="76"/>
        <v>8196.8277726</v>
      </c>
      <c r="EF32" s="35">
        <f t="shared" si="77"/>
        <v>4269.5231892</v>
      </c>
      <c r="EG32" s="5"/>
      <c r="EH32" s="35"/>
      <c r="EI32" s="35">
        <f t="shared" si="78"/>
        <v>8127.8997534</v>
      </c>
      <c r="EJ32" s="5">
        <f t="shared" si="79"/>
        <v>8127.8997534</v>
      </c>
      <c r="EK32" s="35">
        <f t="shared" si="80"/>
        <v>4233.6203028</v>
      </c>
      <c r="EL32" s="5"/>
      <c r="EM32" s="35"/>
      <c r="EN32" s="35">
        <f t="shared" si="81"/>
        <v>11785.0719636</v>
      </c>
      <c r="EO32" s="35">
        <f t="shared" si="82"/>
        <v>11785.0719636</v>
      </c>
      <c r="EP32" s="35">
        <f t="shared" si="83"/>
        <v>6138.550111199999</v>
      </c>
      <c r="EQ32" s="5"/>
      <c r="ER32" s="35"/>
      <c r="ES32" s="35">
        <f t="shared" si="84"/>
        <v>14927.7130092</v>
      </c>
      <c r="ET32" s="35">
        <f t="shared" si="85"/>
        <v>14927.7130092</v>
      </c>
      <c r="EU32" s="35">
        <f t="shared" si="86"/>
        <v>7775.473466400001</v>
      </c>
      <c r="EV32" s="5"/>
      <c r="EW32" s="35"/>
      <c r="EX32" s="35">
        <f t="shared" si="87"/>
        <v>68.8821894</v>
      </c>
      <c r="EY32" s="5">
        <f t="shared" si="88"/>
        <v>68.8821894</v>
      </c>
      <c r="EZ32" s="35">
        <f t="shared" si="89"/>
        <v>35.8790148</v>
      </c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</row>
    <row r="33" spans="1:199" ht="12.75">
      <c r="A33" s="36">
        <v>11049</v>
      </c>
      <c r="C33" s="78">
        <v>8035000</v>
      </c>
      <c r="D33" s="78">
        <v>152766</v>
      </c>
      <c r="E33" s="34">
        <f t="shared" si="0"/>
        <v>8187766</v>
      </c>
      <c r="F33" s="34">
        <v>79572</v>
      </c>
      <c r="H33" s="35">
        <f t="shared" si="90"/>
        <v>1793661.0850000002</v>
      </c>
      <c r="I33" s="35">
        <f t="shared" si="1"/>
        <v>34102.106946</v>
      </c>
      <c r="J33" s="35">
        <f t="shared" si="2"/>
        <v>1827763.191946</v>
      </c>
      <c r="K33" s="35">
        <f>'Academic Project '!K33</f>
        <v>17762.937132</v>
      </c>
      <c r="M33" s="35">
        <f>R33+W33+AB33+AG33+AL33+AQ33+AV33+BA33+BF33+BK33+BP33+BU33+BZ33+CE33+CO33+CT33+CY33+DD33+DI33+DN33+DS33+DX33+EC33+EH33+CJ33+EM33+ER33+EW33+FB33</f>
        <v>6241338.915000001</v>
      </c>
      <c r="N33" s="34">
        <f t="shared" si="3"/>
        <v>118663.89305399999</v>
      </c>
      <c r="O33" s="5">
        <f t="shared" si="4"/>
        <v>6360002.808054001</v>
      </c>
      <c r="P33" s="34">
        <f t="shared" si="5"/>
        <v>61809.062867999986</v>
      </c>
      <c r="R33" s="35">
        <f t="shared" si="91"/>
        <v>1745.202</v>
      </c>
      <c r="S33" s="35">
        <f t="shared" si="6"/>
        <v>33.1807752</v>
      </c>
      <c r="T33" s="5">
        <f t="shared" si="7"/>
        <v>1778.3827752</v>
      </c>
      <c r="U33" s="35">
        <f t="shared" si="8"/>
        <v>17.2830384</v>
      </c>
      <c r="W33" s="35">
        <f t="shared" si="92"/>
        <v>185725.0075</v>
      </c>
      <c r="X33" s="35">
        <f t="shared" si="9"/>
        <v>3531.109707</v>
      </c>
      <c r="Y33" s="5">
        <f t="shared" si="10"/>
        <v>189256.117207</v>
      </c>
      <c r="Z33" s="35">
        <f t="shared" si="11"/>
        <v>1839.266994</v>
      </c>
      <c r="AB33" s="35">
        <f t="shared" si="93"/>
        <v>11396.0405</v>
      </c>
      <c r="AC33" s="35">
        <f t="shared" si="12"/>
        <v>216.6680178</v>
      </c>
      <c r="AD33" s="35">
        <f t="shared" si="13"/>
        <v>11612.7085178</v>
      </c>
      <c r="AE33" s="35">
        <f t="shared" si="14"/>
        <v>112.85696759999999</v>
      </c>
      <c r="AG33" s="35">
        <f t="shared" si="94"/>
        <v>82422.2265</v>
      </c>
      <c r="AH33" s="35">
        <f t="shared" si="15"/>
        <v>1567.0583514</v>
      </c>
      <c r="AI33" s="5">
        <f t="shared" si="16"/>
        <v>83989.2848514</v>
      </c>
      <c r="AJ33" s="35">
        <f t="shared" si="17"/>
        <v>816.2416188000001</v>
      </c>
      <c r="AL33" s="35">
        <f t="shared" si="95"/>
        <v>65192.776000000005</v>
      </c>
      <c r="AM33" s="35">
        <f t="shared" si="18"/>
        <v>1239.4822176</v>
      </c>
      <c r="AN33" s="5">
        <f t="shared" si="19"/>
        <v>66432.2582176</v>
      </c>
      <c r="AO33" s="35">
        <f t="shared" si="20"/>
        <v>645.6153792</v>
      </c>
      <c r="AQ33" s="35">
        <f t="shared" si="96"/>
        <v>17390.953999999998</v>
      </c>
      <c r="AR33" s="35">
        <f t="shared" si="21"/>
        <v>330.64673039999997</v>
      </c>
      <c r="AS33" s="5">
        <f t="shared" si="22"/>
        <v>17721.600730399998</v>
      </c>
      <c r="AT33" s="35">
        <f t="shared" si="23"/>
        <v>172.2256368</v>
      </c>
      <c r="AV33" s="35">
        <f t="shared" si="97"/>
        <v>196642.162</v>
      </c>
      <c r="AW33" s="35">
        <f t="shared" si="24"/>
        <v>3738.6728712</v>
      </c>
      <c r="AX33" s="5">
        <f t="shared" si="25"/>
        <v>200380.8348712</v>
      </c>
      <c r="AY33" s="35">
        <f t="shared" si="26"/>
        <v>1947.3814704000001</v>
      </c>
      <c r="AZ33" s="5"/>
      <c r="BA33" s="35">
        <f t="shared" si="98"/>
        <v>3457.4605</v>
      </c>
      <c r="BB33" s="35">
        <f t="shared" si="27"/>
        <v>65.73520979999999</v>
      </c>
      <c r="BC33" s="5">
        <f t="shared" si="28"/>
        <v>3523.1957098000003</v>
      </c>
      <c r="BD33" s="35">
        <f t="shared" si="29"/>
        <v>34.2398316</v>
      </c>
      <c r="BE33" s="5"/>
      <c r="BF33" s="35">
        <f t="shared" si="99"/>
        <v>738.4164999999999</v>
      </c>
      <c r="BG33" s="35">
        <f t="shared" si="30"/>
        <v>14.039195399999999</v>
      </c>
      <c r="BH33" s="5">
        <f t="shared" si="31"/>
        <v>752.4556954</v>
      </c>
      <c r="BI33" s="35">
        <f t="shared" si="32"/>
        <v>7.3126668</v>
      </c>
      <c r="BJ33" s="5"/>
      <c r="BK33" s="35">
        <f t="shared" si="100"/>
        <v>706228.29</v>
      </c>
      <c r="BL33" s="35">
        <f t="shared" si="33"/>
        <v>13427.214804</v>
      </c>
      <c r="BM33" s="5">
        <f t="shared" si="34"/>
        <v>719655.504804</v>
      </c>
      <c r="BN33" s="35">
        <f t="shared" si="35"/>
        <v>6993.901368</v>
      </c>
      <c r="BO33" s="5"/>
      <c r="BP33" s="35">
        <f t="shared" si="101"/>
        <v>1361.9325</v>
      </c>
      <c r="BQ33" s="35">
        <f t="shared" si="36"/>
        <v>25.893837</v>
      </c>
      <c r="BR33" s="5">
        <f t="shared" si="37"/>
        <v>1387.826337</v>
      </c>
      <c r="BS33" s="35">
        <f t="shared" si="38"/>
        <v>13.487454</v>
      </c>
      <c r="BT33" s="5"/>
      <c r="BU33" s="35">
        <f t="shared" si="102"/>
        <v>809.1245</v>
      </c>
      <c r="BV33" s="35">
        <f t="shared" si="39"/>
        <v>15.3835362</v>
      </c>
      <c r="BW33" s="5">
        <f t="shared" si="40"/>
        <v>824.5080362</v>
      </c>
      <c r="BX33" s="35">
        <f t="shared" si="41"/>
        <v>8.0129004</v>
      </c>
      <c r="BY33" s="5"/>
      <c r="BZ33" s="35">
        <f t="shared" si="103"/>
        <v>50485.512</v>
      </c>
      <c r="CA33" s="35">
        <f t="shared" si="42"/>
        <v>959.8593312</v>
      </c>
      <c r="CB33" s="5">
        <f t="shared" si="43"/>
        <v>51445.3713312</v>
      </c>
      <c r="CC33" s="35">
        <f t="shared" si="44"/>
        <v>499.9667904</v>
      </c>
      <c r="CD33" s="5"/>
      <c r="CE33" s="35">
        <f t="shared" si="104"/>
        <v>5332.8295</v>
      </c>
      <c r="CF33" s="35">
        <f t="shared" si="45"/>
        <v>101.3907942</v>
      </c>
      <c r="CG33" s="5">
        <f t="shared" si="46"/>
        <v>5434.220294199999</v>
      </c>
      <c r="CH33" s="35">
        <f t="shared" si="47"/>
        <v>52.8119364</v>
      </c>
      <c r="CI33" s="5"/>
      <c r="CJ33" s="35">
        <f>$C33*CK$6</f>
        <v>14568.2585</v>
      </c>
      <c r="CK33" s="35">
        <f t="shared" si="48"/>
        <v>276.9800346</v>
      </c>
      <c r="CL33" s="5">
        <f t="shared" si="49"/>
        <v>14845.2385346</v>
      </c>
      <c r="CM33" s="35">
        <f t="shared" si="50"/>
        <v>144.2719932</v>
      </c>
      <c r="CN33" s="5"/>
      <c r="CO33" s="35">
        <f t="shared" si="105"/>
        <v>142501.52850000001</v>
      </c>
      <c r="CP33" s="35">
        <f t="shared" si="51"/>
        <v>2709.3202866</v>
      </c>
      <c r="CQ33" s="35">
        <f t="shared" si="52"/>
        <v>145210.84878660002</v>
      </c>
      <c r="CR33" s="35">
        <f t="shared" si="53"/>
        <v>1411.2173772</v>
      </c>
      <c r="CS33" s="5"/>
      <c r="CT33" s="35">
        <f t="shared" si="106"/>
        <v>19679.322</v>
      </c>
      <c r="CU33" s="35">
        <f t="shared" si="54"/>
        <v>374.1544872</v>
      </c>
      <c r="CV33" s="35">
        <f t="shared" si="55"/>
        <v>20053.4764872</v>
      </c>
      <c r="CW33" s="35">
        <f t="shared" si="56"/>
        <v>194.88774239999998</v>
      </c>
      <c r="CX33" s="5"/>
      <c r="CY33" s="35">
        <f t="shared" si="107"/>
        <v>78614.43999999999</v>
      </c>
      <c r="CZ33" s="35">
        <f t="shared" si="57"/>
        <v>1494.6625439999998</v>
      </c>
      <c r="DA33" s="5">
        <f t="shared" si="58"/>
        <v>80109.102544</v>
      </c>
      <c r="DB33" s="35">
        <f t="shared" si="59"/>
        <v>778.5324479999999</v>
      </c>
      <c r="DC33" s="5"/>
      <c r="DD33" s="35">
        <f t="shared" si="108"/>
        <v>632153.625</v>
      </c>
      <c r="DE33" s="35">
        <f t="shared" si="60"/>
        <v>12018.865049999999</v>
      </c>
      <c r="DF33" s="35">
        <f t="shared" si="61"/>
        <v>644172.49005</v>
      </c>
      <c r="DG33" s="35">
        <f t="shared" si="62"/>
        <v>6260.3270999999995</v>
      </c>
      <c r="DH33" s="5"/>
      <c r="DI33" s="35">
        <f t="shared" si="109"/>
        <v>944381.6725</v>
      </c>
      <c r="DJ33" s="35">
        <f t="shared" si="63"/>
        <v>17955.122661</v>
      </c>
      <c r="DK33" s="5">
        <f t="shared" si="64"/>
        <v>962336.795161</v>
      </c>
      <c r="DL33" s="35">
        <f t="shared" si="65"/>
        <v>9352.375662</v>
      </c>
      <c r="DM33" s="5"/>
      <c r="DN33" s="35">
        <f t="shared" si="110"/>
        <v>7871.085999999999</v>
      </c>
      <c r="DO33" s="35">
        <f t="shared" si="66"/>
        <v>149.6495736</v>
      </c>
      <c r="DP33" s="5">
        <f t="shared" si="67"/>
        <v>8020.735573599999</v>
      </c>
      <c r="DQ33" s="35">
        <f t="shared" si="68"/>
        <v>77.9487312</v>
      </c>
      <c r="DR33" s="5"/>
      <c r="DS33" s="35">
        <f t="shared" si="111"/>
        <v>301813.0805</v>
      </c>
      <c r="DT33" s="35">
        <f t="shared" si="69"/>
        <v>5738.2423218</v>
      </c>
      <c r="DU33" s="5">
        <f t="shared" si="70"/>
        <v>307551.32282179996</v>
      </c>
      <c r="DV33" s="35">
        <f t="shared" si="71"/>
        <v>2988.9073356</v>
      </c>
      <c r="DW33" s="5"/>
      <c r="DX33" s="35">
        <f t="shared" si="112"/>
        <v>503570.32349999994</v>
      </c>
      <c r="DY33" s="35">
        <f t="shared" si="72"/>
        <v>9574.166028599999</v>
      </c>
      <c r="DZ33" s="5">
        <f t="shared" si="73"/>
        <v>513144.48952859995</v>
      </c>
      <c r="EA33" s="35">
        <f t="shared" si="74"/>
        <v>4986.944341199999</v>
      </c>
      <c r="EB33" s="5"/>
      <c r="EC33" s="35">
        <f t="shared" si="113"/>
        <v>431126.7635</v>
      </c>
      <c r="ED33" s="35">
        <f t="shared" si="75"/>
        <v>8196.8277726</v>
      </c>
      <c r="EE33" s="5">
        <f t="shared" si="76"/>
        <v>439323.5912726</v>
      </c>
      <c r="EF33" s="35">
        <f t="shared" si="77"/>
        <v>4269.5231892</v>
      </c>
      <c r="EG33" s="5"/>
      <c r="EH33" s="35">
        <f t="shared" si="114"/>
        <v>427501.3715</v>
      </c>
      <c r="EI33" s="35">
        <f t="shared" si="78"/>
        <v>8127.8997534</v>
      </c>
      <c r="EJ33" s="5">
        <f t="shared" si="79"/>
        <v>435629.2712534</v>
      </c>
      <c r="EK33" s="35">
        <f t="shared" si="80"/>
        <v>4233.6203028</v>
      </c>
      <c r="EL33" s="5"/>
      <c r="EM33" s="35">
        <f t="shared" si="115"/>
        <v>619856.8609999999</v>
      </c>
      <c r="EN33" s="35">
        <f t="shared" si="81"/>
        <v>11785.0719636</v>
      </c>
      <c r="EO33" s="35">
        <f t="shared" si="82"/>
        <v>631641.9329635999</v>
      </c>
      <c r="EP33" s="35">
        <f t="shared" si="83"/>
        <v>6138.550111199999</v>
      </c>
      <c r="EQ33" s="5"/>
      <c r="ER33" s="35">
        <f t="shared" si="116"/>
        <v>785149.667</v>
      </c>
      <c r="ES33" s="35">
        <f t="shared" si="84"/>
        <v>14927.7130092</v>
      </c>
      <c r="ET33" s="35">
        <f t="shared" si="85"/>
        <v>800077.3800092</v>
      </c>
      <c r="EU33" s="35">
        <f t="shared" si="86"/>
        <v>7775.473466400001</v>
      </c>
      <c r="EV33" s="5"/>
      <c r="EW33" s="35">
        <f t="shared" si="117"/>
        <v>3622.9815</v>
      </c>
      <c r="EX33" s="35">
        <f t="shared" si="87"/>
        <v>68.8821894</v>
      </c>
      <c r="EY33" s="5">
        <f t="shared" si="88"/>
        <v>3691.8636893999997</v>
      </c>
      <c r="EZ33" s="35">
        <f t="shared" si="89"/>
        <v>35.8790148</v>
      </c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</row>
    <row r="34" spans="2:199" ht="12.75">
      <c r="B34" s="33"/>
      <c r="C34" s="34"/>
      <c r="D34" s="34"/>
      <c r="E34" s="34"/>
      <c r="F34" s="34"/>
      <c r="R34" s="5"/>
      <c r="S34" s="5"/>
      <c r="T34" s="5"/>
      <c r="U34" s="5"/>
      <c r="W34" s="5"/>
      <c r="X34" s="5"/>
      <c r="Y34" s="5"/>
      <c r="Z34" s="5"/>
      <c r="AQ34" s="5"/>
      <c r="AR34" s="5"/>
      <c r="AS34" s="5"/>
      <c r="AT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35"/>
      <c r="EO34" s="3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</row>
    <row r="35" spans="1:199" ht="13.5" thickBot="1">
      <c r="A35" s="38" t="s">
        <v>18</v>
      </c>
      <c r="C35" s="39">
        <f>SUM(C8:C34)</f>
        <v>86320000</v>
      </c>
      <c r="D35" s="39">
        <f>SUM(D8:D34)</f>
        <v>22142212</v>
      </c>
      <c r="E35" s="39">
        <f>SUM(E8:E34)</f>
        <v>108462212</v>
      </c>
      <c r="F35" s="39">
        <f>SUM(F8:F34)</f>
        <v>2068872</v>
      </c>
      <c r="H35" s="39">
        <f>SUM(H8:H34)</f>
        <v>19269299.92</v>
      </c>
      <c r="I35" s="39">
        <f>SUM(I8:I34)</f>
        <v>4942828.126971998</v>
      </c>
      <c r="J35" s="39">
        <f>SUM(J8:J34)</f>
        <v>24212128.046972</v>
      </c>
      <c r="K35" s="39">
        <f>SUM(K8:K34)</f>
        <v>461836.36543199985</v>
      </c>
      <c r="M35" s="39">
        <f>SUM(M8:M34)</f>
        <v>67050700.08</v>
      </c>
      <c r="N35" s="39">
        <f>SUM(N8:N34)</f>
        <v>17199383.873028</v>
      </c>
      <c r="O35" s="39">
        <f>SUM(O8:O34)</f>
        <v>84250083.95302798</v>
      </c>
      <c r="P35" s="39">
        <f>SUM(P8:P34)</f>
        <v>1607035.634568</v>
      </c>
      <c r="R35" s="39">
        <f>SUM(R8:R34)</f>
        <v>18748.704</v>
      </c>
      <c r="S35" s="39">
        <f>SUM(S8:S34)</f>
        <v>4809.288446400002</v>
      </c>
      <c r="T35" s="39">
        <f>SUM(T8:T34)</f>
        <v>23557.9924464</v>
      </c>
      <c r="U35" s="39">
        <f>SUM(U8:U34)</f>
        <v>449.35899840000013</v>
      </c>
      <c r="W35" s="39">
        <f>SUM(W8:W34)</f>
        <v>1995243.6399999997</v>
      </c>
      <c r="X35" s="39">
        <f>SUM(X8:X34)</f>
        <v>511806.15927400015</v>
      </c>
      <c r="Y35" s="39">
        <f>SUM(Y8:Y34)</f>
        <v>2507049.799274</v>
      </c>
      <c r="Z35" s="39">
        <f>SUM(Z8:Z34)</f>
        <v>47820.94184399999</v>
      </c>
      <c r="AB35" s="39">
        <f>SUM(AB8:AB34)</f>
        <v>122427.656</v>
      </c>
      <c r="AC35" s="39">
        <f>SUM(AC8:AC34)</f>
        <v>31404.299279600004</v>
      </c>
      <c r="AD35" s="39">
        <f>SUM(AD8:AD34)</f>
        <v>153831.95527959996</v>
      </c>
      <c r="AE35" s="39">
        <f>SUM(AE8:AE34)</f>
        <v>2934.281157600001</v>
      </c>
      <c r="AG35" s="39">
        <f>SUM(AG8:AG34)</f>
        <v>885461.9280000001</v>
      </c>
      <c r="AH35" s="39">
        <f>SUM(AH8:AH34)</f>
        <v>227132.5964747999</v>
      </c>
      <c r="AI35" s="39">
        <f>SUM(AI8:AI34)</f>
        <v>1112594.5244748</v>
      </c>
      <c r="AJ35" s="39">
        <f>SUM(AJ8:AJ34)</f>
        <v>21222.2820888</v>
      </c>
      <c r="AL35" s="39">
        <f>SUM(AL8:AL34)</f>
        <v>700365.952</v>
      </c>
      <c r="AM35" s="39">
        <f>SUM(AM8:AM34)</f>
        <v>179653.05128320004</v>
      </c>
      <c r="AN35" s="39">
        <f>SUM(AN8:AN34)</f>
        <v>880019.0032832003</v>
      </c>
      <c r="AO35" s="39">
        <f>SUM(AO8:AO34)</f>
        <v>16785.99985920001</v>
      </c>
      <c r="AQ35" s="39">
        <f>SUM(AQ8:AQ34)</f>
        <v>186831.00800000003</v>
      </c>
      <c r="AR35" s="39">
        <f>SUM(AR8:AR34)</f>
        <v>47924.603652800004</v>
      </c>
      <c r="AS35" s="39">
        <f>SUM(AS8:AS34)</f>
        <v>234755.6116528</v>
      </c>
      <c r="AT35" s="39">
        <f>SUM(AT8:AT34)</f>
        <v>4477.866556799999</v>
      </c>
      <c r="AV35" s="39">
        <f>SUM(AV8:AV34)</f>
        <v>2112526.624</v>
      </c>
      <c r="AW35" s="39">
        <f>SUM(AW8:AW34)</f>
        <v>541890.7827184</v>
      </c>
      <c r="AX35" s="39">
        <f>SUM(AX8:AX34)</f>
        <v>2654417.4067184</v>
      </c>
      <c r="AY35" s="39">
        <f>SUM(AY8:AY34)</f>
        <v>50631.91823040003</v>
      </c>
      <c r="AZ35" s="5"/>
      <c r="BA35" s="39">
        <f>SUM(BA8:BA34)</f>
        <v>37143.496</v>
      </c>
      <c r="BB35" s="39">
        <f>SUM(BB8:BB34)</f>
        <v>9527.793823599997</v>
      </c>
      <c r="BC35" s="39">
        <f>SUM(BC8:BC34)</f>
        <v>46671.28982359999</v>
      </c>
      <c r="BD35" s="39">
        <f>SUM(BD8:BD34)</f>
        <v>890.2356216000001</v>
      </c>
      <c r="BE35" s="5"/>
      <c r="BF35" s="39">
        <f>SUM(BF8:BF34)</f>
        <v>7932.808000000001</v>
      </c>
      <c r="BG35" s="39">
        <f>SUM(BG8:BG34)</f>
        <v>2034.8692828000003</v>
      </c>
      <c r="BH35" s="39">
        <f>SUM(BH8:BH34)</f>
        <v>9967.677282800001</v>
      </c>
      <c r="BI35" s="39">
        <f>SUM(BI8:BI34)</f>
        <v>190.12933679999992</v>
      </c>
      <c r="BJ35" s="34"/>
      <c r="BK35" s="39">
        <f>SUM(BK8:BK34)</f>
        <v>7587010.08</v>
      </c>
      <c r="BL35" s="39">
        <f>SUM(BL8:BL34)</f>
        <v>1946167.5815279996</v>
      </c>
      <c r="BM35" s="39">
        <f>SUM(BM8:BM34)</f>
        <v>9533177.661527999</v>
      </c>
      <c r="BN35" s="39">
        <f>SUM(BN8:BN34)</f>
        <v>181841.435568</v>
      </c>
      <c r="BO35" s="5"/>
      <c r="BP35" s="39">
        <f>SUM(BP8:BP34)</f>
        <v>14631.240000000002</v>
      </c>
      <c r="BQ35" s="39">
        <f>SUM(BQ8:BQ34)</f>
        <v>3753.104934000001</v>
      </c>
      <c r="BR35" s="39">
        <f>SUM(BR8:BR34)</f>
        <v>18384.344933999997</v>
      </c>
      <c r="BS35" s="39">
        <f>SUM(BS8:BS34)</f>
        <v>350.6738040000002</v>
      </c>
      <c r="BT35" s="5"/>
      <c r="BU35" s="39">
        <f>SUM(BU8:BU34)</f>
        <v>8692.424</v>
      </c>
      <c r="BV35" s="39">
        <f>SUM(BV8:BV34)</f>
        <v>2229.7207484</v>
      </c>
      <c r="BW35" s="39">
        <f>SUM(BW8:BW34)</f>
        <v>10922.1447484</v>
      </c>
      <c r="BX35" s="39">
        <f>SUM(BX8:BX34)</f>
        <v>208.33541040000011</v>
      </c>
      <c r="BY35" s="5"/>
      <c r="BZ35" s="39">
        <f>SUM(BZ8:BZ34)</f>
        <v>542365.824</v>
      </c>
      <c r="CA35" s="39">
        <f>SUM(CA8:CA34)</f>
        <v>139123.94643839993</v>
      </c>
      <c r="CB35" s="39">
        <f>SUM(CB8:CB34)</f>
        <v>681489.7704384001</v>
      </c>
      <c r="CC35" s="39">
        <f>SUM(CC8:CC34)</f>
        <v>12999.136550399997</v>
      </c>
      <c r="CD35" s="5"/>
      <c r="CE35" s="39">
        <f>SUM(CE8:CE34)</f>
        <v>57290.58400000001</v>
      </c>
      <c r="CF35" s="39">
        <f>SUM(CF8:CF34)</f>
        <v>14695.786104400002</v>
      </c>
      <c r="CG35" s="39">
        <f>SUM(CG8:CG34)</f>
        <v>71986.37010439999</v>
      </c>
      <c r="CH35" s="39">
        <f>SUM(CH8:CH34)</f>
        <v>1373.1103463999998</v>
      </c>
      <c r="CI35" s="5"/>
      <c r="CJ35" s="39">
        <f>SUM(CJ8:CJ34)</f>
        <v>156506.792</v>
      </c>
      <c r="CK35" s="39">
        <f>SUM(CK8:CK34)</f>
        <v>40146.044577199995</v>
      </c>
      <c r="CL35" s="39">
        <f>SUM(CL8:CL34)</f>
        <v>196652.83657720004</v>
      </c>
      <c r="CM35" s="39">
        <f>SUM(CM8:CM34)</f>
        <v>3751.0718232</v>
      </c>
      <c r="CN35" s="5"/>
      <c r="CO35" s="39">
        <f>SUM(CO8:CO34)</f>
        <v>1530893.832</v>
      </c>
      <c r="CP35" s="39">
        <f>SUM(CP8:CP34)</f>
        <v>392694.3440411999</v>
      </c>
      <c r="CQ35" s="39">
        <f>SUM(CQ8:CQ34)</f>
        <v>1923588.1760411998</v>
      </c>
      <c r="CR35" s="39">
        <f>SUM(CR8:CR34)</f>
        <v>36691.651807199996</v>
      </c>
      <c r="CS35" s="5"/>
      <c r="CT35" s="39">
        <f>SUM(CT8:CT34)</f>
        <v>211414.94399999996</v>
      </c>
      <c r="CU35" s="39">
        <f>SUM(CU8:CU34)</f>
        <v>54230.7056304</v>
      </c>
      <c r="CV35" s="39">
        <f>SUM(CV8:CV34)</f>
        <v>265645.6496304</v>
      </c>
      <c r="CW35" s="39">
        <f>SUM(CW8:CW34)</f>
        <v>5067.081302400003</v>
      </c>
      <c r="CX35" s="5"/>
      <c r="CY35" s="39">
        <f>SUM(CY8:CY34)</f>
        <v>844554.8799999999</v>
      </c>
      <c r="CZ35" s="39">
        <f>SUM(CZ8:CZ34)</f>
        <v>216639.402208</v>
      </c>
      <c r="DA35" s="39">
        <f>SUM(DA8:DA34)</f>
        <v>1061194.2822079998</v>
      </c>
      <c r="DB35" s="39">
        <f>SUM(DB8:DB34)</f>
        <v>20241.843647999995</v>
      </c>
      <c r="DC35" s="5"/>
      <c r="DD35" s="39">
        <f>SUM(DD8:DD34)</f>
        <v>6791226</v>
      </c>
      <c r="DE35" s="39">
        <f>SUM(DE8:DE34)</f>
        <v>1742038.5290999995</v>
      </c>
      <c r="DF35" s="39">
        <f>SUM(DF8:DF34)</f>
        <v>8533264.5291</v>
      </c>
      <c r="DG35" s="39">
        <f>SUM(DG8:DG34)</f>
        <v>162768.50459999993</v>
      </c>
      <c r="DH35" s="5"/>
      <c r="DI35" s="39">
        <f>SUM(DI8:DI34)</f>
        <v>10145491.719999999</v>
      </c>
      <c r="DJ35" s="39">
        <f>SUM(DJ8:DJ34)</f>
        <v>2602451.6741020004</v>
      </c>
      <c r="DK35" s="39">
        <f>SUM(DK8:DK34)</f>
        <v>12747943.394101998</v>
      </c>
      <c r="DL35" s="39">
        <f>SUM(DL8:DL34)</f>
        <v>243161.7672120001</v>
      </c>
      <c r="DM35" s="5"/>
      <c r="DN35" s="39">
        <f>SUM(DN8:DN34)</f>
        <v>84559.07199999999</v>
      </c>
      <c r="DO35" s="39">
        <f>SUM(DO8:DO34)</f>
        <v>21690.5108752</v>
      </c>
      <c r="DP35" s="39">
        <f>SUM(DP8:DP34)</f>
        <v>106249.5828752</v>
      </c>
      <c r="DQ35" s="39">
        <f>SUM(DQ8:DQ34)</f>
        <v>2026.667011200001</v>
      </c>
      <c r="DR35" s="5"/>
      <c r="DS35" s="39">
        <f>SUM(DS8:DS34)</f>
        <v>3242377.736</v>
      </c>
      <c r="DT35" s="39">
        <f>SUM(DT8:DT34)</f>
        <v>831712.4098076</v>
      </c>
      <c r="DU35" s="39">
        <f>SUM(DU8:DU34)</f>
        <v>4074090.1458075996</v>
      </c>
      <c r="DV35" s="39">
        <f>SUM(DV8:DV34)</f>
        <v>77711.5907256</v>
      </c>
      <c r="DW35" s="5"/>
      <c r="DX35" s="39">
        <f>SUM(DX8:DX34)</f>
        <v>5409855.671999999</v>
      </c>
      <c r="DY35" s="39">
        <f>SUM(DY8:DY34)</f>
        <v>1387698.9246851997</v>
      </c>
      <c r="DZ35" s="39">
        <f>SUM(DZ8:DZ34)</f>
        <v>6797554.596685199</v>
      </c>
      <c r="EA35" s="39">
        <f>SUM(EA8:EA34)</f>
        <v>129660.55287119994</v>
      </c>
      <c r="EB35" s="5"/>
      <c r="EC35" s="39">
        <f>SUM(EC8:EC34)</f>
        <v>4631594.552</v>
      </c>
      <c r="ED35" s="39">
        <f>SUM(ED8:ED34)</f>
        <v>1188064.7412931998</v>
      </c>
      <c r="EE35" s="39">
        <f>SUM(EE8:EE34)</f>
        <v>5819659.293293199</v>
      </c>
      <c r="EF35" s="39">
        <f>SUM(EF8:EF34)</f>
        <v>111007.60291920001</v>
      </c>
      <c r="EG35" s="5"/>
      <c r="EH35" s="39">
        <f>SUM(EH8:EH34)</f>
        <v>4592646.968</v>
      </c>
      <c r="EI35" s="39">
        <f>SUM(EI8:EI34)</f>
        <v>1178074.1752387998</v>
      </c>
      <c r="EJ35" s="39">
        <f>SUM(EJ8:EJ34)</f>
        <v>5770721.1432388</v>
      </c>
      <c r="EK35" s="39">
        <f>SUM(EK8:EK34)</f>
        <v>110074.12787280003</v>
      </c>
      <c r="EL35" s="5"/>
      <c r="EM35" s="39">
        <f>SUM(EM8:EM34)</f>
        <v>6659121.8719999995</v>
      </c>
      <c r="EN35" s="39">
        <f>SUM(EN8:EN34)</f>
        <v>1708152.0878552003</v>
      </c>
      <c r="EO35" s="39">
        <f>SUM(EO8:EO34)</f>
        <v>8367273.959855201</v>
      </c>
      <c r="EP35" s="39">
        <f>SUM(EP8:EP34)</f>
        <v>159602.3028912</v>
      </c>
      <c r="EQ35" s="5"/>
      <c r="ER35" s="39">
        <f>SUM(ER8:ER34)</f>
        <v>8434862.384</v>
      </c>
      <c r="ES35" s="39">
        <f>SUM(ES8:ES34)</f>
        <v>2163652.8162343996</v>
      </c>
      <c r="ET35" s="39">
        <f>SUM(ET8:ET34)</f>
        <v>10598515.200234402</v>
      </c>
      <c r="EU35" s="39">
        <f>SUM(EU8:EU34)</f>
        <v>202162.3101264</v>
      </c>
      <c r="EV35" s="5"/>
      <c r="EW35" s="39">
        <f>SUM(EW8:EW34)</f>
        <v>38921.688</v>
      </c>
      <c r="EX35" s="39">
        <f>SUM(EX8:EX34)</f>
        <v>9983.9233908</v>
      </c>
      <c r="EY35" s="39">
        <f>SUM(EY8:EY34)</f>
        <v>48905.61139079999</v>
      </c>
      <c r="EZ35" s="39">
        <f>SUM(EZ8:EZ34)</f>
        <v>932.8543848000005</v>
      </c>
      <c r="FA35" s="34"/>
      <c r="FB35" s="39">
        <f>SUM(FB8:FB34)</f>
        <v>0</v>
      </c>
      <c r="FC35" s="39">
        <f>SUM(FC8:FC34)</f>
        <v>0</v>
      </c>
      <c r="FD35" s="39">
        <f>SUM(FD8:FD34)</f>
        <v>0</v>
      </c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</row>
    <row r="36" spans="18:199" ht="13.5" thickTop="1">
      <c r="R36" s="5"/>
      <c r="S36" s="5"/>
      <c r="T36" s="5"/>
      <c r="U36" s="5"/>
      <c r="W36" s="5"/>
      <c r="X36" s="5"/>
      <c r="Y36" s="5"/>
      <c r="Z36" s="5"/>
      <c r="AQ36" s="5"/>
      <c r="AR36" s="5"/>
      <c r="AS36" s="5"/>
      <c r="AT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</row>
    <row r="37" spans="14:199" ht="12.75">
      <c r="N37" s="5"/>
      <c r="R37" s="5"/>
      <c r="S37" s="5"/>
      <c r="T37" s="5"/>
      <c r="U37" s="5"/>
      <c r="W37" s="5"/>
      <c r="X37" s="5"/>
      <c r="Y37" s="5"/>
      <c r="Z37" s="5"/>
      <c r="AQ37" s="5"/>
      <c r="AR37" s="5"/>
      <c r="AS37" s="5"/>
      <c r="AT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</row>
    <row r="38" spans="18:199" ht="12.75">
      <c r="R38" s="5"/>
      <c r="S38" s="5"/>
      <c r="T38" s="5"/>
      <c r="U38" s="5"/>
      <c r="W38" s="5"/>
      <c r="X38" s="5"/>
      <c r="Y38" s="5"/>
      <c r="Z38" s="5"/>
      <c r="AQ38" s="5"/>
      <c r="AR38" s="5"/>
      <c r="AS38" s="5"/>
      <c r="AT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</row>
    <row r="39" spans="18:199" ht="12.75">
      <c r="R39" s="5"/>
      <c r="S39" s="5"/>
      <c r="T39" s="5"/>
      <c r="U39" s="5"/>
      <c r="W39" s="5"/>
      <c r="X39" s="5"/>
      <c r="Y39" s="5"/>
      <c r="Z39" s="5"/>
      <c r="AQ39" s="5"/>
      <c r="AR39" s="5"/>
      <c r="AS39" s="5"/>
      <c r="AT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</row>
    <row r="40" spans="18:199" ht="12.75">
      <c r="R40" s="5"/>
      <c r="S40" s="5"/>
      <c r="T40" s="5"/>
      <c r="U40" s="5"/>
      <c r="W40" s="5"/>
      <c r="X40" s="5"/>
      <c r="Y40" s="5"/>
      <c r="Z40" s="5"/>
      <c r="AQ40" s="5"/>
      <c r="AR40" s="5"/>
      <c r="AS40" s="5"/>
      <c r="AT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</row>
    <row r="41" spans="18:199" ht="12.75">
      <c r="R41" s="5"/>
      <c r="S41" s="5"/>
      <c r="T41" s="5"/>
      <c r="U41" s="5"/>
      <c r="W41" s="5"/>
      <c r="X41" s="5"/>
      <c r="Y41" s="5"/>
      <c r="Z41" s="5"/>
      <c r="AQ41" s="5"/>
      <c r="AR41" s="5"/>
      <c r="AS41" s="5"/>
      <c r="AT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</row>
    <row r="42" spans="18:199" ht="12.75">
      <c r="R42" s="5"/>
      <c r="S42" s="5"/>
      <c r="T42" s="5"/>
      <c r="U42" s="5"/>
      <c r="W42" s="5"/>
      <c r="X42" s="5"/>
      <c r="Y42" s="5"/>
      <c r="Z42" s="5"/>
      <c r="AQ42" s="5"/>
      <c r="AR42" s="5"/>
      <c r="AS42" s="5"/>
      <c r="AT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</row>
    <row r="43" spans="1:199" ht="12.75">
      <c r="A43"/>
      <c r="R43" s="5"/>
      <c r="S43" s="5"/>
      <c r="T43" s="5"/>
      <c r="U43" s="5"/>
      <c r="W43" s="5"/>
      <c r="X43" s="5"/>
      <c r="Y43" s="5"/>
      <c r="Z43" s="5"/>
      <c r="AQ43" s="5"/>
      <c r="AR43" s="5"/>
      <c r="AS43" s="5"/>
      <c r="AT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</row>
    <row r="44" spans="1:199" ht="12.75">
      <c r="A44"/>
      <c r="R44" s="5"/>
      <c r="S44" s="5"/>
      <c r="T44" s="5"/>
      <c r="U44" s="5"/>
      <c r="W44" s="5"/>
      <c r="X44" s="5"/>
      <c r="Y44" s="5"/>
      <c r="Z44" s="5"/>
      <c r="AQ44" s="5"/>
      <c r="AR44" s="5"/>
      <c r="AS44" s="5"/>
      <c r="AT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</row>
    <row r="45" spans="1:199" ht="12.75">
      <c r="A45"/>
      <c r="R45" s="5"/>
      <c r="S45" s="5"/>
      <c r="T45" s="5"/>
      <c r="U45" s="5"/>
      <c r="W45" s="5"/>
      <c r="X45" s="5"/>
      <c r="Y45" s="5"/>
      <c r="Z45" s="5"/>
      <c r="AQ45" s="5"/>
      <c r="AR45" s="5"/>
      <c r="AS45" s="5"/>
      <c r="AT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</row>
    <row r="46" spans="1:199" ht="12.75">
      <c r="A46"/>
      <c r="R46" s="5"/>
      <c r="S46" s="5"/>
      <c r="T46" s="5"/>
      <c r="U46" s="5"/>
      <c r="W46" s="5"/>
      <c r="X46" s="5"/>
      <c r="Y46" s="5"/>
      <c r="Z46" s="5"/>
      <c r="AQ46" s="5"/>
      <c r="AR46" s="5"/>
      <c r="AS46" s="5"/>
      <c r="AT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</row>
    <row r="47" spans="1:199" ht="12.75">
      <c r="A47"/>
      <c r="R47" s="5"/>
      <c r="S47" s="5"/>
      <c r="T47" s="5"/>
      <c r="U47" s="5"/>
      <c r="W47" s="5"/>
      <c r="X47" s="5"/>
      <c r="Y47" s="5"/>
      <c r="Z47" s="5"/>
      <c r="AQ47" s="5"/>
      <c r="AR47" s="5"/>
      <c r="AS47" s="5"/>
      <c r="AT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</row>
    <row r="48" spans="1:199" ht="12.75">
      <c r="A48"/>
      <c r="H48"/>
      <c r="I48"/>
      <c r="J48"/>
      <c r="K48"/>
      <c r="R48" s="5"/>
      <c r="S48" s="5"/>
      <c r="T48" s="5"/>
      <c r="U48" s="5"/>
      <c r="W48" s="5"/>
      <c r="X48" s="5"/>
      <c r="Y48" s="5"/>
      <c r="Z48" s="5"/>
      <c r="AQ48" s="5"/>
      <c r="AR48" s="5"/>
      <c r="AS48" s="5"/>
      <c r="AT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</row>
    <row r="49" spans="1:199" ht="12.75">
      <c r="A49"/>
      <c r="C49"/>
      <c r="D49"/>
      <c r="E49"/>
      <c r="F49"/>
      <c r="G49"/>
      <c r="H49"/>
      <c r="I49"/>
      <c r="J49"/>
      <c r="K49"/>
      <c r="L49"/>
      <c r="Q49"/>
      <c r="R49" s="5"/>
      <c r="S49" s="5"/>
      <c r="T49" s="5"/>
      <c r="U49" s="5"/>
      <c r="V49"/>
      <c r="W49" s="5"/>
      <c r="X49" s="5"/>
      <c r="Y49" s="5"/>
      <c r="Z49" s="5"/>
      <c r="AQ49" s="5"/>
      <c r="AR49" s="5"/>
      <c r="AS49" s="5"/>
      <c r="AT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</row>
    <row r="50" spans="1:199" ht="12.75">
      <c r="A50"/>
      <c r="C50"/>
      <c r="D50"/>
      <c r="E50"/>
      <c r="F50"/>
      <c r="G50"/>
      <c r="H50"/>
      <c r="I50"/>
      <c r="J50"/>
      <c r="K50"/>
      <c r="L50"/>
      <c r="Q50"/>
      <c r="R50" s="5"/>
      <c r="S50" s="5"/>
      <c r="T50" s="5"/>
      <c r="U50" s="5"/>
      <c r="V50"/>
      <c r="W50" s="5"/>
      <c r="X50" s="5"/>
      <c r="Y50" s="5"/>
      <c r="Z50" s="5"/>
      <c r="AQ50" s="5"/>
      <c r="AR50" s="5"/>
      <c r="AS50" s="5"/>
      <c r="AT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</row>
    <row r="51" spans="1:199" ht="12.75">
      <c r="A51"/>
      <c r="C51"/>
      <c r="D51"/>
      <c r="E51"/>
      <c r="F51"/>
      <c r="G51"/>
      <c r="H51"/>
      <c r="I51"/>
      <c r="J51"/>
      <c r="K51"/>
      <c r="L51"/>
      <c r="Q51"/>
      <c r="R51" s="5"/>
      <c r="S51" s="5"/>
      <c r="T51" s="5"/>
      <c r="U51" s="5"/>
      <c r="V51"/>
      <c r="W51" s="5"/>
      <c r="X51" s="5"/>
      <c r="Y51" s="5"/>
      <c r="Z51" s="5"/>
      <c r="AQ51" s="5"/>
      <c r="AR51" s="5"/>
      <c r="AS51" s="5"/>
      <c r="AT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</row>
    <row r="52" spans="1:199" ht="12.75">
      <c r="A52"/>
      <c r="C52"/>
      <c r="D52"/>
      <c r="E52"/>
      <c r="F52"/>
      <c r="G52"/>
      <c r="H52"/>
      <c r="I52"/>
      <c r="J52"/>
      <c r="K52"/>
      <c r="L52"/>
      <c r="Q52"/>
      <c r="R52" s="5"/>
      <c r="S52" s="5"/>
      <c r="T52" s="5"/>
      <c r="U52" s="5"/>
      <c r="V52"/>
      <c r="W52" s="5"/>
      <c r="X52" s="5"/>
      <c r="Y52" s="5"/>
      <c r="Z52" s="5"/>
      <c r="AQ52" s="5"/>
      <c r="AR52" s="5"/>
      <c r="AS52" s="5"/>
      <c r="AT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</row>
    <row r="53" spans="1:199" ht="12.75">
      <c r="A53"/>
      <c r="C53"/>
      <c r="D53"/>
      <c r="E53"/>
      <c r="F53"/>
      <c r="G53"/>
      <c r="H53"/>
      <c r="I53"/>
      <c r="J53"/>
      <c r="K53"/>
      <c r="L53"/>
      <c r="Q53"/>
      <c r="R53" s="5"/>
      <c r="S53" s="5"/>
      <c r="T53" s="5"/>
      <c r="U53" s="5"/>
      <c r="V53"/>
      <c r="W53" s="5"/>
      <c r="X53" s="5"/>
      <c r="Y53" s="5"/>
      <c r="Z53" s="5"/>
      <c r="AQ53" s="5"/>
      <c r="AR53" s="5"/>
      <c r="AS53" s="5"/>
      <c r="AT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</row>
    <row r="54" spans="1:199" ht="12.75">
      <c r="A54"/>
      <c r="C54"/>
      <c r="D54"/>
      <c r="E54"/>
      <c r="F54"/>
      <c r="G54"/>
      <c r="H54"/>
      <c r="I54"/>
      <c r="J54"/>
      <c r="K54"/>
      <c r="L54"/>
      <c r="Q54"/>
      <c r="R54" s="5"/>
      <c r="S54" s="5"/>
      <c r="T54" s="5"/>
      <c r="U54" s="5"/>
      <c r="V54"/>
      <c r="W54" s="5"/>
      <c r="X54" s="5"/>
      <c r="Y54" s="5"/>
      <c r="Z54" s="5"/>
      <c r="AQ54" s="5"/>
      <c r="AR54" s="5"/>
      <c r="AS54" s="5"/>
      <c r="AT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</row>
    <row r="55" spans="1:199" ht="12.75">
      <c r="A55"/>
      <c r="C55"/>
      <c r="D55"/>
      <c r="E55"/>
      <c r="F55"/>
      <c r="G55"/>
      <c r="H55"/>
      <c r="I55"/>
      <c r="J55"/>
      <c r="K55"/>
      <c r="L55"/>
      <c r="Q55"/>
      <c r="R55" s="5"/>
      <c r="S55" s="5"/>
      <c r="T55" s="5"/>
      <c r="U55" s="5"/>
      <c r="V55"/>
      <c r="W55" s="5"/>
      <c r="X55" s="5"/>
      <c r="Y55" s="5"/>
      <c r="Z55" s="5"/>
      <c r="AQ55" s="5"/>
      <c r="AR55" s="5"/>
      <c r="AS55" s="5"/>
      <c r="AT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</row>
    <row r="56" spans="1:199" ht="12.75">
      <c r="A56"/>
      <c r="C56"/>
      <c r="D56"/>
      <c r="E56"/>
      <c r="F56"/>
      <c r="G56"/>
      <c r="H56"/>
      <c r="I56"/>
      <c r="J56"/>
      <c r="K56"/>
      <c r="L56"/>
      <c r="Q56"/>
      <c r="R56" s="5"/>
      <c r="S56" s="5"/>
      <c r="T56" s="5"/>
      <c r="U56" s="5"/>
      <c r="V56"/>
      <c r="W56" s="5"/>
      <c r="X56" s="5"/>
      <c r="Y56" s="5"/>
      <c r="Z56" s="5"/>
      <c r="AQ56" s="5"/>
      <c r="AR56" s="5"/>
      <c r="AS56" s="5"/>
      <c r="AT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</row>
    <row r="57" spans="1:199" ht="12.75">
      <c r="A57"/>
      <c r="C57"/>
      <c r="D57"/>
      <c r="E57"/>
      <c r="F57"/>
      <c r="G57"/>
      <c r="H57"/>
      <c r="I57"/>
      <c r="J57"/>
      <c r="K57"/>
      <c r="L57"/>
      <c r="Q57"/>
      <c r="R57" s="5"/>
      <c r="S57" s="5"/>
      <c r="T57" s="5"/>
      <c r="U57" s="5"/>
      <c r="V57"/>
      <c r="W57" s="5"/>
      <c r="X57" s="5"/>
      <c r="Y57" s="5"/>
      <c r="Z57" s="5"/>
      <c r="AQ57" s="5"/>
      <c r="AR57" s="5"/>
      <c r="AS57" s="5"/>
      <c r="AT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</row>
    <row r="58" spans="1:199" ht="12.75">
      <c r="A58"/>
      <c r="C58"/>
      <c r="D58"/>
      <c r="E58"/>
      <c r="F58"/>
      <c r="G58"/>
      <c r="H58"/>
      <c r="I58"/>
      <c r="J58"/>
      <c r="K58"/>
      <c r="L58"/>
      <c r="Q58"/>
      <c r="R58" s="5"/>
      <c r="S58" s="5"/>
      <c r="T58" s="5"/>
      <c r="U58" s="5"/>
      <c r="V58"/>
      <c r="W58" s="5"/>
      <c r="X58" s="5"/>
      <c r="Y58" s="5"/>
      <c r="Z58" s="5"/>
      <c r="AQ58" s="5"/>
      <c r="AR58" s="5"/>
      <c r="AS58" s="5"/>
      <c r="AT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</row>
    <row r="59" spans="1:199" ht="12.75">
      <c r="A59"/>
      <c r="C59"/>
      <c r="D59"/>
      <c r="E59"/>
      <c r="F59"/>
      <c r="G59"/>
      <c r="H59"/>
      <c r="I59"/>
      <c r="J59"/>
      <c r="K59"/>
      <c r="L59"/>
      <c r="Q59"/>
      <c r="R59" s="5"/>
      <c r="S59" s="5"/>
      <c r="T59" s="5"/>
      <c r="U59" s="5"/>
      <c r="V59"/>
      <c r="W59" s="5"/>
      <c r="X59" s="5"/>
      <c r="Y59" s="5"/>
      <c r="Z59" s="5"/>
      <c r="AQ59" s="5"/>
      <c r="AR59" s="5"/>
      <c r="AS59" s="5"/>
      <c r="AT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</row>
    <row r="60" spans="1:199" ht="12.75">
      <c r="A60"/>
      <c r="C60"/>
      <c r="D60"/>
      <c r="E60"/>
      <c r="F60"/>
      <c r="G60"/>
      <c r="H60"/>
      <c r="I60"/>
      <c r="J60"/>
      <c r="K60"/>
      <c r="L60"/>
      <c r="Q60"/>
      <c r="R60" s="5"/>
      <c r="S60" s="5"/>
      <c r="T60" s="5"/>
      <c r="U60" s="5"/>
      <c r="V60"/>
      <c r="W60" s="5"/>
      <c r="X60" s="5"/>
      <c r="Y60" s="5"/>
      <c r="Z60" s="5"/>
      <c r="AQ60" s="5"/>
      <c r="AR60" s="5"/>
      <c r="AS60" s="5"/>
      <c r="AT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</row>
    <row r="61" spans="1:199" ht="12.75">
      <c r="A61"/>
      <c r="C61"/>
      <c r="D61"/>
      <c r="E61"/>
      <c r="F61"/>
      <c r="G61"/>
      <c r="H61"/>
      <c r="I61"/>
      <c r="J61"/>
      <c r="K61"/>
      <c r="L61"/>
      <c r="Q61"/>
      <c r="R61" s="5"/>
      <c r="S61" s="5"/>
      <c r="T61" s="5"/>
      <c r="U61" s="5"/>
      <c r="V61"/>
      <c r="W61" s="5"/>
      <c r="X61" s="5"/>
      <c r="Y61" s="5"/>
      <c r="Z61" s="5"/>
      <c r="AQ61" s="5"/>
      <c r="AR61" s="5"/>
      <c r="AS61" s="5"/>
      <c r="AT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</row>
    <row r="62" spans="1:199" ht="12.75">
      <c r="A62"/>
      <c r="C62"/>
      <c r="D62"/>
      <c r="E62"/>
      <c r="F62"/>
      <c r="G62"/>
      <c r="H62"/>
      <c r="I62"/>
      <c r="J62"/>
      <c r="K62"/>
      <c r="L62"/>
      <c r="Q62"/>
      <c r="R62" s="5"/>
      <c r="S62" s="5"/>
      <c r="T62" s="5"/>
      <c r="U62" s="5"/>
      <c r="V62"/>
      <c r="W62" s="5"/>
      <c r="X62" s="5"/>
      <c r="Y62" s="5"/>
      <c r="Z62" s="5"/>
      <c r="AQ62" s="5"/>
      <c r="AR62" s="5"/>
      <c r="AS62" s="5"/>
      <c r="AT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</row>
    <row r="63" spans="1:199" ht="12.75">
      <c r="A63"/>
      <c r="C63"/>
      <c r="D63"/>
      <c r="E63"/>
      <c r="F63"/>
      <c r="G63"/>
      <c r="H63"/>
      <c r="I63"/>
      <c r="J63"/>
      <c r="K63"/>
      <c r="L63"/>
      <c r="Q63"/>
      <c r="R63" s="5"/>
      <c r="S63" s="5"/>
      <c r="T63" s="5"/>
      <c r="U63" s="5"/>
      <c r="V63"/>
      <c r="W63" s="5"/>
      <c r="X63" s="5"/>
      <c r="Y63" s="5"/>
      <c r="Z63" s="5"/>
      <c r="AQ63" s="5"/>
      <c r="AR63" s="5"/>
      <c r="AS63" s="5"/>
      <c r="AT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</row>
    <row r="64" spans="1:199" ht="12.75">
      <c r="A64"/>
      <c r="C64"/>
      <c r="D64"/>
      <c r="E64"/>
      <c r="F64"/>
      <c r="G64"/>
      <c r="H64"/>
      <c r="I64"/>
      <c r="J64"/>
      <c r="K64"/>
      <c r="L64"/>
      <c r="Q64"/>
      <c r="R64" s="5"/>
      <c r="S64" s="5"/>
      <c r="T64" s="5"/>
      <c r="U64" s="5"/>
      <c r="V64"/>
      <c r="W64" s="5"/>
      <c r="X64" s="5"/>
      <c r="Y64" s="5"/>
      <c r="Z64" s="5"/>
      <c r="AQ64" s="5"/>
      <c r="AR64" s="5"/>
      <c r="AS64" s="5"/>
      <c r="AT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</row>
    <row r="65" spans="1:199" ht="12.75">
      <c r="A65"/>
      <c r="C65"/>
      <c r="D65"/>
      <c r="E65"/>
      <c r="F65"/>
      <c r="G65"/>
      <c r="H65"/>
      <c r="I65"/>
      <c r="J65"/>
      <c r="K65"/>
      <c r="L65"/>
      <c r="Q65"/>
      <c r="R65" s="5"/>
      <c r="S65" s="5"/>
      <c r="T65" s="5"/>
      <c r="U65" s="5"/>
      <c r="V65"/>
      <c r="W65" s="5"/>
      <c r="X65" s="5"/>
      <c r="Y65" s="5"/>
      <c r="Z65" s="5"/>
      <c r="AQ65" s="5"/>
      <c r="AR65" s="5"/>
      <c r="AS65" s="5"/>
      <c r="AT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</row>
    <row r="66" spans="1:199" ht="12.75">
      <c r="A66"/>
      <c r="C66"/>
      <c r="D66"/>
      <c r="E66"/>
      <c r="F66"/>
      <c r="G66"/>
      <c r="H66"/>
      <c r="I66"/>
      <c r="J66"/>
      <c r="K66"/>
      <c r="L66"/>
      <c r="Q66"/>
      <c r="R66" s="5"/>
      <c r="S66" s="5"/>
      <c r="T66" s="5"/>
      <c r="U66" s="5"/>
      <c r="V66"/>
      <c r="W66" s="5"/>
      <c r="X66" s="5"/>
      <c r="Y66" s="5"/>
      <c r="Z66" s="5"/>
      <c r="AQ66" s="5"/>
      <c r="AR66" s="5"/>
      <c r="AS66" s="5"/>
      <c r="AT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</row>
    <row r="67" spans="1:199" ht="12.75">
      <c r="A67"/>
      <c r="C67"/>
      <c r="D67"/>
      <c r="E67"/>
      <c r="F67"/>
      <c r="G67"/>
      <c r="H67"/>
      <c r="I67"/>
      <c r="J67"/>
      <c r="K67"/>
      <c r="L67"/>
      <c r="Q67"/>
      <c r="R67" s="5"/>
      <c r="S67" s="5"/>
      <c r="T67" s="5"/>
      <c r="U67" s="5"/>
      <c r="V67"/>
      <c r="W67" s="5"/>
      <c r="X67" s="5"/>
      <c r="Y67" s="5"/>
      <c r="Z67" s="5"/>
      <c r="AQ67" s="5"/>
      <c r="AR67" s="5"/>
      <c r="AS67" s="5"/>
      <c r="AT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</row>
    <row r="68" spans="1:199" ht="12.75">
      <c r="A68"/>
      <c r="C68"/>
      <c r="D68"/>
      <c r="E68"/>
      <c r="F68"/>
      <c r="G68"/>
      <c r="H68"/>
      <c r="I68"/>
      <c r="J68"/>
      <c r="K68"/>
      <c r="L68"/>
      <c r="Q68"/>
      <c r="R68" s="5"/>
      <c r="S68" s="5"/>
      <c r="T68" s="5"/>
      <c r="U68" s="5"/>
      <c r="V68"/>
      <c r="W68" s="5"/>
      <c r="X68" s="5"/>
      <c r="Y68" s="5"/>
      <c r="Z68" s="5"/>
      <c r="AQ68" s="5"/>
      <c r="AR68" s="5"/>
      <c r="AS68" s="5"/>
      <c r="AT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</row>
    <row r="69" spans="1:199" ht="12.75">
      <c r="A69"/>
      <c r="C69"/>
      <c r="D69"/>
      <c r="E69"/>
      <c r="F69"/>
      <c r="G69"/>
      <c r="H69"/>
      <c r="I69"/>
      <c r="J69"/>
      <c r="K69"/>
      <c r="L69"/>
      <c r="Q69"/>
      <c r="R69" s="5"/>
      <c r="S69" s="5"/>
      <c r="T69" s="5"/>
      <c r="U69" s="5"/>
      <c r="V69"/>
      <c r="W69" s="5"/>
      <c r="X69" s="5"/>
      <c r="Y69" s="5"/>
      <c r="Z69" s="5"/>
      <c r="AQ69" s="5"/>
      <c r="AR69" s="5"/>
      <c r="AS69" s="5"/>
      <c r="AT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</row>
    <row r="70" spans="3:199" ht="12.75">
      <c r="C70"/>
      <c r="D70"/>
      <c r="E70"/>
      <c r="F70"/>
      <c r="G70"/>
      <c r="H70"/>
      <c r="I70"/>
      <c r="J70"/>
      <c r="K70"/>
      <c r="L70"/>
      <c r="Q70"/>
      <c r="R70" s="5"/>
      <c r="S70" s="5"/>
      <c r="T70" s="5"/>
      <c r="U70" s="5"/>
      <c r="V70"/>
      <c r="W70" s="5"/>
      <c r="X70" s="5"/>
      <c r="Y70" s="5"/>
      <c r="Z70" s="5"/>
      <c r="AQ70" s="5"/>
      <c r="AR70" s="5"/>
      <c r="AS70" s="5"/>
      <c r="AT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</row>
    <row r="71" spans="3:199" ht="12.75">
      <c r="C71"/>
      <c r="D71"/>
      <c r="E71"/>
      <c r="F71"/>
      <c r="G71"/>
      <c r="H71"/>
      <c r="I71"/>
      <c r="J71"/>
      <c r="K71"/>
      <c r="L71"/>
      <c r="Q71"/>
      <c r="R71" s="5"/>
      <c r="S71" s="5"/>
      <c r="T71" s="5"/>
      <c r="U71" s="5"/>
      <c r="V71"/>
      <c r="W71" s="5"/>
      <c r="X71" s="5"/>
      <c r="Y71" s="5"/>
      <c r="Z71" s="5"/>
      <c r="AQ71" s="5"/>
      <c r="AR71" s="5"/>
      <c r="AS71" s="5"/>
      <c r="AT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</row>
    <row r="72" spans="3:199" ht="12.75">
      <c r="C72"/>
      <c r="D72"/>
      <c r="E72"/>
      <c r="F72"/>
      <c r="G72"/>
      <c r="H72"/>
      <c r="I72"/>
      <c r="J72"/>
      <c r="K72"/>
      <c r="L72"/>
      <c r="Q72"/>
      <c r="R72" s="5"/>
      <c r="S72" s="5"/>
      <c r="T72" s="5"/>
      <c r="U72" s="5"/>
      <c r="V72"/>
      <c r="W72" s="5"/>
      <c r="X72" s="5"/>
      <c r="Y72" s="5"/>
      <c r="Z72" s="5"/>
      <c r="AQ72" s="5"/>
      <c r="AR72" s="5"/>
      <c r="AS72" s="5"/>
      <c r="AT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</row>
    <row r="73" spans="3:199" ht="12.75">
      <c r="C73"/>
      <c r="D73"/>
      <c r="E73"/>
      <c r="F73"/>
      <c r="G73"/>
      <c r="H73"/>
      <c r="I73"/>
      <c r="J73"/>
      <c r="K73"/>
      <c r="L73"/>
      <c r="Q73"/>
      <c r="R73" s="5"/>
      <c r="S73" s="5"/>
      <c r="T73" s="5"/>
      <c r="U73" s="5"/>
      <c r="V73"/>
      <c r="W73" s="5"/>
      <c r="X73" s="5"/>
      <c r="Y73" s="5"/>
      <c r="Z73" s="5"/>
      <c r="AQ73" s="5"/>
      <c r="AR73" s="5"/>
      <c r="AS73" s="5"/>
      <c r="AT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</row>
    <row r="74" spans="3:199" ht="12.75">
      <c r="C74"/>
      <c r="D74"/>
      <c r="E74"/>
      <c r="F74"/>
      <c r="G74"/>
      <c r="H74"/>
      <c r="I74"/>
      <c r="J74"/>
      <c r="K74"/>
      <c r="L74"/>
      <c r="Q74"/>
      <c r="R74" s="5"/>
      <c r="S74" s="5"/>
      <c r="T74" s="5"/>
      <c r="U74" s="5"/>
      <c r="V74"/>
      <c r="W74" s="5"/>
      <c r="X74" s="5"/>
      <c r="Y74" s="5"/>
      <c r="Z74" s="5"/>
      <c r="AQ74" s="5"/>
      <c r="AR74" s="5"/>
      <c r="AS74" s="5"/>
      <c r="AT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</row>
    <row r="75" spans="3:199" ht="12.75">
      <c r="C75"/>
      <c r="D75"/>
      <c r="E75"/>
      <c r="F75"/>
      <c r="G75"/>
      <c r="L75"/>
      <c r="Q75"/>
      <c r="R75" s="5"/>
      <c r="S75" s="5"/>
      <c r="T75" s="5"/>
      <c r="U75" s="5"/>
      <c r="V75"/>
      <c r="W75" s="5"/>
      <c r="X75" s="5"/>
      <c r="Y75" s="5"/>
      <c r="Z75" s="5"/>
      <c r="AQ75" s="5"/>
      <c r="AR75" s="5"/>
      <c r="AS75" s="5"/>
      <c r="AT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</row>
    <row r="76" spans="18:199" ht="12.75">
      <c r="R76" s="5"/>
      <c r="S76" s="5"/>
      <c r="T76" s="5"/>
      <c r="U76" s="5"/>
      <c r="W76" s="5"/>
      <c r="X76" s="5"/>
      <c r="Y76" s="5"/>
      <c r="Z76" s="5"/>
      <c r="AQ76" s="5"/>
      <c r="AR76" s="5"/>
      <c r="AS76" s="5"/>
      <c r="AT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</row>
    <row r="77" spans="18:199" ht="12.75">
      <c r="R77" s="5"/>
      <c r="S77" s="5"/>
      <c r="T77" s="5"/>
      <c r="U77" s="5"/>
      <c r="W77" s="5"/>
      <c r="X77" s="5"/>
      <c r="Y77" s="5"/>
      <c r="Z77" s="5"/>
      <c r="AQ77" s="5"/>
      <c r="AR77" s="5"/>
      <c r="AS77" s="5"/>
      <c r="AT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</row>
    <row r="78" spans="18:199" ht="12.75">
      <c r="R78" s="5"/>
      <c r="S78" s="5"/>
      <c r="T78" s="5"/>
      <c r="U78" s="5"/>
      <c r="W78" s="5"/>
      <c r="X78" s="5"/>
      <c r="Y78" s="5"/>
      <c r="Z78" s="5"/>
      <c r="AQ78" s="5"/>
      <c r="AR78" s="5"/>
      <c r="AS78" s="5"/>
      <c r="AT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</row>
    <row r="79" spans="18:199" ht="12.75">
      <c r="R79" s="5"/>
      <c r="S79" s="5"/>
      <c r="T79" s="5"/>
      <c r="U79" s="5"/>
      <c r="W79" s="5"/>
      <c r="X79" s="5"/>
      <c r="Y79" s="5"/>
      <c r="Z79" s="5"/>
      <c r="AQ79" s="5"/>
      <c r="AR79" s="5"/>
      <c r="AS79" s="5"/>
      <c r="AT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</row>
    <row r="80" spans="18:199" ht="12.75">
      <c r="R80" s="5"/>
      <c r="S80" s="5"/>
      <c r="T80" s="5"/>
      <c r="U80" s="5"/>
      <c r="W80" s="5"/>
      <c r="X80" s="5"/>
      <c r="Y80" s="5"/>
      <c r="Z80" s="5"/>
      <c r="AQ80" s="5"/>
      <c r="AR80" s="5"/>
      <c r="AS80" s="5"/>
      <c r="AT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</row>
    <row r="81" spans="18:199" ht="12.75">
      <c r="R81" s="5"/>
      <c r="S81" s="5"/>
      <c r="T81" s="5"/>
      <c r="U81" s="5"/>
      <c r="W81" s="5"/>
      <c r="X81" s="5"/>
      <c r="Y81" s="5"/>
      <c r="Z81" s="5"/>
      <c r="AQ81" s="5"/>
      <c r="AR81" s="5"/>
      <c r="AS81" s="5"/>
      <c r="AT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</row>
    <row r="82" spans="18:199" ht="12.75">
      <c r="R82" s="5"/>
      <c r="S82" s="5"/>
      <c r="T82" s="5"/>
      <c r="U82" s="5"/>
      <c r="W82" s="5"/>
      <c r="X82" s="5"/>
      <c r="Y82" s="5"/>
      <c r="Z82" s="5"/>
      <c r="AQ82" s="5"/>
      <c r="AR82" s="5"/>
      <c r="AS82" s="5"/>
      <c r="AT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</row>
    <row r="83" spans="18:199" ht="12.75">
      <c r="R83" s="5"/>
      <c r="S83" s="5"/>
      <c r="T83" s="5"/>
      <c r="U83" s="5"/>
      <c r="W83" s="5"/>
      <c r="X83" s="5"/>
      <c r="Y83" s="5"/>
      <c r="Z83" s="5"/>
      <c r="AQ83" s="5"/>
      <c r="AR83" s="5"/>
      <c r="AS83" s="5"/>
      <c r="AT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</row>
    <row r="84" spans="18:199" ht="12.75">
      <c r="R84" s="5"/>
      <c r="S84" s="5"/>
      <c r="T84" s="5"/>
      <c r="U84" s="5"/>
      <c r="W84" s="5"/>
      <c r="X84" s="5"/>
      <c r="Y84" s="5"/>
      <c r="Z84" s="5"/>
      <c r="AQ84" s="5"/>
      <c r="AR84" s="5"/>
      <c r="AS84" s="5"/>
      <c r="AT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</row>
    <row r="85" spans="18:199" ht="12.75">
      <c r="R85" s="5"/>
      <c r="S85" s="5"/>
      <c r="T85" s="5"/>
      <c r="U85" s="5"/>
      <c r="W85" s="5"/>
      <c r="X85" s="5"/>
      <c r="Y85" s="5"/>
      <c r="Z85" s="5"/>
      <c r="AQ85" s="5"/>
      <c r="AR85" s="5"/>
      <c r="AS85" s="5"/>
      <c r="AT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</row>
    <row r="86" spans="18:199" ht="12.75">
      <c r="R86" s="5"/>
      <c r="S86" s="5"/>
      <c r="T86" s="5"/>
      <c r="U86" s="5"/>
      <c r="W86" s="5"/>
      <c r="X86" s="5"/>
      <c r="Y86" s="5"/>
      <c r="Z86" s="5"/>
      <c r="AQ86" s="5"/>
      <c r="AR86" s="5"/>
      <c r="AS86" s="5"/>
      <c r="AT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</row>
    <row r="87" spans="18:199" ht="12.75">
      <c r="R87" s="5"/>
      <c r="S87" s="5"/>
      <c r="T87" s="5"/>
      <c r="U87" s="5"/>
      <c r="W87" s="5"/>
      <c r="X87" s="5"/>
      <c r="Y87" s="5"/>
      <c r="Z87" s="5"/>
      <c r="AQ87" s="5"/>
      <c r="AR87" s="5"/>
      <c r="AS87" s="5"/>
      <c r="AT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</row>
    <row r="88" spans="18:199" ht="12.75">
      <c r="R88" s="5"/>
      <c r="S88" s="5"/>
      <c r="T88" s="5"/>
      <c r="U88" s="5"/>
      <c r="W88" s="5"/>
      <c r="X88" s="5"/>
      <c r="Y88" s="5"/>
      <c r="Z88" s="5"/>
      <c r="AQ88" s="5"/>
      <c r="AR88" s="5"/>
      <c r="AS88" s="5"/>
      <c r="AT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</row>
    <row r="89" spans="18:199" ht="12.75">
      <c r="R89" s="5"/>
      <c r="S89" s="5"/>
      <c r="T89" s="5"/>
      <c r="U89" s="5"/>
      <c r="W89" s="5"/>
      <c r="X89" s="5"/>
      <c r="Y89" s="5"/>
      <c r="Z89" s="5"/>
      <c r="AQ89" s="5"/>
      <c r="AR89" s="5"/>
      <c r="AS89" s="5"/>
      <c r="AT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</row>
    <row r="90" spans="18:199" ht="12.75">
      <c r="R90" s="5"/>
      <c r="S90" s="5"/>
      <c r="T90" s="5"/>
      <c r="U90" s="5"/>
      <c r="W90" s="5"/>
      <c r="X90" s="5"/>
      <c r="Y90" s="5"/>
      <c r="Z90" s="5"/>
      <c r="AQ90" s="5"/>
      <c r="AR90" s="5"/>
      <c r="AS90" s="5"/>
      <c r="AT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</row>
    <row r="91" spans="18:199" ht="12.75">
      <c r="R91" s="5"/>
      <c r="S91" s="5"/>
      <c r="T91" s="5"/>
      <c r="U91" s="5"/>
      <c r="W91" s="5"/>
      <c r="X91" s="5"/>
      <c r="Y91" s="5"/>
      <c r="Z91" s="5"/>
      <c r="AQ91" s="5"/>
      <c r="AR91" s="5"/>
      <c r="AS91" s="5"/>
      <c r="AT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</row>
    <row r="92" spans="18:199" ht="12.75">
      <c r="R92" s="5"/>
      <c r="S92" s="5"/>
      <c r="T92" s="5"/>
      <c r="U92" s="5"/>
      <c r="W92" s="5"/>
      <c r="X92" s="5"/>
      <c r="Y92" s="5"/>
      <c r="Z92" s="5"/>
      <c r="AQ92" s="5"/>
      <c r="AR92" s="5"/>
      <c r="AS92" s="5"/>
      <c r="AT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</row>
    <row r="93" spans="18:199" ht="12.75">
      <c r="R93" s="5"/>
      <c r="S93" s="5"/>
      <c r="T93" s="5"/>
      <c r="U93" s="5"/>
      <c r="W93" s="5"/>
      <c r="X93" s="5"/>
      <c r="Y93" s="5"/>
      <c r="Z93" s="5"/>
      <c r="AQ93" s="5"/>
      <c r="AR93" s="5"/>
      <c r="AS93" s="5"/>
      <c r="AT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</row>
    <row r="94" spans="18:199" ht="12.75">
      <c r="R94" s="5"/>
      <c r="S94" s="5"/>
      <c r="T94" s="5"/>
      <c r="U94" s="5"/>
      <c r="W94" s="5"/>
      <c r="X94" s="5"/>
      <c r="Y94" s="5"/>
      <c r="Z94" s="5"/>
      <c r="AQ94" s="5"/>
      <c r="AR94" s="5"/>
      <c r="AS94" s="5"/>
      <c r="AT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</row>
    <row r="95" spans="18:199" ht="12.75">
      <c r="R95" s="5"/>
      <c r="S95" s="5"/>
      <c r="T95" s="5"/>
      <c r="U95" s="5"/>
      <c r="W95" s="5"/>
      <c r="X95" s="5"/>
      <c r="Y95" s="5"/>
      <c r="Z95" s="5"/>
      <c r="AQ95" s="5"/>
      <c r="AR95" s="5"/>
      <c r="AS95" s="5"/>
      <c r="AT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</row>
    <row r="96" spans="18:199" ht="12.75">
      <c r="R96" s="5"/>
      <c r="S96" s="5"/>
      <c r="T96" s="5"/>
      <c r="U96" s="5"/>
      <c r="W96" s="5"/>
      <c r="X96" s="5"/>
      <c r="Y96" s="5"/>
      <c r="Z96" s="5"/>
      <c r="AQ96" s="5"/>
      <c r="AR96" s="5"/>
      <c r="AS96" s="5"/>
      <c r="AT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</row>
    <row r="97" spans="18:199" ht="12.75">
      <c r="R97" s="5"/>
      <c r="S97" s="5"/>
      <c r="T97" s="5"/>
      <c r="U97" s="5"/>
      <c r="W97" s="5"/>
      <c r="X97" s="5"/>
      <c r="Y97" s="5"/>
      <c r="Z97" s="5"/>
      <c r="AQ97" s="5"/>
      <c r="AR97" s="5"/>
      <c r="AS97" s="5"/>
      <c r="AT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</row>
    <row r="98" spans="18:199" ht="12.75">
      <c r="R98" s="5"/>
      <c r="S98" s="5"/>
      <c r="T98" s="5"/>
      <c r="U98" s="5"/>
      <c r="W98" s="5"/>
      <c r="X98" s="5"/>
      <c r="Y98" s="5"/>
      <c r="Z98" s="5"/>
      <c r="AQ98" s="5"/>
      <c r="AR98" s="5"/>
      <c r="AS98" s="5"/>
      <c r="AT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</row>
    <row r="99" spans="18:199" ht="12.75">
      <c r="R99" s="5"/>
      <c r="S99" s="5"/>
      <c r="T99" s="5"/>
      <c r="U99" s="5"/>
      <c r="W99" s="5"/>
      <c r="X99" s="5"/>
      <c r="Y99" s="5"/>
      <c r="Z99" s="5"/>
      <c r="AQ99" s="5"/>
      <c r="AR99" s="5"/>
      <c r="AS99" s="5"/>
      <c r="AT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</row>
    <row r="100" spans="18:199" ht="12.75">
      <c r="R100" s="5"/>
      <c r="S100" s="5"/>
      <c r="T100" s="5"/>
      <c r="U100" s="5"/>
      <c r="W100" s="5"/>
      <c r="X100" s="5"/>
      <c r="Y100" s="5"/>
      <c r="Z100" s="5"/>
      <c r="AQ100" s="5"/>
      <c r="AR100" s="5"/>
      <c r="AS100" s="5"/>
      <c r="AT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</row>
    <row r="101" spans="18:199" ht="12.75">
      <c r="R101" s="5"/>
      <c r="S101" s="5"/>
      <c r="T101" s="5"/>
      <c r="U101" s="5"/>
      <c r="W101" s="5"/>
      <c r="X101" s="5"/>
      <c r="Y101" s="5"/>
      <c r="Z101" s="5"/>
      <c r="AQ101" s="5"/>
      <c r="AR101" s="5"/>
      <c r="AS101" s="5"/>
      <c r="AT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</row>
    <row r="102" spans="18:199" ht="12.75">
      <c r="R102" s="5"/>
      <c r="S102" s="5"/>
      <c r="T102" s="5"/>
      <c r="U102" s="5"/>
      <c r="W102" s="5"/>
      <c r="X102" s="5"/>
      <c r="Y102" s="5"/>
      <c r="Z102" s="5"/>
      <c r="AQ102" s="5"/>
      <c r="AR102" s="5"/>
      <c r="AS102" s="5"/>
      <c r="AT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</row>
    <row r="103" spans="18:199" ht="12.75">
      <c r="R103" s="5"/>
      <c r="S103" s="5"/>
      <c r="T103" s="5"/>
      <c r="U103" s="5"/>
      <c r="W103" s="5"/>
      <c r="X103" s="5"/>
      <c r="Y103" s="5"/>
      <c r="Z103" s="5"/>
      <c r="AQ103" s="5"/>
      <c r="AR103" s="5"/>
      <c r="AS103" s="5"/>
      <c r="AT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</row>
    <row r="104" spans="18:199" ht="12.75">
      <c r="R104" s="5"/>
      <c r="S104" s="5"/>
      <c r="T104" s="5"/>
      <c r="U104" s="5"/>
      <c r="W104" s="5"/>
      <c r="X104" s="5"/>
      <c r="Y104" s="5"/>
      <c r="Z104" s="5"/>
      <c r="AQ104" s="5"/>
      <c r="AR104" s="5"/>
      <c r="AS104" s="5"/>
      <c r="AT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</row>
    <row r="105" spans="18:199" ht="12.75">
      <c r="R105" s="5"/>
      <c r="S105" s="5"/>
      <c r="T105" s="5"/>
      <c r="U105" s="5"/>
      <c r="W105" s="5"/>
      <c r="X105" s="5"/>
      <c r="Y105" s="5"/>
      <c r="Z105" s="5"/>
      <c r="AQ105" s="5"/>
      <c r="AR105" s="5"/>
      <c r="AS105" s="5"/>
      <c r="AT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</row>
    <row r="106" spans="18:199" ht="12.75">
      <c r="R106" s="5"/>
      <c r="S106" s="5"/>
      <c r="T106" s="5"/>
      <c r="U106" s="5"/>
      <c r="W106" s="5"/>
      <c r="X106" s="5"/>
      <c r="Y106" s="5"/>
      <c r="Z106" s="5"/>
      <c r="AQ106" s="5"/>
      <c r="AR106" s="5"/>
      <c r="AS106" s="5"/>
      <c r="AT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</row>
    <row r="107" spans="18:199" ht="12.75">
      <c r="R107" s="5"/>
      <c r="S107" s="5"/>
      <c r="T107" s="5"/>
      <c r="U107" s="5"/>
      <c r="W107" s="5"/>
      <c r="X107" s="5"/>
      <c r="Y107" s="5"/>
      <c r="Z107" s="5"/>
      <c r="AQ107" s="5"/>
      <c r="AR107" s="5"/>
      <c r="AS107" s="5"/>
      <c r="AT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</row>
    <row r="108" spans="18:199" ht="12.75">
      <c r="R108" s="5"/>
      <c r="S108" s="5"/>
      <c r="T108" s="5"/>
      <c r="U108" s="5"/>
      <c r="W108" s="5"/>
      <c r="X108" s="5"/>
      <c r="Y108" s="5"/>
      <c r="Z108" s="5"/>
      <c r="AQ108" s="5"/>
      <c r="AR108" s="5"/>
      <c r="AS108" s="5"/>
      <c r="AT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</row>
    <row r="109" spans="18:199" ht="12.75">
      <c r="R109" s="5"/>
      <c r="S109" s="5"/>
      <c r="T109" s="5"/>
      <c r="U109" s="5"/>
      <c r="W109" s="5"/>
      <c r="X109" s="5"/>
      <c r="Y109" s="5"/>
      <c r="Z109" s="5"/>
      <c r="AQ109" s="5"/>
      <c r="AR109" s="5"/>
      <c r="AS109" s="5"/>
      <c r="AT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</row>
    <row r="110" spans="18:199" ht="12.75">
      <c r="R110" s="5"/>
      <c r="S110" s="5"/>
      <c r="T110" s="5"/>
      <c r="U110" s="5"/>
      <c r="W110" s="5"/>
      <c r="X110" s="5"/>
      <c r="Y110" s="5"/>
      <c r="Z110" s="5"/>
      <c r="AQ110" s="5"/>
      <c r="AR110" s="5"/>
      <c r="AS110" s="5"/>
      <c r="AT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</row>
    <row r="111" spans="18:199" ht="12.75">
      <c r="R111" s="5"/>
      <c r="S111" s="5"/>
      <c r="T111" s="5"/>
      <c r="U111" s="5"/>
      <c r="W111" s="5"/>
      <c r="X111" s="5"/>
      <c r="Y111" s="5"/>
      <c r="Z111" s="5"/>
      <c r="AQ111" s="5"/>
      <c r="AR111" s="5"/>
      <c r="AS111" s="5"/>
      <c r="AT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</row>
    <row r="112" spans="18:199" ht="12.75">
      <c r="R112" s="5"/>
      <c r="S112" s="5"/>
      <c r="T112" s="5"/>
      <c r="U112" s="5"/>
      <c r="W112" s="5"/>
      <c r="X112" s="5"/>
      <c r="Y112" s="5"/>
      <c r="Z112" s="5"/>
      <c r="AQ112" s="5"/>
      <c r="AR112" s="5"/>
      <c r="AS112" s="5"/>
      <c r="AT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</row>
    <row r="113" spans="18:199" ht="12.75">
      <c r="R113" s="5"/>
      <c r="S113" s="5"/>
      <c r="T113" s="5"/>
      <c r="U113" s="5"/>
      <c r="W113" s="5"/>
      <c r="X113" s="5"/>
      <c r="Y113" s="5"/>
      <c r="Z113" s="5"/>
      <c r="AQ113" s="5"/>
      <c r="AR113" s="5"/>
      <c r="AS113" s="5"/>
      <c r="AT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</row>
    <row r="114" spans="18:199" ht="12.75">
      <c r="R114" s="5"/>
      <c r="S114" s="5"/>
      <c r="T114" s="5"/>
      <c r="U114" s="5"/>
      <c r="W114" s="5"/>
      <c r="X114" s="5"/>
      <c r="Y114" s="5"/>
      <c r="Z114" s="5"/>
      <c r="AQ114" s="5"/>
      <c r="AR114" s="5"/>
      <c r="AS114" s="5"/>
      <c r="AT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</row>
    <row r="115" spans="18:199" ht="12.75">
      <c r="R115" s="5"/>
      <c r="S115" s="5"/>
      <c r="T115" s="5"/>
      <c r="U115" s="5"/>
      <c r="W115" s="5"/>
      <c r="X115" s="5"/>
      <c r="Y115" s="5"/>
      <c r="Z115" s="5"/>
      <c r="AQ115" s="5"/>
      <c r="AR115" s="5"/>
      <c r="AS115" s="5"/>
      <c r="AT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</row>
    <row r="116" spans="18:199" ht="12.75">
      <c r="R116" s="5"/>
      <c r="S116" s="5"/>
      <c r="T116" s="5"/>
      <c r="U116" s="5"/>
      <c r="W116" s="5"/>
      <c r="X116" s="5"/>
      <c r="Y116" s="5"/>
      <c r="Z116" s="5"/>
      <c r="AQ116" s="5"/>
      <c r="AR116" s="5"/>
      <c r="AS116" s="5"/>
      <c r="AT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</row>
    <row r="117" spans="18:199" ht="12.75">
      <c r="R117" s="5"/>
      <c r="S117" s="5"/>
      <c r="T117" s="5"/>
      <c r="U117" s="5"/>
      <c r="W117" s="5"/>
      <c r="X117" s="5"/>
      <c r="Y117" s="5"/>
      <c r="Z117" s="5"/>
      <c r="AQ117" s="5"/>
      <c r="AR117" s="5"/>
      <c r="AS117" s="5"/>
      <c r="AT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</row>
    <row r="118" spans="18:199" ht="12.75">
      <c r="R118" s="5"/>
      <c r="S118" s="5"/>
      <c r="T118" s="5"/>
      <c r="U118" s="5"/>
      <c r="W118" s="5"/>
      <c r="X118" s="5"/>
      <c r="Y118" s="5"/>
      <c r="Z118" s="5"/>
      <c r="AQ118" s="5"/>
      <c r="AR118" s="5"/>
      <c r="AS118" s="5"/>
      <c r="AT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</row>
    <row r="119" spans="18:199" ht="12.75">
      <c r="R119" s="5"/>
      <c r="S119" s="5"/>
      <c r="T119" s="5"/>
      <c r="U119" s="5"/>
      <c r="W119" s="5"/>
      <c r="X119" s="5"/>
      <c r="Y119" s="5"/>
      <c r="Z119" s="5"/>
      <c r="AQ119" s="5"/>
      <c r="AR119" s="5"/>
      <c r="AS119" s="5"/>
      <c r="AT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</row>
    <row r="120" spans="18:199" ht="12.75">
      <c r="R120" s="5"/>
      <c r="S120" s="5"/>
      <c r="T120" s="5"/>
      <c r="U120" s="5"/>
      <c r="W120" s="5"/>
      <c r="X120" s="5"/>
      <c r="Y120" s="5"/>
      <c r="Z120" s="5"/>
      <c r="AQ120" s="5"/>
      <c r="AR120" s="5"/>
      <c r="AS120" s="5"/>
      <c r="AT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</row>
    <row r="121" spans="18:199" ht="12.75">
      <c r="R121" s="5"/>
      <c r="S121" s="5"/>
      <c r="T121" s="5"/>
      <c r="U121" s="5"/>
      <c r="W121" s="5"/>
      <c r="X121" s="5"/>
      <c r="Y121" s="5"/>
      <c r="Z121" s="5"/>
      <c r="AQ121" s="5"/>
      <c r="AR121" s="5"/>
      <c r="AS121" s="5"/>
      <c r="AT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</row>
    <row r="122" spans="18:199" ht="12.75">
      <c r="R122" s="5"/>
      <c r="S122" s="5"/>
      <c r="T122" s="5"/>
      <c r="U122" s="5"/>
      <c r="W122" s="5"/>
      <c r="X122" s="5"/>
      <c r="Y122" s="5"/>
      <c r="Z122" s="5"/>
      <c r="AQ122" s="5"/>
      <c r="AR122" s="5"/>
      <c r="AS122" s="5"/>
      <c r="AT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</row>
    <row r="123" spans="18:199" ht="12.75">
      <c r="R123" s="5"/>
      <c r="S123" s="5"/>
      <c r="T123" s="5"/>
      <c r="U123" s="5"/>
      <c r="W123" s="5"/>
      <c r="X123" s="5"/>
      <c r="Y123" s="5"/>
      <c r="Z123" s="5"/>
      <c r="AQ123" s="5"/>
      <c r="AR123" s="5"/>
      <c r="AS123" s="5"/>
      <c r="AT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</row>
    <row r="124" spans="18:199" ht="12.75">
      <c r="R124" s="5"/>
      <c r="S124" s="5"/>
      <c r="T124" s="5"/>
      <c r="U124" s="5"/>
      <c r="W124" s="5"/>
      <c r="X124" s="5"/>
      <c r="Y124" s="5"/>
      <c r="Z124" s="5"/>
      <c r="AQ124" s="5"/>
      <c r="AR124" s="5"/>
      <c r="AS124" s="5"/>
      <c r="AT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</row>
    <row r="125" spans="18:199" ht="12.75">
      <c r="R125" s="5"/>
      <c r="S125" s="5"/>
      <c r="T125" s="5"/>
      <c r="U125" s="5"/>
      <c r="W125" s="5"/>
      <c r="X125" s="5"/>
      <c r="Y125" s="5"/>
      <c r="Z125" s="5"/>
      <c r="AQ125" s="5"/>
      <c r="AR125" s="5"/>
      <c r="AS125" s="5"/>
      <c r="AT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</row>
    <row r="126" spans="18:199" ht="12.75">
      <c r="R126" s="5"/>
      <c r="S126" s="5"/>
      <c r="T126" s="5"/>
      <c r="U126" s="5"/>
      <c r="W126" s="5"/>
      <c r="X126" s="5"/>
      <c r="Y126" s="5"/>
      <c r="Z126" s="5"/>
      <c r="AQ126" s="5"/>
      <c r="AR126" s="5"/>
      <c r="AS126" s="5"/>
      <c r="AT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</row>
    <row r="127" spans="18:199" ht="12.75">
      <c r="R127" s="5"/>
      <c r="S127" s="5"/>
      <c r="T127" s="5"/>
      <c r="U127" s="5"/>
      <c r="W127" s="5"/>
      <c r="X127" s="5"/>
      <c r="Y127" s="5"/>
      <c r="Z127" s="5"/>
      <c r="AQ127" s="5"/>
      <c r="AR127" s="5"/>
      <c r="AS127" s="5"/>
      <c r="AT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</row>
    <row r="128" spans="18:199" ht="12.75">
      <c r="R128" s="5"/>
      <c r="S128" s="5"/>
      <c r="T128" s="5"/>
      <c r="U128" s="5"/>
      <c r="W128" s="5"/>
      <c r="X128" s="5"/>
      <c r="Y128" s="5"/>
      <c r="Z128" s="5"/>
      <c r="AQ128" s="5"/>
      <c r="AR128" s="5"/>
      <c r="AS128" s="5"/>
      <c r="AT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</row>
    <row r="129" spans="18:199" ht="12.75">
      <c r="R129" s="5"/>
      <c r="S129" s="5"/>
      <c r="T129" s="5"/>
      <c r="U129" s="5"/>
      <c r="W129" s="5"/>
      <c r="X129" s="5"/>
      <c r="Y129" s="5"/>
      <c r="Z129" s="5"/>
      <c r="AQ129" s="5"/>
      <c r="AR129" s="5"/>
      <c r="AS129" s="5"/>
      <c r="AT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</row>
    <row r="130" spans="18:199" ht="12.75">
      <c r="R130" s="5"/>
      <c r="S130" s="5"/>
      <c r="T130" s="5"/>
      <c r="U130" s="5"/>
      <c r="W130" s="5"/>
      <c r="X130" s="5"/>
      <c r="Y130" s="5"/>
      <c r="Z130" s="5"/>
      <c r="AQ130" s="5"/>
      <c r="AR130" s="5"/>
      <c r="AS130" s="5"/>
      <c r="AT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</row>
    <row r="131" spans="18:199" ht="12.75">
      <c r="R131" s="5"/>
      <c r="S131" s="5"/>
      <c r="T131" s="5"/>
      <c r="U131" s="5"/>
      <c r="W131" s="5"/>
      <c r="X131" s="5"/>
      <c r="Y131" s="5"/>
      <c r="Z131" s="5"/>
      <c r="AQ131" s="5"/>
      <c r="AR131" s="5"/>
      <c r="AS131" s="5"/>
      <c r="AT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</row>
    <row r="132" spans="18:199" ht="12.75">
      <c r="R132" s="5"/>
      <c r="S132" s="5"/>
      <c r="T132" s="5"/>
      <c r="U132" s="5"/>
      <c r="W132" s="5"/>
      <c r="X132" s="5"/>
      <c r="Y132" s="5"/>
      <c r="Z132" s="5"/>
      <c r="AQ132" s="5"/>
      <c r="AR132" s="5"/>
      <c r="AS132" s="5"/>
      <c r="AT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</row>
    <row r="133" spans="18:199" ht="12.75">
      <c r="R133" s="5"/>
      <c r="S133" s="5"/>
      <c r="T133" s="5"/>
      <c r="U133" s="5"/>
      <c r="W133" s="5"/>
      <c r="X133" s="5"/>
      <c r="Y133" s="5"/>
      <c r="Z133" s="5"/>
      <c r="AQ133" s="5"/>
      <c r="AR133" s="5"/>
      <c r="AS133" s="5"/>
      <c r="AT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</row>
    <row r="134" spans="18:199" ht="12.75">
      <c r="R134" s="5"/>
      <c r="S134" s="5"/>
      <c r="T134" s="5"/>
      <c r="U134" s="5"/>
      <c r="W134" s="5"/>
      <c r="X134" s="5"/>
      <c r="Y134" s="5"/>
      <c r="Z134" s="5"/>
      <c r="AQ134" s="5"/>
      <c r="AR134" s="5"/>
      <c r="AS134" s="5"/>
      <c r="AT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</row>
    <row r="135" spans="18:199" ht="12.75">
      <c r="R135" s="5"/>
      <c r="S135" s="5"/>
      <c r="T135" s="5"/>
      <c r="U135" s="5"/>
      <c r="W135" s="5"/>
      <c r="X135" s="5"/>
      <c r="Y135" s="5"/>
      <c r="Z135" s="5"/>
      <c r="AQ135" s="5"/>
      <c r="AR135" s="5"/>
      <c r="AS135" s="5"/>
      <c r="AT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</row>
    <row r="136" spans="18:199" ht="12.75">
      <c r="R136" s="5"/>
      <c r="S136" s="5"/>
      <c r="T136" s="5"/>
      <c r="U136" s="5"/>
      <c r="W136" s="5"/>
      <c r="X136" s="5"/>
      <c r="Y136" s="5"/>
      <c r="Z136" s="5"/>
      <c r="AQ136" s="5"/>
      <c r="AR136" s="5"/>
      <c r="AS136" s="5"/>
      <c r="AT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</row>
    <row r="137" spans="18:199" ht="12.75">
      <c r="R137" s="5"/>
      <c r="S137" s="5"/>
      <c r="T137" s="5"/>
      <c r="U137" s="5"/>
      <c r="W137" s="5"/>
      <c r="X137" s="5"/>
      <c r="Y137" s="5"/>
      <c r="Z137" s="5"/>
      <c r="AQ137" s="5"/>
      <c r="AR137" s="5"/>
      <c r="AS137" s="5"/>
      <c r="AT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</row>
    <row r="138" spans="18:199" ht="12.75">
      <c r="R138" s="5"/>
      <c r="S138" s="5"/>
      <c r="T138" s="5"/>
      <c r="U138" s="5"/>
      <c r="W138" s="5"/>
      <c r="X138" s="5"/>
      <c r="Y138" s="5"/>
      <c r="Z138" s="5"/>
      <c r="AQ138" s="5"/>
      <c r="AR138" s="5"/>
      <c r="AS138" s="5"/>
      <c r="AT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</row>
    <row r="139" spans="18:199" ht="12.75">
      <c r="R139" s="5"/>
      <c r="S139" s="5"/>
      <c r="T139" s="5"/>
      <c r="U139" s="5"/>
      <c r="W139" s="5"/>
      <c r="X139" s="5"/>
      <c r="Y139" s="5"/>
      <c r="Z139" s="5"/>
      <c r="AQ139" s="5"/>
      <c r="AR139" s="5"/>
      <c r="AS139" s="5"/>
      <c r="AT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</row>
    <row r="140" spans="18:199" ht="12.75">
      <c r="R140" s="5"/>
      <c r="S140" s="5"/>
      <c r="T140" s="5"/>
      <c r="U140" s="5"/>
      <c r="W140" s="5"/>
      <c r="X140" s="5"/>
      <c r="Y140" s="5"/>
      <c r="Z140" s="5"/>
      <c r="AQ140" s="5"/>
      <c r="AR140" s="5"/>
      <c r="AS140" s="5"/>
      <c r="AT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</row>
    <row r="141" spans="18:199" ht="12.75">
      <c r="R141" s="5"/>
      <c r="S141" s="5"/>
      <c r="T141" s="5"/>
      <c r="U141" s="5"/>
      <c r="W141" s="5"/>
      <c r="X141" s="5"/>
      <c r="Y141" s="5"/>
      <c r="Z141" s="5"/>
      <c r="AQ141" s="5"/>
      <c r="AR141" s="5"/>
      <c r="AS141" s="5"/>
      <c r="AT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</row>
    <row r="142" spans="18:199" ht="12.75">
      <c r="R142" s="5"/>
      <c r="S142" s="5"/>
      <c r="T142" s="5"/>
      <c r="U142" s="5"/>
      <c r="W142" s="5"/>
      <c r="X142" s="5"/>
      <c r="Y142" s="5"/>
      <c r="Z142" s="5"/>
      <c r="AQ142" s="5"/>
      <c r="AR142" s="5"/>
      <c r="AS142" s="5"/>
      <c r="AT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</row>
    <row r="143" spans="18:199" ht="12.75">
      <c r="R143" s="5"/>
      <c r="S143" s="5"/>
      <c r="T143" s="5"/>
      <c r="U143" s="5"/>
      <c r="W143" s="5"/>
      <c r="X143" s="5"/>
      <c r="Y143" s="5"/>
      <c r="Z143" s="5"/>
      <c r="AQ143" s="5"/>
      <c r="AR143" s="5"/>
      <c r="AS143" s="5"/>
      <c r="AT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</row>
    <row r="144" spans="18:199" ht="12.75">
      <c r="R144" s="5"/>
      <c r="S144" s="5"/>
      <c r="T144" s="5"/>
      <c r="U144" s="5"/>
      <c r="W144" s="5"/>
      <c r="X144" s="5"/>
      <c r="Y144" s="5"/>
      <c r="Z144" s="5"/>
      <c r="AQ144" s="5"/>
      <c r="AR144" s="5"/>
      <c r="AS144" s="5"/>
      <c r="AT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</row>
    <row r="145" spans="18:199" ht="12.75">
      <c r="R145" s="5"/>
      <c r="S145" s="5"/>
      <c r="T145" s="5"/>
      <c r="U145" s="5"/>
      <c r="W145" s="5"/>
      <c r="X145" s="5"/>
      <c r="Y145" s="5"/>
      <c r="Z145" s="5"/>
      <c r="AQ145" s="5"/>
      <c r="AR145" s="5"/>
      <c r="AS145" s="5"/>
      <c r="AT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</row>
    <row r="146" spans="18:199" ht="12.75">
      <c r="R146" s="5"/>
      <c r="S146" s="5"/>
      <c r="T146" s="5"/>
      <c r="U146" s="5"/>
      <c r="W146" s="5"/>
      <c r="X146" s="5"/>
      <c r="Y146" s="5"/>
      <c r="Z146" s="5"/>
      <c r="AQ146" s="5"/>
      <c r="AR146" s="5"/>
      <c r="AS146" s="5"/>
      <c r="AT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</row>
    <row r="147" spans="18:199" ht="12.75">
      <c r="R147" s="5"/>
      <c r="S147" s="5"/>
      <c r="T147" s="5"/>
      <c r="U147" s="5"/>
      <c r="W147" s="5"/>
      <c r="X147" s="5"/>
      <c r="Y147" s="5"/>
      <c r="Z147" s="5"/>
      <c r="AQ147" s="5"/>
      <c r="AR147" s="5"/>
      <c r="AS147" s="5"/>
      <c r="AT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</row>
    <row r="148" spans="18:199" ht="12.75">
      <c r="R148" s="5"/>
      <c r="S148" s="5"/>
      <c r="T148" s="5"/>
      <c r="U148" s="5"/>
      <c r="W148" s="5"/>
      <c r="X148" s="5"/>
      <c r="Y148" s="5"/>
      <c r="Z148" s="5"/>
      <c r="AQ148" s="5"/>
      <c r="AR148" s="5"/>
      <c r="AS148" s="5"/>
      <c r="AT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</row>
    <row r="149" spans="18:199" ht="12.75">
      <c r="R149" s="5"/>
      <c r="S149" s="5"/>
      <c r="T149" s="5"/>
      <c r="U149" s="5"/>
      <c r="W149" s="5"/>
      <c r="X149" s="5"/>
      <c r="Y149" s="5"/>
      <c r="Z149" s="5"/>
      <c r="AQ149" s="5"/>
      <c r="AR149" s="5"/>
      <c r="AS149" s="5"/>
      <c r="AT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</row>
    <row r="150" spans="18:199" ht="12.75">
      <c r="R150" s="5"/>
      <c r="S150" s="5"/>
      <c r="T150" s="5"/>
      <c r="U150" s="5"/>
      <c r="W150" s="5"/>
      <c r="X150" s="5"/>
      <c r="Y150" s="5"/>
      <c r="Z150" s="5"/>
      <c r="AQ150" s="5"/>
      <c r="AR150" s="5"/>
      <c r="AS150" s="5"/>
      <c r="AT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</row>
    <row r="151" spans="18:199" ht="12.75">
      <c r="R151" s="5"/>
      <c r="S151" s="5"/>
      <c r="T151" s="5"/>
      <c r="U151" s="5"/>
      <c r="W151" s="5"/>
      <c r="X151" s="5"/>
      <c r="Y151" s="5"/>
      <c r="Z151" s="5"/>
      <c r="AQ151" s="5"/>
      <c r="AR151" s="5"/>
      <c r="AS151" s="5"/>
      <c r="AT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</row>
    <row r="152" spans="18:199" ht="12.75">
      <c r="R152" s="5"/>
      <c r="S152" s="5"/>
      <c r="T152" s="5"/>
      <c r="U152" s="5"/>
      <c r="W152" s="5"/>
      <c r="X152" s="5"/>
      <c r="Y152" s="5"/>
      <c r="Z152" s="5"/>
      <c r="AQ152" s="5"/>
      <c r="AR152" s="5"/>
      <c r="AS152" s="5"/>
      <c r="AT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</row>
    <row r="153" spans="18:199" ht="12.75">
      <c r="R153" s="5"/>
      <c r="S153" s="5"/>
      <c r="T153" s="5"/>
      <c r="U153" s="5"/>
      <c r="W153" s="5"/>
      <c r="X153" s="5"/>
      <c r="Y153" s="5"/>
      <c r="Z153" s="5"/>
      <c r="AQ153" s="5"/>
      <c r="AR153" s="5"/>
      <c r="AS153" s="5"/>
      <c r="AT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</row>
    <row r="154" spans="18:199" ht="12.75">
      <c r="R154" s="5"/>
      <c r="S154" s="5"/>
      <c r="T154" s="5"/>
      <c r="U154" s="5"/>
      <c r="W154" s="5"/>
      <c r="X154" s="5"/>
      <c r="Y154" s="5"/>
      <c r="Z154" s="5"/>
      <c r="AQ154" s="5"/>
      <c r="AR154" s="5"/>
      <c r="AS154" s="5"/>
      <c r="AT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</row>
    <row r="155" spans="18:199" ht="12.75">
      <c r="R155" s="5"/>
      <c r="S155" s="5"/>
      <c r="T155" s="5"/>
      <c r="U155" s="5"/>
      <c r="W155" s="5"/>
      <c r="X155" s="5"/>
      <c r="Y155" s="5"/>
      <c r="Z155" s="5"/>
      <c r="AQ155" s="5"/>
      <c r="AR155" s="5"/>
      <c r="AS155" s="5"/>
      <c r="AT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</row>
    <row r="156" spans="18:199" ht="12.75">
      <c r="R156" s="5"/>
      <c r="S156" s="5"/>
      <c r="T156" s="5"/>
      <c r="U156" s="5"/>
      <c r="W156" s="5"/>
      <c r="X156" s="5"/>
      <c r="Y156" s="5"/>
      <c r="Z156" s="5"/>
      <c r="AQ156" s="5"/>
      <c r="AR156" s="5"/>
      <c r="AS156" s="5"/>
      <c r="AT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</row>
    <row r="157" spans="18:199" ht="12.75">
      <c r="R157" s="5"/>
      <c r="S157" s="5"/>
      <c r="T157" s="5"/>
      <c r="U157" s="5"/>
      <c r="W157" s="5"/>
      <c r="X157" s="5"/>
      <c r="Y157" s="5"/>
      <c r="Z157" s="5"/>
      <c r="AQ157" s="5"/>
      <c r="AR157" s="5"/>
      <c r="AS157" s="5"/>
      <c r="AT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</row>
    <row r="158" spans="18:199" ht="12.75">
      <c r="R158" s="5"/>
      <c r="S158" s="5"/>
      <c r="T158" s="5"/>
      <c r="U158" s="5"/>
      <c r="W158" s="5"/>
      <c r="X158" s="5"/>
      <c r="Y158" s="5"/>
      <c r="Z158" s="5"/>
      <c r="AQ158" s="5"/>
      <c r="AR158" s="5"/>
      <c r="AS158" s="5"/>
      <c r="AT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</row>
    <row r="159" spans="18:199" ht="12.75">
      <c r="R159" s="5"/>
      <c r="S159" s="5"/>
      <c r="T159" s="5"/>
      <c r="U159" s="5"/>
      <c r="W159" s="5"/>
      <c r="X159" s="5"/>
      <c r="Y159" s="5"/>
      <c r="Z159" s="5"/>
      <c r="AQ159" s="5"/>
      <c r="AR159" s="5"/>
      <c r="AS159" s="5"/>
      <c r="AT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</row>
    <row r="160" spans="18:199" ht="12.75">
      <c r="R160" s="5"/>
      <c r="S160" s="5"/>
      <c r="T160" s="5"/>
      <c r="U160" s="5"/>
      <c r="W160" s="5"/>
      <c r="X160" s="5"/>
      <c r="Y160" s="5"/>
      <c r="Z160" s="5"/>
      <c r="AQ160" s="5"/>
      <c r="AR160" s="5"/>
      <c r="AS160" s="5"/>
      <c r="AT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</row>
    <row r="161" spans="18:199" ht="12.75">
      <c r="R161" s="5"/>
      <c r="S161" s="5"/>
      <c r="T161" s="5"/>
      <c r="U161" s="5"/>
      <c r="W161" s="5"/>
      <c r="X161" s="5"/>
      <c r="Y161" s="5"/>
      <c r="Z161" s="5"/>
      <c r="AQ161" s="5"/>
      <c r="AR161" s="5"/>
      <c r="AS161" s="5"/>
      <c r="AT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</row>
    <row r="162" spans="18:199" ht="12.75">
      <c r="R162" s="5"/>
      <c r="S162" s="5"/>
      <c r="T162" s="5"/>
      <c r="U162" s="5"/>
      <c r="W162" s="5"/>
      <c r="X162" s="5"/>
      <c r="Y162" s="5"/>
      <c r="Z162" s="5"/>
      <c r="AQ162" s="5"/>
      <c r="AR162" s="5"/>
      <c r="AS162" s="5"/>
      <c r="AT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</row>
    <row r="163" spans="18:199" ht="12.75">
      <c r="R163" s="5"/>
      <c r="S163" s="5"/>
      <c r="T163" s="5"/>
      <c r="U163" s="5"/>
      <c r="W163" s="5"/>
      <c r="X163" s="5"/>
      <c r="Y163" s="5"/>
      <c r="Z163" s="5"/>
      <c r="AQ163" s="5"/>
      <c r="AR163" s="5"/>
      <c r="AS163" s="5"/>
      <c r="AT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</row>
    <row r="164" spans="18:199" ht="12.75">
      <c r="R164" s="5"/>
      <c r="S164" s="5"/>
      <c r="T164" s="5"/>
      <c r="U164" s="5"/>
      <c r="W164" s="5"/>
      <c r="X164" s="5"/>
      <c r="Y164" s="5"/>
      <c r="Z164" s="5"/>
      <c r="AQ164" s="5"/>
      <c r="AR164" s="5"/>
      <c r="AS164" s="5"/>
      <c r="AT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</row>
    <row r="165" spans="18:199" ht="12.75">
      <c r="R165" s="5"/>
      <c r="S165" s="5"/>
      <c r="T165" s="5"/>
      <c r="U165" s="5"/>
      <c r="W165" s="5"/>
      <c r="X165" s="5"/>
      <c r="Y165" s="5"/>
      <c r="Z165" s="5"/>
      <c r="AQ165" s="5"/>
      <c r="AR165" s="5"/>
      <c r="AS165" s="5"/>
      <c r="AT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</row>
    <row r="166" spans="18:199" ht="12.75">
      <c r="R166" s="5"/>
      <c r="S166" s="5"/>
      <c r="T166" s="5"/>
      <c r="U166" s="5"/>
      <c r="W166" s="5"/>
      <c r="X166" s="5"/>
      <c r="Y166" s="5"/>
      <c r="Z166" s="5"/>
      <c r="AQ166" s="5"/>
      <c r="AR166" s="5"/>
      <c r="AS166" s="5"/>
      <c r="AT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</row>
    <row r="167" spans="18:199" ht="12.75">
      <c r="R167" s="5"/>
      <c r="S167" s="5"/>
      <c r="T167" s="5"/>
      <c r="U167" s="5"/>
      <c r="W167" s="5"/>
      <c r="X167" s="5"/>
      <c r="Y167" s="5"/>
      <c r="Z167" s="5"/>
      <c r="AQ167" s="5"/>
      <c r="AR167" s="5"/>
      <c r="AS167" s="5"/>
      <c r="AT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</row>
    <row r="168" spans="18:199" ht="12.75">
      <c r="R168" s="5"/>
      <c r="S168" s="5"/>
      <c r="T168" s="5"/>
      <c r="U168" s="5"/>
      <c r="W168" s="5"/>
      <c r="X168" s="5"/>
      <c r="Y168" s="5"/>
      <c r="Z168" s="5"/>
      <c r="AQ168" s="5"/>
      <c r="AR168" s="5"/>
      <c r="AS168" s="5"/>
      <c r="AT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</row>
    <row r="169" spans="18:199" ht="12.75">
      <c r="R169" s="5"/>
      <c r="S169" s="5"/>
      <c r="T169" s="5"/>
      <c r="U169" s="5"/>
      <c r="W169" s="5"/>
      <c r="X169" s="5"/>
      <c r="Y169" s="5"/>
      <c r="Z169" s="5"/>
      <c r="AQ169" s="5"/>
      <c r="AR169" s="5"/>
      <c r="AS169" s="5"/>
      <c r="AT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</row>
    <row r="170" spans="18:199" ht="12.75">
      <c r="R170" s="5"/>
      <c r="S170" s="5"/>
      <c r="T170" s="5"/>
      <c r="U170" s="5"/>
      <c r="W170" s="5"/>
      <c r="X170" s="5"/>
      <c r="Y170" s="5"/>
      <c r="Z170" s="5"/>
      <c r="AQ170" s="5"/>
      <c r="AR170" s="5"/>
      <c r="AS170" s="5"/>
      <c r="AT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</row>
    <row r="171" spans="18:199" ht="12.75">
      <c r="R171" s="5"/>
      <c r="S171" s="5"/>
      <c r="T171" s="5"/>
      <c r="U171" s="5"/>
      <c r="W171" s="5"/>
      <c r="X171" s="5"/>
      <c r="Y171" s="5"/>
      <c r="Z171" s="5"/>
      <c r="AQ171" s="5"/>
      <c r="AR171" s="5"/>
      <c r="AS171" s="5"/>
      <c r="AT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</row>
    <row r="172" spans="18:199" ht="12.75">
      <c r="R172" s="5"/>
      <c r="S172" s="5"/>
      <c r="T172" s="5"/>
      <c r="U172" s="5"/>
      <c r="W172" s="5"/>
      <c r="X172" s="5"/>
      <c r="Y172" s="5"/>
      <c r="Z172" s="5"/>
      <c r="AQ172" s="5"/>
      <c r="AR172" s="5"/>
      <c r="AS172" s="5"/>
      <c r="AT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</row>
    <row r="173" spans="18:199" ht="12.75">
      <c r="R173" s="5"/>
      <c r="S173" s="5"/>
      <c r="T173" s="5"/>
      <c r="U173" s="5"/>
      <c r="W173" s="5"/>
      <c r="X173" s="5"/>
      <c r="Y173" s="5"/>
      <c r="Z173" s="5"/>
      <c r="AQ173" s="5"/>
      <c r="AR173" s="5"/>
      <c r="AS173" s="5"/>
      <c r="AT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</row>
    <row r="174" spans="18:199" ht="12.75">
      <c r="R174" s="5"/>
      <c r="S174" s="5"/>
      <c r="T174" s="5"/>
      <c r="U174" s="5"/>
      <c r="W174" s="5"/>
      <c r="X174" s="5"/>
      <c r="Y174" s="5"/>
      <c r="Z174" s="5"/>
      <c r="AQ174" s="5"/>
      <c r="AR174" s="5"/>
      <c r="AS174" s="5"/>
      <c r="AT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</row>
    <row r="175" spans="18:199" ht="12.75">
      <c r="R175" s="5"/>
      <c r="S175" s="5"/>
      <c r="T175" s="5"/>
      <c r="U175" s="5"/>
      <c r="W175" s="5"/>
      <c r="X175" s="5"/>
      <c r="Y175" s="5"/>
      <c r="Z175" s="5"/>
      <c r="AQ175" s="5"/>
      <c r="AR175" s="5"/>
      <c r="AS175" s="5"/>
      <c r="AT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</row>
    <row r="176" spans="18:199" ht="12.75">
      <c r="R176" s="5"/>
      <c r="S176" s="5"/>
      <c r="T176" s="5"/>
      <c r="U176" s="5"/>
      <c r="W176" s="5"/>
      <c r="X176" s="5"/>
      <c r="Y176" s="5"/>
      <c r="Z176" s="5"/>
      <c r="AQ176" s="5"/>
      <c r="AR176" s="5"/>
      <c r="AS176" s="5"/>
      <c r="AT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</row>
    <row r="177" spans="18:199" ht="12.75">
      <c r="R177" s="5"/>
      <c r="S177" s="5"/>
      <c r="T177" s="5"/>
      <c r="U177" s="5"/>
      <c r="W177" s="5"/>
      <c r="X177" s="5"/>
      <c r="Y177" s="5"/>
      <c r="Z177" s="5"/>
      <c r="AQ177" s="5"/>
      <c r="AR177" s="5"/>
      <c r="AS177" s="5"/>
      <c r="AT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</row>
    <row r="178" spans="18:199" ht="12.75">
      <c r="R178" s="5"/>
      <c r="S178" s="5"/>
      <c r="T178" s="5"/>
      <c r="U178" s="5"/>
      <c r="W178" s="5"/>
      <c r="X178" s="5"/>
      <c r="Y178" s="5"/>
      <c r="Z178" s="5"/>
      <c r="AQ178" s="5"/>
      <c r="AR178" s="5"/>
      <c r="AS178" s="5"/>
      <c r="AT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</row>
    <row r="179" spans="18:199" ht="12.75">
      <c r="R179" s="5"/>
      <c r="S179" s="5"/>
      <c r="T179" s="5"/>
      <c r="U179" s="5"/>
      <c r="W179" s="5"/>
      <c r="X179" s="5"/>
      <c r="Y179" s="5"/>
      <c r="Z179" s="5"/>
      <c r="AQ179" s="5"/>
      <c r="AR179" s="5"/>
      <c r="AS179" s="5"/>
      <c r="AT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</row>
    <row r="180" spans="18:199" ht="12.75">
      <c r="R180" s="5"/>
      <c r="S180" s="5"/>
      <c r="T180" s="5"/>
      <c r="U180" s="5"/>
      <c r="W180" s="5"/>
      <c r="X180" s="5"/>
      <c r="Y180" s="5"/>
      <c r="Z180" s="5"/>
      <c r="AQ180" s="5"/>
      <c r="AR180" s="5"/>
      <c r="AS180" s="5"/>
      <c r="AT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</row>
    <row r="181" spans="18:199" ht="12.75">
      <c r="R181" s="5"/>
      <c r="S181" s="5"/>
      <c r="T181" s="5"/>
      <c r="U181" s="5"/>
      <c r="W181" s="5"/>
      <c r="X181" s="5"/>
      <c r="Y181" s="5"/>
      <c r="Z181" s="5"/>
      <c r="AQ181" s="5"/>
      <c r="AR181" s="5"/>
      <c r="AS181" s="5"/>
      <c r="AT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</row>
    <row r="182" spans="18:199" ht="12.75">
      <c r="R182" s="5"/>
      <c r="S182" s="5"/>
      <c r="T182" s="5"/>
      <c r="U182" s="5"/>
      <c r="W182" s="5"/>
      <c r="X182" s="5"/>
      <c r="Y182" s="5"/>
      <c r="Z182" s="5"/>
      <c r="AQ182" s="5"/>
      <c r="AR182" s="5"/>
      <c r="AS182" s="5"/>
      <c r="AT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</row>
    <row r="183" spans="18:199" ht="12.75">
      <c r="R183" s="5"/>
      <c r="S183" s="5"/>
      <c r="T183" s="5"/>
      <c r="U183" s="5"/>
      <c r="W183" s="5"/>
      <c r="X183" s="5"/>
      <c r="Y183" s="5"/>
      <c r="Z183" s="5"/>
      <c r="AQ183" s="5"/>
      <c r="AR183" s="5"/>
      <c r="AS183" s="5"/>
      <c r="AT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</row>
    <row r="184" spans="18:199" ht="12.75">
      <c r="R184" s="5"/>
      <c r="S184" s="5"/>
      <c r="T184" s="5"/>
      <c r="U184" s="5"/>
      <c r="W184" s="5"/>
      <c r="X184" s="5"/>
      <c r="Y184" s="5"/>
      <c r="Z184" s="5"/>
      <c r="AQ184" s="5"/>
      <c r="AR184" s="5"/>
      <c r="AS184" s="5"/>
      <c r="AT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</row>
    <row r="185" spans="18:199" ht="12.75">
      <c r="R185" s="5"/>
      <c r="S185" s="5"/>
      <c r="T185" s="5"/>
      <c r="U185" s="5"/>
      <c r="W185" s="5"/>
      <c r="X185" s="5"/>
      <c r="Y185" s="5"/>
      <c r="Z185" s="5"/>
      <c r="AQ185" s="5"/>
      <c r="AR185" s="5"/>
      <c r="AS185" s="5"/>
      <c r="AT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</row>
    <row r="186" spans="18:199" ht="12.75">
      <c r="R186" s="5"/>
      <c r="S186" s="5"/>
      <c r="T186" s="5"/>
      <c r="U186" s="5"/>
      <c r="W186" s="5"/>
      <c r="X186" s="5"/>
      <c r="Y186" s="5"/>
      <c r="Z186" s="5"/>
      <c r="AQ186" s="5"/>
      <c r="AR186" s="5"/>
      <c r="AS186" s="5"/>
      <c r="AT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</row>
    <row r="187" spans="18:199" ht="12.75">
      <c r="R187" s="5"/>
      <c r="S187" s="5"/>
      <c r="T187" s="5"/>
      <c r="U187" s="5"/>
      <c r="W187" s="5"/>
      <c r="X187" s="5"/>
      <c r="Y187" s="5"/>
      <c r="Z187" s="5"/>
      <c r="AQ187" s="5"/>
      <c r="AR187" s="5"/>
      <c r="AS187" s="5"/>
      <c r="AT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</row>
    <row r="188" spans="18:199" ht="12.75">
      <c r="R188" s="5"/>
      <c r="S188" s="5"/>
      <c r="T188" s="5"/>
      <c r="U188" s="5"/>
      <c r="W188" s="5"/>
      <c r="X188" s="5"/>
      <c r="Y188" s="5"/>
      <c r="Z188" s="5"/>
      <c r="AQ188" s="5"/>
      <c r="AR188" s="5"/>
      <c r="AS188" s="5"/>
      <c r="AT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</row>
    <row r="189" spans="18:199" ht="12.75">
      <c r="R189" s="5"/>
      <c r="S189" s="5"/>
      <c r="T189" s="5"/>
      <c r="U189" s="5"/>
      <c r="W189" s="5"/>
      <c r="X189" s="5"/>
      <c r="Y189" s="5"/>
      <c r="Z189" s="5"/>
      <c r="AQ189" s="5"/>
      <c r="AR189" s="5"/>
      <c r="AS189" s="5"/>
      <c r="AT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</row>
    <row r="190" spans="18:199" ht="12.75">
      <c r="R190" s="5"/>
      <c r="S190" s="5"/>
      <c r="T190" s="5"/>
      <c r="U190" s="5"/>
      <c r="W190" s="5"/>
      <c r="X190" s="5"/>
      <c r="Y190" s="5"/>
      <c r="Z190" s="5"/>
      <c r="AQ190" s="5"/>
      <c r="AR190" s="5"/>
      <c r="AS190" s="5"/>
      <c r="AT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</row>
    <row r="191" spans="18:199" ht="12.75">
      <c r="R191" s="5"/>
      <c r="S191" s="5"/>
      <c r="T191" s="5"/>
      <c r="U191" s="5"/>
      <c r="W191" s="5"/>
      <c r="X191" s="5"/>
      <c r="Y191" s="5"/>
      <c r="Z191" s="5"/>
      <c r="AQ191" s="5"/>
      <c r="AR191" s="5"/>
      <c r="AS191" s="5"/>
      <c r="AT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</row>
    <row r="192" spans="18:199" ht="12.75">
      <c r="R192" s="5"/>
      <c r="S192" s="5"/>
      <c r="T192" s="5"/>
      <c r="U192" s="5"/>
      <c r="W192" s="5"/>
      <c r="X192" s="5"/>
      <c r="Y192" s="5"/>
      <c r="Z192" s="5"/>
      <c r="AQ192" s="5"/>
      <c r="AR192" s="5"/>
      <c r="AS192" s="5"/>
      <c r="AT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</row>
    <row r="193" spans="18:199" ht="12.75">
      <c r="R193" s="5"/>
      <c r="S193" s="5"/>
      <c r="T193" s="5"/>
      <c r="U193" s="5"/>
      <c r="W193" s="5"/>
      <c r="X193" s="5"/>
      <c r="Y193" s="5"/>
      <c r="Z193" s="5"/>
      <c r="AQ193" s="5"/>
      <c r="AR193" s="5"/>
      <c r="AS193" s="5"/>
      <c r="AT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</row>
    <row r="194" spans="18:199" ht="12.75">
      <c r="R194" s="5"/>
      <c r="S194" s="5"/>
      <c r="T194" s="5"/>
      <c r="U194" s="5"/>
      <c r="W194" s="5"/>
      <c r="X194" s="5"/>
      <c r="Y194" s="5"/>
      <c r="Z194" s="5"/>
      <c r="AQ194" s="5"/>
      <c r="AR194" s="5"/>
      <c r="AS194" s="5"/>
      <c r="AT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</row>
    <row r="195" spans="18:199" ht="12.75">
      <c r="R195" s="5"/>
      <c r="S195" s="5"/>
      <c r="T195" s="5"/>
      <c r="U195" s="5"/>
      <c r="W195" s="5"/>
      <c r="X195" s="5"/>
      <c r="Y195" s="5"/>
      <c r="Z195" s="5"/>
      <c r="AQ195" s="5"/>
      <c r="AR195" s="5"/>
      <c r="AS195" s="5"/>
      <c r="AT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</row>
    <row r="196" spans="18:199" ht="12.75">
      <c r="R196" s="5"/>
      <c r="S196" s="5"/>
      <c r="T196" s="5"/>
      <c r="U196" s="5"/>
      <c r="W196" s="5"/>
      <c r="X196" s="5"/>
      <c r="Y196" s="5"/>
      <c r="Z196" s="5"/>
      <c r="AQ196" s="5"/>
      <c r="AR196" s="5"/>
      <c r="AS196" s="5"/>
      <c r="AT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</row>
    <row r="197" spans="18:199" ht="12.75">
      <c r="R197" s="5"/>
      <c r="S197" s="5"/>
      <c r="T197" s="5"/>
      <c r="U197" s="5"/>
      <c r="W197" s="5"/>
      <c r="X197" s="5"/>
      <c r="Y197" s="5"/>
      <c r="Z197" s="5"/>
      <c r="AQ197" s="5"/>
      <c r="AR197" s="5"/>
      <c r="AS197" s="5"/>
      <c r="AT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</row>
    <row r="198" spans="18:199" ht="12.75">
      <c r="R198" s="5"/>
      <c r="S198" s="5"/>
      <c r="T198" s="5"/>
      <c r="U198" s="5"/>
      <c r="W198" s="5"/>
      <c r="X198" s="5"/>
      <c r="Y198" s="5"/>
      <c r="Z198" s="5"/>
      <c r="AQ198" s="5"/>
      <c r="AR198" s="5"/>
      <c r="AS198" s="5"/>
      <c r="AT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</row>
    <row r="199" spans="18:199" ht="12.75">
      <c r="R199" s="5"/>
      <c r="S199" s="5"/>
      <c r="T199" s="5"/>
      <c r="U199" s="5"/>
      <c r="W199" s="5"/>
      <c r="X199" s="5"/>
      <c r="Y199" s="5"/>
      <c r="Z199" s="5"/>
      <c r="AQ199" s="5"/>
      <c r="AR199" s="5"/>
      <c r="AS199" s="5"/>
      <c r="AT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</row>
    <row r="200" spans="18:199" ht="12.75">
      <c r="R200" s="5"/>
      <c r="S200" s="5"/>
      <c r="T200" s="5"/>
      <c r="U200" s="5"/>
      <c r="W200" s="5"/>
      <c r="X200" s="5"/>
      <c r="Y200" s="5"/>
      <c r="Z200" s="5"/>
      <c r="AQ200" s="5"/>
      <c r="AR200" s="5"/>
      <c r="AS200" s="5"/>
      <c r="AT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</row>
    <row r="201" spans="18:199" ht="12.75">
      <c r="R201" s="5"/>
      <c r="S201" s="5"/>
      <c r="T201" s="5"/>
      <c r="U201" s="5"/>
      <c r="W201" s="5"/>
      <c r="X201" s="5"/>
      <c r="Y201" s="5"/>
      <c r="Z201" s="5"/>
      <c r="AQ201" s="5"/>
      <c r="AR201" s="5"/>
      <c r="AS201" s="5"/>
      <c r="AT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</row>
    <row r="202" spans="18:199" ht="12.75">
      <c r="R202" s="5"/>
      <c r="S202" s="5"/>
      <c r="T202" s="5"/>
      <c r="U202" s="5"/>
      <c r="W202" s="5"/>
      <c r="X202" s="5"/>
      <c r="Y202" s="5"/>
      <c r="Z202" s="5"/>
      <c r="AQ202" s="5"/>
      <c r="AR202" s="5"/>
      <c r="AS202" s="5"/>
      <c r="AT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</row>
    <row r="203" spans="18:199" ht="12.75">
      <c r="R203" s="5"/>
      <c r="S203" s="5"/>
      <c r="T203" s="5"/>
      <c r="U203" s="5"/>
      <c r="W203" s="5"/>
      <c r="X203" s="5"/>
      <c r="Y203" s="5"/>
      <c r="Z203" s="5"/>
      <c r="AQ203" s="5"/>
      <c r="AR203" s="5"/>
      <c r="AS203" s="5"/>
      <c r="AT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</row>
    <row r="204" spans="18:199" ht="12.75">
      <c r="R204" s="5"/>
      <c r="S204" s="5"/>
      <c r="T204" s="5"/>
      <c r="U204" s="5"/>
      <c r="W204" s="5"/>
      <c r="X204" s="5"/>
      <c r="Y204" s="5"/>
      <c r="Z204" s="5"/>
      <c r="AQ204" s="5"/>
      <c r="AR204" s="5"/>
      <c r="AS204" s="5"/>
      <c r="AT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</row>
    <row r="205" spans="18:199" ht="12.75">
      <c r="R205" s="5"/>
      <c r="S205" s="5"/>
      <c r="T205" s="5"/>
      <c r="U205" s="5"/>
      <c r="W205" s="5"/>
      <c r="X205" s="5"/>
      <c r="Y205" s="5"/>
      <c r="Z205" s="5"/>
      <c r="AQ205" s="5"/>
      <c r="AR205" s="5"/>
      <c r="AS205" s="5"/>
      <c r="AT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</row>
    <row r="206" spans="18:199" ht="12.75">
      <c r="R206" s="5"/>
      <c r="S206" s="5"/>
      <c r="T206" s="5"/>
      <c r="U206" s="5"/>
      <c r="W206" s="5"/>
      <c r="X206" s="5"/>
      <c r="Y206" s="5"/>
      <c r="Z206" s="5"/>
      <c r="AQ206" s="5"/>
      <c r="AR206" s="5"/>
      <c r="AS206" s="5"/>
      <c r="AT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</row>
    <row r="207" spans="18:199" ht="12.75">
      <c r="R207" s="5"/>
      <c r="S207" s="5"/>
      <c r="T207" s="5"/>
      <c r="U207" s="5"/>
      <c r="W207" s="5"/>
      <c r="X207" s="5"/>
      <c r="Y207" s="5"/>
      <c r="Z207" s="5"/>
      <c r="AQ207" s="5"/>
      <c r="AR207" s="5"/>
      <c r="AS207" s="5"/>
      <c r="AT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</row>
    <row r="208" spans="18:199" ht="12.75">
      <c r="R208" s="5"/>
      <c r="S208" s="5"/>
      <c r="T208" s="5"/>
      <c r="U208" s="5"/>
      <c r="W208" s="5"/>
      <c r="X208" s="5"/>
      <c r="Y208" s="5"/>
      <c r="Z208" s="5"/>
      <c r="AQ208" s="5"/>
      <c r="AR208" s="5"/>
      <c r="AS208" s="5"/>
      <c r="AT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</row>
    <row r="209" spans="18:199" ht="12.75">
      <c r="R209" s="5"/>
      <c r="S209" s="5"/>
      <c r="T209" s="5"/>
      <c r="U209" s="5"/>
      <c r="W209" s="5"/>
      <c r="X209" s="5"/>
      <c r="Y209" s="5"/>
      <c r="Z209" s="5"/>
      <c r="AQ209" s="5"/>
      <c r="AR209" s="5"/>
      <c r="AS209" s="5"/>
      <c r="AT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</row>
    <row r="210" spans="18:199" ht="12.75">
      <c r="R210" s="5"/>
      <c r="S210" s="5"/>
      <c r="T210" s="5"/>
      <c r="U210" s="5"/>
      <c r="W210" s="5"/>
      <c r="X210" s="5"/>
      <c r="Y210" s="5"/>
      <c r="Z210" s="5"/>
      <c r="AQ210" s="5"/>
      <c r="AR210" s="5"/>
      <c r="AS210" s="5"/>
      <c r="AT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</row>
    <row r="211" spans="18:199" ht="12.75">
      <c r="R211" s="5"/>
      <c r="S211" s="5"/>
      <c r="T211" s="5"/>
      <c r="U211" s="5"/>
      <c r="W211" s="5"/>
      <c r="X211" s="5"/>
      <c r="Y211" s="5"/>
      <c r="Z211" s="5"/>
      <c r="AQ211" s="5"/>
      <c r="AR211" s="5"/>
      <c r="AS211" s="5"/>
      <c r="AT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</row>
    <row r="212" spans="18:199" ht="12.75">
      <c r="R212" s="5"/>
      <c r="S212" s="5"/>
      <c r="T212" s="5"/>
      <c r="U212" s="5"/>
      <c r="W212" s="5"/>
      <c r="X212" s="5"/>
      <c r="Y212" s="5"/>
      <c r="Z212" s="5"/>
      <c r="AQ212" s="5"/>
      <c r="AR212" s="5"/>
      <c r="AS212" s="5"/>
      <c r="AT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</row>
    <row r="213" spans="18:199" ht="12.75">
      <c r="R213" s="5"/>
      <c r="S213" s="5"/>
      <c r="T213" s="5"/>
      <c r="U213" s="5"/>
      <c r="W213" s="5"/>
      <c r="X213" s="5"/>
      <c r="Y213" s="5"/>
      <c r="Z213" s="5"/>
      <c r="AQ213" s="5"/>
      <c r="AR213" s="5"/>
      <c r="AS213" s="5"/>
      <c r="AT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</row>
    <row r="214" spans="18:199" ht="12.75">
      <c r="R214" s="5"/>
      <c r="S214" s="5"/>
      <c r="T214" s="5"/>
      <c r="U214" s="5"/>
      <c r="W214" s="5"/>
      <c r="X214" s="5"/>
      <c r="Y214" s="5"/>
      <c r="Z214" s="5"/>
      <c r="AQ214" s="5"/>
      <c r="AR214" s="5"/>
      <c r="AS214" s="5"/>
      <c r="AT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</row>
    <row r="215" spans="18:199" ht="12.75">
      <c r="R215" s="5"/>
      <c r="S215" s="5"/>
      <c r="T215" s="5"/>
      <c r="U215" s="5"/>
      <c r="W215" s="5"/>
      <c r="X215" s="5"/>
      <c r="Y215" s="5"/>
      <c r="Z215" s="5"/>
      <c r="AQ215" s="5"/>
      <c r="AR215" s="5"/>
      <c r="AS215" s="5"/>
      <c r="AT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</row>
    <row r="216" spans="18:199" ht="12.75">
      <c r="R216" s="5"/>
      <c r="S216" s="5"/>
      <c r="T216" s="5"/>
      <c r="U216" s="5"/>
      <c r="W216" s="5"/>
      <c r="X216" s="5"/>
      <c r="Y216" s="5"/>
      <c r="Z216" s="5"/>
      <c r="AQ216" s="5"/>
      <c r="AR216" s="5"/>
      <c r="AS216" s="5"/>
      <c r="AT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</row>
    <row r="217" spans="18:199" ht="12.75">
      <c r="R217" s="5"/>
      <c r="S217" s="5"/>
      <c r="T217" s="5"/>
      <c r="U217" s="5"/>
      <c r="W217" s="5"/>
      <c r="X217" s="5"/>
      <c r="Y217" s="5"/>
      <c r="Z217" s="5"/>
      <c r="AQ217" s="5"/>
      <c r="AR217" s="5"/>
      <c r="AS217" s="5"/>
      <c r="AT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</row>
    <row r="218" spans="18:199" ht="12.75">
      <c r="R218" s="5"/>
      <c r="S218" s="5"/>
      <c r="T218" s="5"/>
      <c r="U218" s="5"/>
      <c r="W218" s="5"/>
      <c r="X218" s="5"/>
      <c r="Y218" s="5"/>
      <c r="Z218" s="5"/>
      <c r="AQ218" s="5"/>
      <c r="AR218" s="5"/>
      <c r="AS218" s="5"/>
      <c r="AT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</row>
    <row r="219" spans="18:199" ht="12.75">
      <c r="R219" s="5"/>
      <c r="S219" s="5"/>
      <c r="T219" s="5"/>
      <c r="U219" s="5"/>
      <c r="W219" s="5"/>
      <c r="X219" s="5"/>
      <c r="Y219" s="5"/>
      <c r="Z219" s="5"/>
      <c r="AQ219" s="5"/>
      <c r="AR219" s="5"/>
      <c r="AS219" s="5"/>
      <c r="AT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</row>
    <row r="220" spans="18:199" ht="12.75">
      <c r="R220" s="5"/>
      <c r="S220" s="5"/>
      <c r="T220" s="5"/>
      <c r="U220" s="5"/>
      <c r="W220" s="5"/>
      <c r="X220" s="5"/>
      <c r="Y220" s="5"/>
      <c r="Z220" s="5"/>
      <c r="AQ220" s="5"/>
      <c r="AR220" s="5"/>
      <c r="AS220" s="5"/>
      <c r="AT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</row>
    <row r="221" spans="18:199" ht="12.75">
      <c r="R221" s="5"/>
      <c r="S221" s="5"/>
      <c r="T221" s="5"/>
      <c r="U221" s="5"/>
      <c r="W221" s="5"/>
      <c r="X221" s="5"/>
      <c r="Y221" s="5"/>
      <c r="Z221" s="5"/>
      <c r="AQ221" s="5"/>
      <c r="AR221" s="5"/>
      <c r="AS221" s="5"/>
      <c r="AT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</row>
    <row r="222" spans="18:199" ht="12.75">
      <c r="R222" s="5"/>
      <c r="S222" s="5"/>
      <c r="T222" s="5"/>
      <c r="U222" s="5"/>
      <c r="W222" s="5"/>
      <c r="X222" s="5"/>
      <c r="Y222" s="5"/>
      <c r="Z222" s="5"/>
      <c r="AQ222" s="5"/>
      <c r="AR222" s="5"/>
      <c r="AS222" s="5"/>
      <c r="AT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</row>
    <row r="223" spans="18:199" ht="12.75">
      <c r="R223" s="5"/>
      <c r="S223" s="5"/>
      <c r="T223" s="5"/>
      <c r="U223" s="5"/>
      <c r="W223" s="5"/>
      <c r="X223" s="5"/>
      <c r="Y223" s="5"/>
      <c r="Z223" s="5"/>
      <c r="AQ223" s="5"/>
      <c r="AR223" s="5"/>
      <c r="AS223" s="5"/>
      <c r="AT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</row>
    <row r="224" spans="18:199" ht="12.75">
      <c r="R224" s="5"/>
      <c r="S224" s="5"/>
      <c r="T224" s="5"/>
      <c r="U224" s="5"/>
      <c r="W224" s="5"/>
      <c r="X224" s="5"/>
      <c r="Y224" s="5"/>
      <c r="Z224" s="5"/>
      <c r="AQ224" s="5"/>
      <c r="AR224" s="5"/>
      <c r="AS224" s="5"/>
      <c r="AT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</row>
    <row r="225" spans="18:199" ht="12.75">
      <c r="R225" s="5"/>
      <c r="S225" s="5"/>
      <c r="T225" s="5"/>
      <c r="U225" s="5"/>
      <c r="W225" s="5"/>
      <c r="X225" s="5"/>
      <c r="Y225" s="5"/>
      <c r="Z225" s="5"/>
      <c r="AQ225" s="5"/>
      <c r="AR225" s="5"/>
      <c r="AS225" s="5"/>
      <c r="AT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</row>
    <row r="226" spans="18:199" ht="12.75">
      <c r="R226" s="5"/>
      <c r="S226" s="5"/>
      <c r="T226" s="5"/>
      <c r="U226" s="5"/>
      <c r="W226" s="5"/>
      <c r="X226" s="5"/>
      <c r="Y226" s="5"/>
      <c r="Z226" s="5"/>
      <c r="AQ226" s="5"/>
      <c r="AR226" s="5"/>
      <c r="AS226" s="5"/>
      <c r="AT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</row>
    <row r="227" spans="18:199" ht="12.75">
      <c r="R227" s="5"/>
      <c r="S227" s="5"/>
      <c r="T227" s="5"/>
      <c r="U227" s="5"/>
      <c r="W227" s="5"/>
      <c r="X227" s="5"/>
      <c r="Y227" s="5"/>
      <c r="Z227" s="5"/>
      <c r="AQ227" s="5"/>
      <c r="AR227" s="5"/>
      <c r="AS227" s="5"/>
      <c r="AT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</row>
    <row r="228" spans="18:199" ht="12.75">
      <c r="R228" s="5"/>
      <c r="S228" s="5"/>
      <c r="T228" s="5"/>
      <c r="U228" s="5"/>
      <c r="W228" s="5"/>
      <c r="X228" s="5"/>
      <c r="Y228" s="5"/>
      <c r="Z228" s="5"/>
      <c r="AQ228" s="5"/>
      <c r="AR228" s="5"/>
      <c r="AS228" s="5"/>
      <c r="AT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</row>
    <row r="229" spans="18:199" ht="12.75">
      <c r="R229" s="5"/>
      <c r="S229" s="5"/>
      <c r="T229" s="5"/>
      <c r="U229" s="5"/>
      <c r="W229" s="5"/>
      <c r="X229" s="5"/>
      <c r="Y229" s="5"/>
      <c r="Z229" s="5"/>
      <c r="AQ229" s="5"/>
      <c r="AR229" s="5"/>
      <c r="AS229" s="5"/>
      <c r="AT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</row>
    <row r="230" spans="18:199" ht="12.75">
      <c r="R230" s="5"/>
      <c r="S230" s="5"/>
      <c r="T230" s="5"/>
      <c r="U230" s="5"/>
      <c r="W230" s="5"/>
      <c r="X230" s="5"/>
      <c r="Y230" s="5"/>
      <c r="Z230" s="5"/>
      <c r="AQ230" s="5"/>
      <c r="AR230" s="5"/>
      <c r="AS230" s="5"/>
      <c r="AT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</row>
    <row r="231" spans="18:199" ht="12.75">
      <c r="R231" s="5"/>
      <c r="S231" s="5"/>
      <c r="T231" s="5"/>
      <c r="U231" s="5"/>
      <c r="W231" s="5"/>
      <c r="X231" s="5"/>
      <c r="Y231" s="5"/>
      <c r="Z231" s="5"/>
      <c r="AQ231" s="5"/>
      <c r="AR231" s="5"/>
      <c r="AS231" s="5"/>
      <c r="AT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</row>
    <row r="232" spans="18:199" ht="12.75">
      <c r="R232" s="5"/>
      <c r="S232" s="5"/>
      <c r="T232" s="5"/>
      <c r="U232" s="5"/>
      <c r="W232" s="5"/>
      <c r="X232" s="5"/>
      <c r="Y232" s="5"/>
      <c r="Z232" s="5"/>
      <c r="AQ232" s="5"/>
      <c r="AR232" s="5"/>
      <c r="AS232" s="5"/>
      <c r="AT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</row>
    <row r="233" spans="18:199" ht="12.75">
      <c r="R233" s="5"/>
      <c r="S233" s="5"/>
      <c r="T233" s="5"/>
      <c r="U233" s="5"/>
      <c r="W233" s="5"/>
      <c r="X233" s="5"/>
      <c r="Y233" s="5"/>
      <c r="Z233" s="5"/>
      <c r="AQ233" s="5"/>
      <c r="AR233" s="5"/>
      <c r="AS233" s="5"/>
      <c r="AT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</row>
    <row r="234" spans="18:199" ht="12.75">
      <c r="R234" s="5"/>
      <c r="S234" s="5"/>
      <c r="T234" s="5"/>
      <c r="U234" s="5"/>
      <c r="W234" s="5"/>
      <c r="X234" s="5"/>
      <c r="Y234" s="5"/>
      <c r="Z234" s="5"/>
      <c r="AQ234" s="5"/>
      <c r="AR234" s="5"/>
      <c r="AS234" s="5"/>
      <c r="AT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</row>
    <row r="235" spans="18:199" ht="12.75">
      <c r="R235" s="5"/>
      <c r="S235" s="5"/>
      <c r="T235" s="5"/>
      <c r="U235" s="5"/>
      <c r="W235" s="5"/>
      <c r="X235" s="5"/>
      <c r="Y235" s="5"/>
      <c r="Z235" s="5"/>
      <c r="AQ235" s="5"/>
      <c r="AR235" s="5"/>
      <c r="AS235" s="5"/>
      <c r="AT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</row>
    <row r="236" spans="18:199" ht="12.75">
      <c r="R236" s="5"/>
      <c r="S236" s="5"/>
      <c r="T236" s="5"/>
      <c r="U236" s="5"/>
      <c r="W236" s="5"/>
      <c r="X236" s="5"/>
      <c r="Y236" s="5"/>
      <c r="Z236" s="5"/>
      <c r="AQ236" s="5"/>
      <c r="AR236" s="5"/>
      <c r="AS236" s="5"/>
      <c r="AT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</row>
    <row r="237" spans="18:199" ht="12.75">
      <c r="R237" s="5"/>
      <c r="S237" s="5"/>
      <c r="T237" s="5"/>
      <c r="U237" s="5"/>
      <c r="W237" s="5"/>
      <c r="X237" s="5"/>
      <c r="Y237" s="5"/>
      <c r="Z237" s="5"/>
      <c r="AQ237" s="5"/>
      <c r="AR237" s="5"/>
      <c r="AS237" s="5"/>
      <c r="AT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</row>
    <row r="238" spans="18:199" ht="12.75">
      <c r="R238" s="5"/>
      <c r="S238" s="5"/>
      <c r="T238" s="5"/>
      <c r="U238" s="5"/>
      <c r="W238" s="5"/>
      <c r="X238" s="5"/>
      <c r="Y238" s="5"/>
      <c r="Z238" s="5"/>
      <c r="AQ238" s="5"/>
      <c r="AR238" s="5"/>
      <c r="AS238" s="5"/>
      <c r="AT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</row>
    <row r="239" spans="18:199" ht="12.75">
      <c r="R239" s="5"/>
      <c r="S239" s="5"/>
      <c r="T239" s="5"/>
      <c r="U239" s="5"/>
      <c r="W239" s="5"/>
      <c r="X239" s="5"/>
      <c r="Y239" s="5"/>
      <c r="Z239" s="5"/>
      <c r="AQ239" s="5"/>
      <c r="AR239" s="5"/>
      <c r="AS239" s="5"/>
      <c r="AT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</row>
    <row r="240" spans="18:199" ht="12.75">
      <c r="R240" s="5"/>
      <c r="S240" s="5"/>
      <c r="T240" s="5"/>
      <c r="U240" s="5"/>
      <c r="W240" s="5"/>
      <c r="X240" s="5"/>
      <c r="Y240" s="5"/>
      <c r="Z240" s="5"/>
      <c r="AQ240" s="5"/>
      <c r="AR240" s="5"/>
      <c r="AS240" s="5"/>
      <c r="AT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</row>
    <row r="241" spans="18:199" ht="12.75">
      <c r="R241" s="5"/>
      <c r="S241" s="5"/>
      <c r="T241" s="5"/>
      <c r="U241" s="5"/>
      <c r="W241" s="5"/>
      <c r="X241" s="5"/>
      <c r="Y241" s="5"/>
      <c r="Z241" s="5"/>
      <c r="AQ241" s="5"/>
      <c r="AR241" s="5"/>
      <c r="AS241" s="5"/>
      <c r="AT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</row>
    <row r="242" spans="18:199" ht="12.75">
      <c r="R242" s="5"/>
      <c r="S242" s="5"/>
      <c r="T242" s="5"/>
      <c r="U242" s="5"/>
      <c r="W242" s="5"/>
      <c r="X242" s="5"/>
      <c r="Y242" s="5"/>
      <c r="Z242" s="5"/>
      <c r="AQ242" s="5"/>
      <c r="AR242" s="5"/>
      <c r="AS242" s="5"/>
      <c r="AT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</row>
    <row r="243" spans="18:199" ht="12.75">
      <c r="R243" s="5"/>
      <c r="S243" s="5"/>
      <c r="T243" s="5"/>
      <c r="U243" s="5"/>
      <c r="W243" s="5"/>
      <c r="X243" s="5"/>
      <c r="Y243" s="5"/>
      <c r="Z243" s="5"/>
      <c r="AQ243" s="5"/>
      <c r="AR243" s="5"/>
      <c r="AS243" s="5"/>
      <c r="AT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</row>
    <row r="244" spans="18:199" ht="12.75">
      <c r="R244" s="5"/>
      <c r="S244" s="5"/>
      <c r="T244" s="5"/>
      <c r="U244" s="5"/>
      <c r="W244" s="5"/>
      <c r="X244" s="5"/>
      <c r="Y244" s="5"/>
      <c r="Z244" s="5"/>
      <c r="AQ244" s="5"/>
      <c r="AR244" s="5"/>
      <c r="AS244" s="5"/>
      <c r="AT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</row>
    <row r="245" spans="18:199" ht="12.75">
      <c r="R245" s="5"/>
      <c r="S245" s="5"/>
      <c r="T245" s="5"/>
      <c r="U245" s="5"/>
      <c r="W245" s="5"/>
      <c r="X245" s="5"/>
      <c r="Y245" s="5"/>
      <c r="Z245" s="5"/>
      <c r="AQ245" s="5"/>
      <c r="AR245" s="5"/>
      <c r="AS245" s="5"/>
      <c r="AT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</row>
    <row r="246" spans="18:199" ht="12.75">
      <c r="R246" s="5"/>
      <c r="S246" s="5"/>
      <c r="T246" s="5"/>
      <c r="U246" s="5"/>
      <c r="W246" s="5"/>
      <c r="X246" s="5"/>
      <c r="Y246" s="5"/>
      <c r="Z246" s="5"/>
      <c r="AQ246" s="5"/>
      <c r="AR246" s="5"/>
      <c r="AS246" s="5"/>
      <c r="AT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</row>
    <row r="247" spans="18:199" ht="12.75">
      <c r="R247" s="5"/>
      <c r="S247" s="5"/>
      <c r="T247" s="5"/>
      <c r="U247" s="5"/>
      <c r="W247" s="5"/>
      <c r="X247" s="5"/>
      <c r="Y247" s="5"/>
      <c r="Z247" s="5"/>
      <c r="AQ247" s="5"/>
      <c r="AR247" s="5"/>
      <c r="AS247" s="5"/>
      <c r="AT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</row>
    <row r="248" spans="18:199" ht="12.75">
      <c r="R248" s="5"/>
      <c r="S248" s="5"/>
      <c r="T248" s="5"/>
      <c r="U248" s="5"/>
      <c r="W248" s="5"/>
      <c r="X248" s="5"/>
      <c r="Y248" s="5"/>
      <c r="Z248" s="5"/>
      <c r="AQ248" s="5"/>
      <c r="AR248" s="5"/>
      <c r="AS248" s="5"/>
      <c r="AT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</row>
    <row r="249" spans="18:199" ht="12.75">
      <c r="R249" s="5"/>
      <c r="S249" s="5"/>
      <c r="T249" s="5"/>
      <c r="U249" s="5"/>
      <c r="W249" s="5"/>
      <c r="X249" s="5"/>
      <c r="Y249" s="5"/>
      <c r="Z249" s="5"/>
      <c r="AQ249" s="5"/>
      <c r="AR249" s="5"/>
      <c r="AS249" s="5"/>
      <c r="AT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</row>
    <row r="250" spans="18:199" ht="12.75">
      <c r="R250" s="5"/>
      <c r="S250" s="5"/>
      <c r="T250" s="5"/>
      <c r="U250" s="5"/>
      <c r="W250" s="5"/>
      <c r="X250" s="5"/>
      <c r="Y250" s="5"/>
      <c r="Z250" s="5"/>
      <c r="AQ250" s="5"/>
      <c r="AR250" s="5"/>
      <c r="AS250" s="5"/>
      <c r="AT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</row>
    <row r="251" spans="18:199" ht="12.75">
      <c r="R251" s="5"/>
      <c r="S251" s="5"/>
      <c r="T251" s="5"/>
      <c r="U251" s="5"/>
      <c r="W251" s="5"/>
      <c r="X251" s="5"/>
      <c r="Y251" s="5"/>
      <c r="Z251" s="5"/>
      <c r="AQ251" s="5"/>
      <c r="AR251" s="5"/>
      <c r="AS251" s="5"/>
      <c r="AT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</row>
    <row r="252" spans="18:199" ht="12.75">
      <c r="R252" s="5"/>
      <c r="S252" s="5"/>
      <c r="T252" s="5"/>
      <c r="U252" s="5"/>
      <c r="W252" s="5"/>
      <c r="X252" s="5"/>
      <c r="Y252" s="5"/>
      <c r="Z252" s="5"/>
      <c r="AQ252" s="5"/>
      <c r="AR252" s="5"/>
      <c r="AS252" s="5"/>
      <c r="AT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</row>
    <row r="253" spans="18:199" ht="12.75">
      <c r="R253" s="5"/>
      <c r="S253" s="5"/>
      <c r="T253" s="5"/>
      <c r="U253" s="5"/>
      <c r="W253" s="5"/>
      <c r="X253" s="5"/>
      <c r="Y253" s="5"/>
      <c r="Z253" s="5"/>
      <c r="AQ253" s="5"/>
      <c r="AR253" s="5"/>
      <c r="AS253" s="5"/>
      <c r="AT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</row>
    <row r="254" spans="18:199" ht="12.75">
      <c r="R254" s="5"/>
      <c r="S254" s="5"/>
      <c r="T254" s="5"/>
      <c r="U254" s="5"/>
      <c r="W254" s="5"/>
      <c r="X254" s="5"/>
      <c r="Y254" s="5"/>
      <c r="Z254" s="5"/>
      <c r="AQ254" s="5"/>
      <c r="AR254" s="5"/>
      <c r="AS254" s="5"/>
      <c r="AT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</row>
    <row r="255" spans="18:199" ht="12.75">
      <c r="R255" s="5"/>
      <c r="S255" s="5"/>
      <c r="T255" s="5"/>
      <c r="U255" s="5"/>
      <c r="W255" s="5"/>
      <c r="X255" s="5"/>
      <c r="Y255" s="5"/>
      <c r="Z255" s="5"/>
      <c r="AQ255" s="5"/>
      <c r="AR255" s="5"/>
      <c r="AS255" s="5"/>
      <c r="AT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</row>
    <row r="256" spans="18:199" ht="12.75">
      <c r="R256" s="5"/>
      <c r="S256" s="5"/>
      <c r="T256" s="5"/>
      <c r="U256" s="5"/>
      <c r="W256" s="5"/>
      <c r="X256" s="5"/>
      <c r="Y256" s="5"/>
      <c r="Z256" s="5"/>
      <c r="AQ256" s="5"/>
      <c r="AR256" s="5"/>
      <c r="AS256" s="5"/>
      <c r="AT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</row>
    <row r="257" spans="18:199" ht="12.75">
      <c r="R257" s="5"/>
      <c r="S257" s="5"/>
      <c r="T257" s="5"/>
      <c r="U257" s="5"/>
      <c r="W257" s="5"/>
      <c r="X257" s="5"/>
      <c r="Y257" s="5"/>
      <c r="Z257" s="5"/>
      <c r="AQ257" s="5"/>
      <c r="AR257" s="5"/>
      <c r="AS257" s="5"/>
      <c r="AT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</row>
    <row r="258" spans="18:199" ht="12.75">
      <c r="R258" s="5"/>
      <c r="S258" s="5"/>
      <c r="T258" s="5"/>
      <c r="U258" s="5"/>
      <c r="W258" s="5"/>
      <c r="X258" s="5"/>
      <c r="Y258" s="5"/>
      <c r="Z258" s="5"/>
      <c r="AQ258" s="5"/>
      <c r="AR258" s="5"/>
      <c r="AS258" s="5"/>
      <c r="AT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</row>
    <row r="259" spans="18:199" ht="12.75">
      <c r="R259" s="5"/>
      <c r="S259" s="5"/>
      <c r="T259" s="5"/>
      <c r="U259" s="5"/>
      <c r="W259" s="5"/>
      <c r="X259" s="5"/>
      <c r="Y259" s="5"/>
      <c r="Z259" s="5"/>
      <c r="AQ259" s="5"/>
      <c r="AR259" s="5"/>
      <c r="AS259" s="5"/>
      <c r="AT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</row>
    <row r="260" spans="18:199" ht="12.75">
      <c r="R260" s="5"/>
      <c r="S260" s="5"/>
      <c r="T260" s="5"/>
      <c r="U260" s="5"/>
      <c r="W260" s="5"/>
      <c r="X260" s="5"/>
      <c r="Y260" s="5"/>
      <c r="Z260" s="5"/>
      <c r="AQ260" s="5"/>
      <c r="AR260" s="5"/>
      <c r="AS260" s="5"/>
      <c r="AT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</row>
    <row r="261" spans="18:199" ht="12.75">
      <c r="R261" s="5"/>
      <c r="S261" s="5"/>
      <c r="T261" s="5"/>
      <c r="U261" s="5"/>
      <c r="W261" s="5"/>
      <c r="X261" s="5"/>
      <c r="Y261" s="5"/>
      <c r="Z261" s="5"/>
      <c r="AQ261" s="5"/>
      <c r="AR261" s="5"/>
      <c r="AS261" s="5"/>
      <c r="AT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</row>
    <row r="262" spans="18:199" ht="12.75">
      <c r="R262" s="5"/>
      <c r="S262" s="5"/>
      <c r="T262" s="5"/>
      <c r="U262" s="5"/>
      <c r="W262" s="5"/>
      <c r="X262" s="5"/>
      <c r="Y262" s="5"/>
      <c r="Z262" s="5"/>
      <c r="AQ262" s="5"/>
      <c r="AR262" s="5"/>
      <c r="AS262" s="5"/>
      <c r="AT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</row>
    <row r="263" spans="18:199" ht="12.75">
      <c r="R263" s="5"/>
      <c r="S263" s="5"/>
      <c r="T263" s="5"/>
      <c r="U263" s="5"/>
      <c r="W263" s="5"/>
      <c r="X263" s="5"/>
      <c r="Y263" s="5"/>
      <c r="Z263" s="5"/>
      <c r="AQ263" s="5"/>
      <c r="AR263" s="5"/>
      <c r="AS263" s="5"/>
      <c r="AT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</row>
    <row r="264" spans="18:199" ht="12.75">
      <c r="R264" s="5"/>
      <c r="S264" s="5"/>
      <c r="T264" s="5"/>
      <c r="U264" s="5"/>
      <c r="W264" s="5"/>
      <c r="X264" s="5"/>
      <c r="Y264" s="5"/>
      <c r="Z264" s="5"/>
      <c r="AQ264" s="5"/>
      <c r="AR264" s="5"/>
      <c r="AS264" s="5"/>
      <c r="AT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</row>
    <row r="265" spans="18:199" ht="12.75">
      <c r="R265" s="5"/>
      <c r="S265" s="5"/>
      <c r="T265" s="5"/>
      <c r="U265" s="5"/>
      <c r="W265" s="5"/>
      <c r="X265" s="5"/>
      <c r="Y265" s="5"/>
      <c r="Z265" s="5"/>
      <c r="AQ265" s="5"/>
      <c r="AR265" s="5"/>
      <c r="AS265" s="5"/>
      <c r="AT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</row>
    <row r="266" spans="18:199" ht="12.75">
      <c r="R266" s="5"/>
      <c r="S266" s="5"/>
      <c r="T266" s="5"/>
      <c r="U266" s="5"/>
      <c r="W266" s="5"/>
      <c r="X266" s="5"/>
      <c r="Y266" s="5"/>
      <c r="Z266" s="5"/>
      <c r="AQ266" s="5"/>
      <c r="AR266" s="5"/>
      <c r="AS266" s="5"/>
      <c r="AT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</row>
    <row r="267" spans="18:199" ht="12.75">
      <c r="R267" s="5"/>
      <c r="S267" s="5"/>
      <c r="T267" s="5"/>
      <c r="U267" s="5"/>
      <c r="W267" s="5"/>
      <c r="X267" s="5"/>
      <c r="Y267" s="5"/>
      <c r="Z267" s="5"/>
      <c r="AQ267" s="5"/>
      <c r="AR267" s="5"/>
      <c r="AS267" s="5"/>
      <c r="AT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</row>
    <row r="268" spans="18:199" ht="12.75">
      <c r="R268" s="5"/>
      <c r="S268" s="5"/>
      <c r="T268" s="5"/>
      <c r="U268" s="5"/>
      <c r="W268" s="5"/>
      <c r="X268" s="5"/>
      <c r="Y268" s="5"/>
      <c r="Z268" s="5"/>
      <c r="AQ268" s="5"/>
      <c r="AR268" s="5"/>
      <c r="AS268" s="5"/>
      <c r="AT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</row>
    <row r="269" spans="18:199" ht="12.75">
      <c r="R269" s="5"/>
      <c r="S269" s="5"/>
      <c r="T269" s="5"/>
      <c r="U269" s="5"/>
      <c r="W269" s="5"/>
      <c r="X269" s="5"/>
      <c r="Y269" s="5"/>
      <c r="Z269" s="5"/>
      <c r="AQ269" s="5"/>
      <c r="AR269" s="5"/>
      <c r="AS269" s="5"/>
      <c r="AT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</row>
    <row r="270" spans="18:199" ht="12.75">
      <c r="R270" s="5"/>
      <c r="S270" s="5"/>
      <c r="T270" s="5"/>
      <c r="U270" s="5"/>
      <c r="W270" s="5"/>
      <c r="X270" s="5"/>
      <c r="Y270" s="5"/>
      <c r="Z270" s="5"/>
      <c r="AQ270" s="5"/>
      <c r="AR270" s="5"/>
      <c r="AS270" s="5"/>
      <c r="AT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</row>
    <row r="271" spans="18:199" ht="12.75">
      <c r="R271" s="5"/>
      <c r="S271" s="5"/>
      <c r="T271" s="5"/>
      <c r="U271" s="5"/>
      <c r="W271" s="5"/>
      <c r="X271" s="5"/>
      <c r="Y271" s="5"/>
      <c r="Z271" s="5"/>
      <c r="AQ271" s="5"/>
      <c r="AR271" s="5"/>
      <c r="AS271" s="5"/>
      <c r="AT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</row>
    <row r="272" spans="18:199" ht="12.75">
      <c r="R272" s="5"/>
      <c r="S272" s="5"/>
      <c r="T272" s="5"/>
      <c r="U272" s="5"/>
      <c r="W272" s="5"/>
      <c r="X272" s="5"/>
      <c r="Y272" s="5"/>
      <c r="Z272" s="5"/>
      <c r="AQ272" s="5"/>
      <c r="AR272" s="5"/>
      <c r="AS272" s="5"/>
      <c r="AT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</row>
    <row r="273" spans="18:199" ht="12.75">
      <c r="R273" s="5"/>
      <c r="S273" s="5"/>
      <c r="T273" s="5"/>
      <c r="U273" s="5"/>
      <c r="W273" s="5"/>
      <c r="X273" s="5"/>
      <c r="Y273" s="5"/>
      <c r="Z273" s="5"/>
      <c r="AQ273" s="5"/>
      <c r="AR273" s="5"/>
      <c r="AS273" s="5"/>
      <c r="AT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</row>
    <row r="274" spans="18:199" ht="12.75">
      <c r="R274" s="5"/>
      <c r="S274" s="5"/>
      <c r="T274" s="5"/>
      <c r="U274" s="5"/>
      <c r="W274" s="5"/>
      <c r="X274" s="5"/>
      <c r="Y274" s="5"/>
      <c r="Z274" s="5"/>
      <c r="AQ274" s="5"/>
      <c r="AR274" s="5"/>
      <c r="AS274" s="5"/>
      <c r="AT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</row>
    <row r="275" spans="18:199" ht="12.75">
      <c r="R275" s="5"/>
      <c r="S275" s="5"/>
      <c r="T275" s="5"/>
      <c r="U275" s="5"/>
      <c r="W275" s="5"/>
      <c r="X275" s="5"/>
      <c r="Y275" s="5"/>
      <c r="Z275" s="5"/>
      <c r="AQ275" s="5"/>
      <c r="AR275" s="5"/>
      <c r="AS275" s="5"/>
      <c r="AT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</row>
    <row r="276" spans="18:199" ht="12.75">
      <c r="R276" s="5"/>
      <c r="S276" s="5"/>
      <c r="T276" s="5"/>
      <c r="U276" s="5"/>
      <c r="W276" s="5"/>
      <c r="X276" s="5"/>
      <c r="Y276" s="5"/>
      <c r="Z276" s="5"/>
      <c r="AQ276" s="5"/>
      <c r="AR276" s="5"/>
      <c r="AS276" s="5"/>
      <c r="AT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</row>
    <row r="277" spans="18:199" ht="12.75">
      <c r="R277" s="5"/>
      <c r="S277" s="5"/>
      <c r="T277" s="5"/>
      <c r="U277" s="5"/>
      <c r="W277" s="5"/>
      <c r="X277" s="5"/>
      <c r="Y277" s="5"/>
      <c r="Z277" s="5"/>
      <c r="AQ277" s="5"/>
      <c r="AR277" s="5"/>
      <c r="AS277" s="5"/>
      <c r="AT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</row>
    <row r="278" spans="18:199" ht="12.75">
      <c r="R278" s="5"/>
      <c r="S278" s="5"/>
      <c r="T278" s="5"/>
      <c r="U278" s="5"/>
      <c r="W278" s="5"/>
      <c r="X278" s="5"/>
      <c r="Y278" s="5"/>
      <c r="Z278" s="5"/>
      <c r="AQ278" s="5"/>
      <c r="AR278" s="5"/>
      <c r="AS278" s="5"/>
      <c r="AT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</row>
    <row r="279" spans="18:199" ht="12.75">
      <c r="R279" s="5"/>
      <c r="S279" s="5"/>
      <c r="T279" s="5"/>
      <c r="U279" s="5"/>
      <c r="W279" s="5"/>
      <c r="X279" s="5"/>
      <c r="Y279" s="5"/>
      <c r="Z279" s="5"/>
      <c r="AQ279" s="5"/>
      <c r="AR279" s="5"/>
      <c r="AS279" s="5"/>
      <c r="AT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</row>
    <row r="280" spans="18:199" ht="12.75">
      <c r="R280" s="5"/>
      <c r="S280" s="5"/>
      <c r="T280" s="5"/>
      <c r="U280" s="5"/>
      <c r="W280" s="5"/>
      <c r="X280" s="5"/>
      <c r="Y280" s="5"/>
      <c r="Z280" s="5"/>
      <c r="AQ280" s="5"/>
      <c r="AR280" s="5"/>
      <c r="AS280" s="5"/>
      <c r="AT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</row>
    <row r="281" spans="18:199" ht="12.75">
      <c r="R281" s="5"/>
      <c r="S281" s="5"/>
      <c r="T281" s="5"/>
      <c r="U281" s="5"/>
      <c r="W281" s="5"/>
      <c r="X281" s="5"/>
      <c r="Y281" s="5"/>
      <c r="Z281" s="5"/>
      <c r="AQ281" s="5"/>
      <c r="AR281" s="5"/>
      <c r="AS281" s="5"/>
      <c r="AT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</row>
    <row r="282" spans="18:199" ht="12.75">
      <c r="R282" s="5"/>
      <c r="S282" s="5"/>
      <c r="T282" s="5"/>
      <c r="U282" s="5"/>
      <c r="W282" s="5"/>
      <c r="X282" s="5"/>
      <c r="Y282" s="5"/>
      <c r="Z282" s="5"/>
      <c r="AQ282" s="5"/>
      <c r="AR282" s="5"/>
      <c r="AS282" s="5"/>
      <c r="AT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</row>
    <row r="283" spans="18:199" ht="12.75">
      <c r="R283" s="5"/>
      <c r="S283" s="5"/>
      <c r="T283" s="5"/>
      <c r="U283" s="5"/>
      <c r="W283" s="5"/>
      <c r="X283" s="5"/>
      <c r="Y283" s="5"/>
      <c r="Z283" s="5"/>
      <c r="AQ283" s="5"/>
      <c r="AR283" s="5"/>
      <c r="AS283" s="5"/>
      <c r="AT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</row>
    <row r="284" spans="18:199" ht="12.75">
      <c r="R284" s="5"/>
      <c r="S284" s="5"/>
      <c r="T284" s="5"/>
      <c r="U284" s="5"/>
      <c r="W284" s="5"/>
      <c r="X284" s="5"/>
      <c r="Y284" s="5"/>
      <c r="Z284" s="5"/>
      <c r="AQ284" s="5"/>
      <c r="AR284" s="5"/>
      <c r="AS284" s="5"/>
      <c r="AT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</row>
    <row r="285" spans="18:199" ht="12.75">
      <c r="R285" s="5"/>
      <c r="S285" s="5"/>
      <c r="T285" s="5"/>
      <c r="U285" s="5"/>
      <c r="W285" s="5"/>
      <c r="X285" s="5"/>
      <c r="Y285" s="5"/>
      <c r="Z285" s="5"/>
      <c r="AQ285" s="5"/>
      <c r="AR285" s="5"/>
      <c r="AS285" s="5"/>
      <c r="AT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</row>
    <row r="286" spans="18:199" ht="12.75">
      <c r="R286" s="5"/>
      <c r="S286" s="5"/>
      <c r="T286" s="5"/>
      <c r="U286" s="5"/>
      <c r="W286" s="5"/>
      <c r="X286" s="5"/>
      <c r="Y286" s="5"/>
      <c r="Z286" s="5"/>
      <c r="AQ286" s="5"/>
      <c r="AR286" s="5"/>
      <c r="AS286" s="5"/>
      <c r="AT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</row>
    <row r="287" spans="18:199" ht="12.75">
      <c r="R287" s="5"/>
      <c r="S287" s="5"/>
      <c r="T287" s="5"/>
      <c r="U287" s="5"/>
      <c r="W287" s="5"/>
      <c r="X287" s="5"/>
      <c r="Y287" s="5"/>
      <c r="Z287" s="5"/>
      <c r="AQ287" s="5"/>
      <c r="AR287" s="5"/>
      <c r="AS287" s="5"/>
      <c r="AT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</row>
    <row r="288" spans="18:199" ht="12.75">
      <c r="R288" s="5"/>
      <c r="S288" s="5"/>
      <c r="T288" s="5"/>
      <c r="U288" s="5"/>
      <c r="W288" s="5"/>
      <c r="X288" s="5"/>
      <c r="Y288" s="5"/>
      <c r="Z288" s="5"/>
      <c r="AQ288" s="5"/>
      <c r="AR288" s="5"/>
      <c r="AS288" s="5"/>
      <c r="AT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</row>
    <row r="289" spans="18:199" ht="12.75">
      <c r="R289" s="5"/>
      <c r="S289" s="5"/>
      <c r="T289" s="5"/>
      <c r="U289" s="5"/>
      <c r="W289" s="5"/>
      <c r="X289" s="5"/>
      <c r="Y289" s="5"/>
      <c r="Z289" s="5"/>
      <c r="AQ289" s="5"/>
      <c r="AR289" s="5"/>
      <c r="AS289" s="5"/>
      <c r="AT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</row>
    <row r="290" spans="18:199" ht="12.75">
      <c r="R290" s="5"/>
      <c r="S290" s="5"/>
      <c r="T290" s="5"/>
      <c r="U290" s="5"/>
      <c r="W290" s="5"/>
      <c r="X290" s="5"/>
      <c r="Y290" s="5"/>
      <c r="Z290" s="5"/>
      <c r="AQ290" s="5"/>
      <c r="AR290" s="5"/>
      <c r="AS290" s="5"/>
      <c r="AT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</row>
    <row r="291" spans="18:199" ht="12.75">
      <c r="R291" s="5"/>
      <c r="S291" s="5"/>
      <c r="T291" s="5"/>
      <c r="U291" s="5"/>
      <c r="W291" s="5"/>
      <c r="X291" s="5"/>
      <c r="Y291" s="5"/>
      <c r="Z291" s="5"/>
      <c r="AQ291" s="5"/>
      <c r="AR291" s="5"/>
      <c r="AS291" s="5"/>
      <c r="AT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</row>
    <row r="292" spans="18:199" ht="12.75">
      <c r="R292" s="5"/>
      <c r="S292" s="5"/>
      <c r="T292" s="5"/>
      <c r="U292" s="5"/>
      <c r="W292" s="5"/>
      <c r="X292" s="5"/>
      <c r="Y292" s="5"/>
      <c r="Z292" s="5"/>
      <c r="AQ292" s="5"/>
      <c r="AR292" s="5"/>
      <c r="AS292" s="5"/>
      <c r="AT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</row>
    <row r="293" spans="18:199" ht="12.75">
      <c r="R293" s="5"/>
      <c r="S293" s="5"/>
      <c r="T293" s="5"/>
      <c r="U293" s="5"/>
      <c r="W293" s="5"/>
      <c r="X293" s="5"/>
      <c r="Y293" s="5"/>
      <c r="Z293" s="5"/>
      <c r="AQ293" s="5"/>
      <c r="AR293" s="5"/>
      <c r="AS293" s="5"/>
      <c r="AT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</row>
    <row r="294" spans="18:199" ht="12.75">
      <c r="R294" s="5"/>
      <c r="S294" s="5"/>
      <c r="T294" s="5"/>
      <c r="U294" s="5"/>
      <c r="W294" s="5"/>
      <c r="X294" s="5"/>
      <c r="Y294" s="5"/>
      <c r="Z294" s="5"/>
      <c r="AQ294" s="5"/>
      <c r="AR294" s="5"/>
      <c r="AS294" s="5"/>
      <c r="AT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</row>
    <row r="295" spans="18:199" ht="12.75">
      <c r="R295" s="5"/>
      <c r="S295" s="5"/>
      <c r="T295" s="5"/>
      <c r="U295" s="5"/>
      <c r="W295" s="5"/>
      <c r="X295" s="5"/>
      <c r="Y295" s="5"/>
      <c r="Z295" s="5"/>
      <c r="AQ295" s="5"/>
      <c r="AR295" s="5"/>
      <c r="AS295" s="5"/>
      <c r="AT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</row>
    <row r="296" spans="18:199" ht="12.75">
      <c r="R296" s="5"/>
      <c r="S296" s="5"/>
      <c r="T296" s="5"/>
      <c r="U296" s="5"/>
      <c r="W296" s="5"/>
      <c r="X296" s="5"/>
      <c r="Y296" s="5"/>
      <c r="Z296" s="5"/>
      <c r="AQ296" s="5"/>
      <c r="AR296" s="5"/>
      <c r="AS296" s="5"/>
      <c r="AT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</row>
    <row r="297" spans="18:199" ht="12.75">
      <c r="R297" s="5"/>
      <c r="S297" s="5"/>
      <c r="T297" s="5"/>
      <c r="U297" s="5"/>
      <c r="W297" s="5"/>
      <c r="X297" s="5"/>
      <c r="Y297" s="5"/>
      <c r="Z297" s="5"/>
      <c r="AQ297" s="5"/>
      <c r="AR297" s="5"/>
      <c r="AS297" s="5"/>
      <c r="AT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</row>
    <row r="298" spans="18:199" ht="12.75">
      <c r="R298" s="5"/>
      <c r="S298" s="5"/>
      <c r="T298" s="5"/>
      <c r="U298" s="5"/>
      <c r="W298" s="5"/>
      <c r="X298" s="5"/>
      <c r="Y298" s="5"/>
      <c r="Z298" s="5"/>
      <c r="AQ298" s="5"/>
      <c r="AR298" s="5"/>
      <c r="AS298" s="5"/>
      <c r="AT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</row>
    <row r="299" spans="18:199" ht="12.75">
      <c r="R299" s="5"/>
      <c r="S299" s="5"/>
      <c r="T299" s="5"/>
      <c r="U299" s="5"/>
      <c r="W299" s="5"/>
      <c r="X299" s="5"/>
      <c r="Y299" s="5"/>
      <c r="Z299" s="5"/>
      <c r="AQ299" s="5"/>
      <c r="AR299" s="5"/>
      <c r="AS299" s="5"/>
      <c r="AT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</row>
    <row r="300" spans="18:199" ht="12.75">
      <c r="R300" s="5"/>
      <c r="S300" s="5"/>
      <c r="T300" s="5"/>
      <c r="U300" s="5"/>
      <c r="W300" s="5"/>
      <c r="X300" s="5"/>
      <c r="Y300" s="5"/>
      <c r="Z300" s="5"/>
      <c r="AQ300" s="5"/>
      <c r="AR300" s="5"/>
      <c r="AS300" s="5"/>
      <c r="AT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</row>
    <row r="301" spans="18:199" ht="12.75">
      <c r="R301" s="5"/>
      <c r="S301" s="5"/>
      <c r="T301" s="5"/>
      <c r="U301" s="5"/>
      <c r="W301" s="5"/>
      <c r="X301" s="5"/>
      <c r="Y301" s="5"/>
      <c r="Z301" s="5"/>
      <c r="AQ301" s="5"/>
      <c r="AR301" s="5"/>
      <c r="AS301" s="5"/>
      <c r="AT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</row>
    <row r="302" spans="18:199" ht="12.75">
      <c r="R302" s="5"/>
      <c r="S302" s="5"/>
      <c r="T302" s="5"/>
      <c r="U302" s="5"/>
      <c r="W302" s="5"/>
      <c r="X302" s="5"/>
      <c r="Y302" s="5"/>
      <c r="Z302" s="5"/>
      <c r="AQ302" s="5"/>
      <c r="AR302" s="5"/>
      <c r="AS302" s="5"/>
      <c r="AT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</row>
    <row r="303" spans="18:199" ht="12.75">
      <c r="R303" s="5"/>
      <c r="S303" s="5"/>
      <c r="T303" s="5"/>
      <c r="U303" s="5"/>
      <c r="W303" s="5"/>
      <c r="X303" s="5"/>
      <c r="Y303" s="5"/>
      <c r="Z303" s="5"/>
      <c r="AQ303" s="5"/>
      <c r="AR303" s="5"/>
      <c r="AS303" s="5"/>
      <c r="AT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</row>
    <row r="304" spans="18:199" ht="12.75">
      <c r="R304" s="5"/>
      <c r="S304" s="5"/>
      <c r="T304" s="5"/>
      <c r="U304" s="5"/>
      <c r="W304" s="5"/>
      <c r="X304" s="5"/>
      <c r="Y304" s="5"/>
      <c r="Z304" s="5"/>
      <c r="AQ304" s="5"/>
      <c r="AR304" s="5"/>
      <c r="AS304" s="5"/>
      <c r="AT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</row>
    <row r="305" spans="18:199" ht="12.75">
      <c r="R305" s="5"/>
      <c r="S305" s="5"/>
      <c r="T305" s="5"/>
      <c r="U305" s="5"/>
      <c r="W305" s="5"/>
      <c r="X305" s="5"/>
      <c r="Y305" s="5"/>
      <c r="Z305" s="5"/>
      <c r="AQ305" s="5"/>
      <c r="AR305" s="5"/>
      <c r="AS305" s="5"/>
      <c r="AT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</row>
    <row r="306" spans="18:199" ht="12.75">
      <c r="R306" s="5"/>
      <c r="S306" s="5"/>
      <c r="T306" s="5"/>
      <c r="U306" s="5"/>
      <c r="W306" s="5"/>
      <c r="X306" s="5"/>
      <c r="Y306" s="5"/>
      <c r="Z306" s="5"/>
      <c r="AQ306" s="5"/>
      <c r="AR306" s="5"/>
      <c r="AS306" s="5"/>
      <c r="AT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</row>
    <row r="307" spans="18:199" ht="12.75">
      <c r="R307" s="5"/>
      <c r="S307" s="5"/>
      <c r="T307" s="5"/>
      <c r="U307" s="5"/>
      <c r="W307" s="5"/>
      <c r="X307" s="5"/>
      <c r="Y307" s="5"/>
      <c r="Z307" s="5"/>
      <c r="AQ307" s="5"/>
      <c r="AR307" s="5"/>
      <c r="AS307" s="5"/>
      <c r="AT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</row>
    <row r="308" spans="18:199" ht="12.75">
      <c r="R308" s="5"/>
      <c r="S308" s="5"/>
      <c r="T308" s="5"/>
      <c r="U308" s="5"/>
      <c r="W308" s="5"/>
      <c r="X308" s="5"/>
      <c r="Y308" s="5"/>
      <c r="Z308" s="5"/>
      <c r="AQ308" s="5"/>
      <c r="AR308" s="5"/>
      <c r="AS308" s="5"/>
      <c r="AT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</row>
    <row r="309" spans="18:199" ht="12.75">
      <c r="R309" s="5"/>
      <c r="S309" s="5"/>
      <c r="T309" s="5"/>
      <c r="U309" s="5"/>
      <c r="W309" s="5"/>
      <c r="X309" s="5"/>
      <c r="Y309" s="5"/>
      <c r="Z309" s="5"/>
      <c r="AQ309" s="5"/>
      <c r="AR309" s="5"/>
      <c r="AS309" s="5"/>
      <c r="AT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</row>
    <row r="310" spans="18:199" ht="12.75">
      <c r="R310" s="5"/>
      <c r="S310" s="5"/>
      <c r="T310" s="5"/>
      <c r="U310" s="5"/>
      <c r="W310" s="5"/>
      <c r="X310" s="5"/>
      <c r="Y310" s="5"/>
      <c r="Z310" s="5"/>
      <c r="AQ310" s="5"/>
      <c r="AR310" s="5"/>
      <c r="AS310" s="5"/>
      <c r="AT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</row>
    <row r="311" spans="18:199" ht="12.75">
      <c r="R311" s="5"/>
      <c r="S311" s="5"/>
      <c r="T311" s="5"/>
      <c r="U311" s="5"/>
      <c r="W311" s="5"/>
      <c r="X311" s="5"/>
      <c r="Y311" s="5"/>
      <c r="Z311" s="5"/>
      <c r="AQ311" s="5"/>
      <c r="AR311" s="5"/>
      <c r="AS311" s="5"/>
      <c r="AT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</row>
    <row r="312" spans="18:199" ht="12.75">
      <c r="R312" s="5"/>
      <c r="S312" s="5"/>
      <c r="T312" s="5"/>
      <c r="U312" s="5"/>
      <c r="W312" s="5"/>
      <c r="X312" s="5"/>
      <c r="Y312" s="5"/>
      <c r="Z312" s="5"/>
      <c r="AQ312" s="5"/>
      <c r="AR312" s="5"/>
      <c r="AS312" s="5"/>
      <c r="AT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</row>
    <row r="313" spans="18:199" ht="12.75">
      <c r="R313" s="5"/>
      <c r="S313" s="5"/>
      <c r="T313" s="5"/>
      <c r="U313" s="5"/>
      <c r="W313" s="5"/>
      <c r="X313" s="5"/>
      <c r="Y313" s="5"/>
      <c r="Z313" s="5"/>
      <c r="AQ313" s="5"/>
      <c r="AR313" s="5"/>
      <c r="AS313" s="5"/>
      <c r="AT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</row>
    <row r="314" spans="18:199" ht="12.75">
      <c r="R314" s="5"/>
      <c r="S314" s="5"/>
      <c r="T314" s="5"/>
      <c r="U314" s="5"/>
      <c r="W314" s="5"/>
      <c r="X314" s="5"/>
      <c r="Y314" s="5"/>
      <c r="Z314" s="5"/>
      <c r="AQ314" s="5"/>
      <c r="AR314" s="5"/>
      <c r="AS314" s="5"/>
      <c r="AT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</row>
    <row r="315" spans="18:199" ht="12.75">
      <c r="R315" s="5"/>
      <c r="S315" s="5"/>
      <c r="T315" s="5"/>
      <c r="U315" s="5"/>
      <c r="W315" s="5"/>
      <c r="X315" s="5"/>
      <c r="Y315" s="5"/>
      <c r="Z315" s="5"/>
      <c r="AQ315" s="5"/>
      <c r="AR315" s="5"/>
      <c r="AS315" s="5"/>
      <c r="AT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</row>
    <row r="316" spans="18:199" ht="12.75">
      <c r="R316" s="5"/>
      <c r="S316" s="5"/>
      <c r="T316" s="5"/>
      <c r="U316" s="5"/>
      <c r="W316" s="5"/>
      <c r="X316" s="5"/>
      <c r="Y316" s="5"/>
      <c r="Z316" s="5"/>
      <c r="AQ316" s="5"/>
      <c r="AR316" s="5"/>
      <c r="AS316" s="5"/>
      <c r="AT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</row>
    <row r="317" spans="18:199" ht="12.75">
      <c r="R317" s="5"/>
      <c r="S317" s="5"/>
      <c r="T317" s="5"/>
      <c r="U317" s="5"/>
      <c r="W317" s="5"/>
      <c r="X317" s="5"/>
      <c r="Y317" s="5"/>
      <c r="Z317" s="5"/>
      <c r="AQ317" s="5"/>
      <c r="AR317" s="5"/>
      <c r="AS317" s="5"/>
      <c r="AT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</row>
    <row r="318" spans="18:199" ht="12.75">
      <c r="R318" s="5"/>
      <c r="S318" s="5"/>
      <c r="T318" s="5"/>
      <c r="U318" s="5"/>
      <c r="W318" s="5"/>
      <c r="X318" s="5"/>
      <c r="Y318" s="5"/>
      <c r="Z318" s="5"/>
      <c r="AQ318" s="5"/>
      <c r="AR318" s="5"/>
      <c r="AS318" s="5"/>
      <c r="AT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</row>
    <row r="319" spans="18:199" ht="12.75">
      <c r="R319" s="5"/>
      <c r="S319" s="5"/>
      <c r="T319" s="5"/>
      <c r="U319" s="5"/>
      <c r="W319" s="5"/>
      <c r="X319" s="5"/>
      <c r="Y319" s="5"/>
      <c r="Z319" s="5"/>
      <c r="AQ319" s="5"/>
      <c r="AR319" s="5"/>
      <c r="AS319" s="5"/>
      <c r="AT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</row>
    <row r="320" spans="18:199" ht="12.75">
      <c r="R320" s="5"/>
      <c r="S320" s="5"/>
      <c r="T320" s="5"/>
      <c r="U320" s="5"/>
      <c r="W320" s="5"/>
      <c r="X320" s="5"/>
      <c r="Y320" s="5"/>
      <c r="Z320" s="5"/>
      <c r="AQ320" s="5"/>
      <c r="AR320" s="5"/>
      <c r="AS320" s="5"/>
      <c r="AT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</row>
    <row r="321" spans="18:199" ht="12.75">
      <c r="R321" s="5"/>
      <c r="S321" s="5"/>
      <c r="T321" s="5"/>
      <c r="U321" s="5"/>
      <c r="W321" s="5"/>
      <c r="X321" s="5"/>
      <c r="Y321" s="5"/>
      <c r="Z321" s="5"/>
      <c r="AQ321" s="5"/>
      <c r="AR321" s="5"/>
      <c r="AS321" s="5"/>
      <c r="AT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</row>
    <row r="322" spans="18:199" ht="12.75">
      <c r="R322" s="5"/>
      <c r="S322" s="5"/>
      <c r="T322" s="5"/>
      <c r="U322" s="5"/>
      <c r="W322" s="5"/>
      <c r="X322" s="5"/>
      <c r="Y322" s="5"/>
      <c r="Z322" s="5"/>
      <c r="AQ322" s="5"/>
      <c r="AR322" s="5"/>
      <c r="AS322" s="5"/>
      <c r="AT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</row>
    <row r="323" spans="18:199" ht="12.75">
      <c r="R323" s="5"/>
      <c r="S323" s="5"/>
      <c r="T323" s="5"/>
      <c r="U323" s="5"/>
      <c r="W323" s="5"/>
      <c r="X323" s="5"/>
      <c r="Y323" s="5"/>
      <c r="Z323" s="5"/>
      <c r="AQ323" s="5"/>
      <c r="AR323" s="5"/>
      <c r="AS323" s="5"/>
      <c r="AT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</row>
    <row r="324" spans="18:199" ht="12.75">
      <c r="R324" s="5"/>
      <c r="S324" s="5"/>
      <c r="T324" s="5"/>
      <c r="U324" s="5"/>
      <c r="W324" s="5"/>
      <c r="X324" s="5"/>
      <c r="Y324" s="5"/>
      <c r="Z324" s="5"/>
      <c r="AQ324" s="5"/>
      <c r="AR324" s="5"/>
      <c r="AS324" s="5"/>
      <c r="AT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</row>
    <row r="325" spans="18:199" ht="12.75">
      <c r="R325" s="5"/>
      <c r="S325" s="5"/>
      <c r="T325" s="5"/>
      <c r="U325" s="5"/>
      <c r="W325" s="5"/>
      <c r="X325" s="5"/>
      <c r="Y325" s="5"/>
      <c r="Z325" s="5"/>
      <c r="AQ325" s="5"/>
      <c r="AR325" s="5"/>
      <c r="AS325" s="5"/>
      <c r="AT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</row>
    <row r="326" spans="18:199" ht="12.75">
      <c r="R326" s="5"/>
      <c r="S326" s="5"/>
      <c r="T326" s="5"/>
      <c r="U326" s="5"/>
      <c r="W326" s="5"/>
      <c r="X326" s="5"/>
      <c r="Y326" s="5"/>
      <c r="Z326" s="5"/>
      <c r="AQ326" s="5"/>
      <c r="AR326" s="5"/>
      <c r="AS326" s="5"/>
      <c r="AT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</row>
    <row r="327" spans="18:199" ht="12.75">
      <c r="R327" s="5"/>
      <c r="S327" s="5"/>
      <c r="T327" s="5"/>
      <c r="U327" s="5"/>
      <c r="W327" s="5"/>
      <c r="X327" s="5"/>
      <c r="Y327" s="5"/>
      <c r="Z327" s="5"/>
      <c r="AQ327" s="5"/>
      <c r="AR327" s="5"/>
      <c r="AS327" s="5"/>
      <c r="AT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</row>
    <row r="328" spans="18:199" ht="12.75">
      <c r="R328" s="5"/>
      <c r="S328" s="5"/>
      <c r="T328" s="5"/>
      <c r="U328" s="5"/>
      <c r="W328" s="5"/>
      <c r="X328" s="5"/>
      <c r="Y328" s="5"/>
      <c r="Z328" s="5"/>
      <c r="AQ328" s="5"/>
      <c r="AR328" s="5"/>
      <c r="AS328" s="5"/>
      <c r="AT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</row>
    <row r="329" spans="18:199" ht="12.75">
      <c r="R329" s="5"/>
      <c r="S329" s="5"/>
      <c r="T329" s="5"/>
      <c r="U329" s="5"/>
      <c r="W329" s="5"/>
      <c r="X329" s="5"/>
      <c r="Y329" s="5"/>
      <c r="Z329" s="5"/>
      <c r="AQ329" s="5"/>
      <c r="AR329" s="5"/>
      <c r="AS329" s="5"/>
      <c r="AT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</row>
    <row r="330" spans="18:199" ht="12.75">
      <c r="R330" s="5"/>
      <c r="S330" s="5"/>
      <c r="T330" s="5"/>
      <c r="U330" s="5"/>
      <c r="W330" s="5"/>
      <c r="X330" s="5"/>
      <c r="Y330" s="5"/>
      <c r="Z330" s="5"/>
      <c r="AQ330" s="5"/>
      <c r="AR330" s="5"/>
      <c r="AS330" s="5"/>
      <c r="AT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</row>
    <row r="331" spans="18:199" ht="12.75">
      <c r="R331" s="5"/>
      <c r="S331" s="5"/>
      <c r="T331" s="5"/>
      <c r="U331" s="5"/>
      <c r="W331" s="5"/>
      <c r="X331" s="5"/>
      <c r="Y331" s="5"/>
      <c r="Z331" s="5"/>
      <c r="AQ331" s="5"/>
      <c r="AR331" s="5"/>
      <c r="AS331" s="5"/>
      <c r="AT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</row>
    <row r="332" spans="18:199" ht="12.75">
      <c r="R332" s="5"/>
      <c r="S332" s="5"/>
      <c r="T332" s="5"/>
      <c r="U332" s="5"/>
      <c r="W332" s="5"/>
      <c r="X332" s="5"/>
      <c r="Y332" s="5"/>
      <c r="Z332" s="5"/>
      <c r="AQ332" s="5"/>
      <c r="AR332" s="5"/>
      <c r="AS332" s="5"/>
      <c r="AT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</row>
    <row r="333" spans="18:199" ht="12.75">
      <c r="R333" s="5"/>
      <c r="S333" s="5"/>
      <c r="T333" s="5"/>
      <c r="U333" s="5"/>
      <c r="W333" s="5"/>
      <c r="X333" s="5"/>
      <c r="Y333" s="5"/>
      <c r="Z333" s="5"/>
      <c r="AQ333" s="5"/>
      <c r="AR333" s="5"/>
      <c r="AS333" s="5"/>
      <c r="AT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</row>
    <row r="334" spans="18:199" ht="12.75">
      <c r="R334" s="5"/>
      <c r="S334" s="5"/>
      <c r="T334" s="5"/>
      <c r="U334" s="5"/>
      <c r="W334" s="5"/>
      <c r="X334" s="5"/>
      <c r="Y334" s="5"/>
      <c r="Z334" s="5"/>
      <c r="AQ334" s="5"/>
      <c r="AR334" s="5"/>
      <c r="AS334" s="5"/>
      <c r="AT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</row>
    <row r="335" spans="18:199" ht="12.75">
      <c r="R335" s="5"/>
      <c r="S335" s="5"/>
      <c r="T335" s="5"/>
      <c r="U335" s="5"/>
      <c r="W335" s="5"/>
      <c r="X335" s="5"/>
      <c r="Y335" s="5"/>
      <c r="Z335" s="5"/>
      <c r="AQ335" s="5"/>
      <c r="AR335" s="5"/>
      <c r="AS335" s="5"/>
      <c r="AT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</row>
    <row r="336" spans="18:199" ht="12.75">
      <c r="R336" s="5"/>
      <c r="S336" s="5"/>
      <c r="T336" s="5"/>
      <c r="U336" s="5"/>
      <c r="W336" s="5"/>
      <c r="X336" s="5"/>
      <c r="Y336" s="5"/>
      <c r="Z336" s="5"/>
      <c r="AQ336" s="5"/>
      <c r="AR336" s="5"/>
      <c r="AS336" s="5"/>
      <c r="AT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</row>
    <row r="337" spans="18:199" ht="12.75">
      <c r="R337" s="5"/>
      <c r="S337" s="5"/>
      <c r="T337" s="5"/>
      <c r="U337" s="5"/>
      <c r="W337" s="5"/>
      <c r="X337" s="5"/>
      <c r="Y337" s="5"/>
      <c r="Z337" s="5"/>
      <c r="AQ337" s="5"/>
      <c r="AR337" s="5"/>
      <c r="AS337" s="5"/>
      <c r="AT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</row>
    <row r="338" spans="18:199" ht="12.75">
      <c r="R338" s="5"/>
      <c r="S338" s="5"/>
      <c r="T338" s="5"/>
      <c r="U338" s="5"/>
      <c r="W338" s="5"/>
      <c r="X338" s="5"/>
      <c r="Y338" s="5"/>
      <c r="Z338" s="5"/>
      <c r="AQ338" s="5"/>
      <c r="AR338" s="5"/>
      <c r="AS338" s="5"/>
      <c r="AT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</row>
    <row r="339" spans="18:199" ht="12.75">
      <c r="R339" s="5"/>
      <c r="S339" s="5"/>
      <c r="T339" s="5"/>
      <c r="U339" s="5"/>
      <c r="W339" s="5"/>
      <c r="X339" s="5"/>
      <c r="Y339" s="5"/>
      <c r="Z339" s="5"/>
      <c r="AQ339" s="5"/>
      <c r="AR339" s="5"/>
      <c r="AS339" s="5"/>
      <c r="AT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</row>
    <row r="340" spans="18:199" ht="12.75">
      <c r="R340" s="5"/>
      <c r="S340" s="5"/>
      <c r="T340" s="5"/>
      <c r="U340" s="5"/>
      <c r="W340" s="5"/>
      <c r="X340" s="5"/>
      <c r="Y340" s="5"/>
      <c r="Z340" s="5"/>
      <c r="AQ340" s="5"/>
      <c r="AR340" s="5"/>
      <c r="AS340" s="5"/>
      <c r="AT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</row>
    <row r="341" spans="18:199" ht="12.75">
      <c r="R341" s="5"/>
      <c r="S341" s="5"/>
      <c r="T341" s="5"/>
      <c r="U341" s="5"/>
      <c r="W341" s="5"/>
      <c r="X341" s="5"/>
      <c r="Y341" s="5"/>
      <c r="Z341" s="5"/>
      <c r="AQ341" s="5"/>
      <c r="AR341" s="5"/>
      <c r="AS341" s="5"/>
      <c r="AT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</row>
    <row r="342" spans="18:199" ht="12.75">
      <c r="R342" s="5"/>
      <c r="S342" s="5"/>
      <c r="T342" s="5"/>
      <c r="U342" s="5"/>
      <c r="W342" s="5"/>
      <c r="X342" s="5"/>
      <c r="Y342" s="5"/>
      <c r="Z342" s="5"/>
      <c r="AQ342" s="5"/>
      <c r="AR342" s="5"/>
      <c r="AS342" s="5"/>
      <c r="AT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</row>
    <row r="343" spans="18:199" ht="12.75">
      <c r="R343" s="5"/>
      <c r="S343" s="5"/>
      <c r="T343" s="5"/>
      <c r="U343" s="5"/>
      <c r="W343" s="5"/>
      <c r="X343" s="5"/>
      <c r="Y343" s="5"/>
      <c r="Z343" s="5"/>
      <c r="AQ343" s="5"/>
      <c r="AR343" s="5"/>
      <c r="AS343" s="5"/>
      <c r="AT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</row>
    <row r="344" spans="18:199" ht="12.75">
      <c r="R344" s="5"/>
      <c r="S344" s="5"/>
      <c r="T344" s="5"/>
      <c r="U344" s="5"/>
      <c r="W344" s="5"/>
      <c r="X344" s="5"/>
      <c r="Y344" s="5"/>
      <c r="Z344" s="5"/>
      <c r="AQ344" s="5"/>
      <c r="AR344" s="5"/>
      <c r="AS344" s="5"/>
      <c r="AT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</row>
    <row r="345" spans="18:199" ht="12.75">
      <c r="R345" s="5"/>
      <c r="S345" s="5"/>
      <c r="T345" s="5"/>
      <c r="U345" s="5"/>
      <c r="W345" s="5"/>
      <c r="X345" s="5"/>
      <c r="Y345" s="5"/>
      <c r="Z345" s="5"/>
      <c r="AQ345" s="5"/>
      <c r="AR345" s="5"/>
      <c r="AS345" s="5"/>
      <c r="AT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</row>
    <row r="346" spans="18:199" ht="12.75">
      <c r="R346" s="5"/>
      <c r="S346" s="5"/>
      <c r="T346" s="5"/>
      <c r="U346" s="5"/>
      <c r="W346" s="5"/>
      <c r="X346" s="5"/>
      <c r="Y346" s="5"/>
      <c r="Z346" s="5"/>
      <c r="AQ346" s="5"/>
      <c r="AR346" s="5"/>
      <c r="AS346" s="5"/>
      <c r="AT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</row>
    <row r="347" spans="18:199" ht="12.75">
      <c r="R347" s="5"/>
      <c r="S347" s="5"/>
      <c r="T347" s="5"/>
      <c r="U347" s="5"/>
      <c r="W347" s="5"/>
      <c r="X347" s="5"/>
      <c r="Y347" s="5"/>
      <c r="Z347" s="5"/>
      <c r="AQ347" s="5"/>
      <c r="AR347" s="5"/>
      <c r="AS347" s="5"/>
      <c r="AT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</row>
    <row r="348" spans="18:199" ht="12.75">
      <c r="R348" s="5"/>
      <c r="S348" s="5"/>
      <c r="T348" s="5"/>
      <c r="U348" s="5"/>
      <c r="W348" s="5"/>
      <c r="X348" s="5"/>
      <c r="Y348" s="5"/>
      <c r="Z348" s="5"/>
      <c r="AQ348" s="5"/>
      <c r="AR348" s="5"/>
      <c r="AS348" s="5"/>
      <c r="AT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</row>
    <row r="349" spans="18:199" ht="12.75">
      <c r="R349" s="5"/>
      <c r="S349" s="5"/>
      <c r="T349" s="5"/>
      <c r="U349" s="5"/>
      <c r="W349" s="5"/>
      <c r="X349" s="5"/>
      <c r="Y349" s="5"/>
      <c r="Z349" s="5"/>
      <c r="AQ349" s="5"/>
      <c r="AR349" s="5"/>
      <c r="AS349" s="5"/>
      <c r="AT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</row>
    <row r="350" spans="18:199" ht="12.75">
      <c r="R350" s="5"/>
      <c r="S350" s="5"/>
      <c r="T350" s="5"/>
      <c r="U350" s="5"/>
      <c r="W350" s="5"/>
      <c r="X350" s="5"/>
      <c r="Y350" s="5"/>
      <c r="Z350" s="5"/>
      <c r="AQ350" s="5"/>
      <c r="AR350" s="5"/>
      <c r="AS350" s="5"/>
      <c r="AT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</row>
    <row r="351" spans="18:199" ht="12.75">
      <c r="R351" s="5"/>
      <c r="S351" s="5"/>
      <c r="T351" s="5"/>
      <c r="U351" s="5"/>
      <c r="W351" s="5"/>
      <c r="X351" s="5"/>
      <c r="Y351" s="5"/>
      <c r="Z351" s="5"/>
      <c r="AQ351" s="5"/>
      <c r="AR351" s="5"/>
      <c r="AS351" s="5"/>
      <c r="AT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</row>
    <row r="352" spans="18:199" ht="12.75">
      <c r="R352" s="5"/>
      <c r="S352" s="5"/>
      <c r="T352" s="5"/>
      <c r="U352" s="5"/>
      <c r="W352" s="5"/>
      <c r="X352" s="5"/>
      <c r="Y352" s="5"/>
      <c r="Z352" s="5"/>
      <c r="AQ352" s="5"/>
      <c r="AR352" s="5"/>
      <c r="AS352" s="5"/>
      <c r="AT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</row>
    <row r="353" spans="18:199" ht="12.75">
      <c r="R353" s="5"/>
      <c r="S353" s="5"/>
      <c r="T353" s="5"/>
      <c r="U353" s="5"/>
      <c r="W353" s="5"/>
      <c r="X353" s="5"/>
      <c r="Y353" s="5"/>
      <c r="Z353" s="5"/>
      <c r="AQ353" s="5"/>
      <c r="AR353" s="5"/>
      <c r="AS353" s="5"/>
      <c r="AT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</row>
    <row r="354" spans="18:199" ht="12.75">
      <c r="R354" s="5"/>
      <c r="S354" s="5"/>
      <c r="T354" s="5"/>
      <c r="U354" s="5"/>
      <c r="W354" s="5"/>
      <c r="X354" s="5"/>
      <c r="Y354" s="5"/>
      <c r="Z354" s="5"/>
      <c r="AQ354" s="5"/>
      <c r="AR354" s="5"/>
      <c r="AS354" s="5"/>
      <c r="AT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</row>
    <row r="355" spans="18:199" ht="12.75">
      <c r="R355" s="5"/>
      <c r="S355" s="5"/>
      <c r="T355" s="5"/>
      <c r="U355" s="5"/>
      <c r="W355" s="5"/>
      <c r="X355" s="5"/>
      <c r="Y355" s="5"/>
      <c r="Z355" s="5"/>
      <c r="AQ355" s="5"/>
      <c r="AR355" s="5"/>
      <c r="AS355" s="5"/>
      <c r="AT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</row>
    <row r="356" spans="18:199" ht="12.75">
      <c r="R356" s="5"/>
      <c r="S356" s="5"/>
      <c r="T356" s="5"/>
      <c r="U356" s="5"/>
      <c r="W356" s="5"/>
      <c r="X356" s="5"/>
      <c r="Y356" s="5"/>
      <c r="Z356" s="5"/>
      <c r="AQ356" s="5"/>
      <c r="AR356" s="5"/>
      <c r="AS356" s="5"/>
      <c r="AT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</row>
    <row r="357" spans="18:199" ht="12.75">
      <c r="R357" s="5"/>
      <c r="S357" s="5"/>
      <c r="T357" s="5"/>
      <c r="U357" s="5"/>
      <c r="W357" s="5"/>
      <c r="X357" s="5"/>
      <c r="Y357" s="5"/>
      <c r="Z357" s="5"/>
      <c r="AQ357" s="5"/>
      <c r="AR357" s="5"/>
      <c r="AS357" s="5"/>
      <c r="AT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</row>
    <row r="358" spans="18:199" ht="12.75">
      <c r="R358" s="5"/>
      <c r="S358" s="5"/>
      <c r="T358" s="5"/>
      <c r="U358" s="5"/>
      <c r="W358" s="5"/>
      <c r="X358" s="5"/>
      <c r="Y358" s="5"/>
      <c r="Z358" s="5"/>
      <c r="AQ358" s="5"/>
      <c r="AR358" s="5"/>
      <c r="AS358" s="5"/>
      <c r="AT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</row>
    <row r="359" spans="18:199" ht="12.75">
      <c r="R359" s="5"/>
      <c r="S359" s="5"/>
      <c r="T359" s="5"/>
      <c r="U359" s="5"/>
      <c r="W359" s="5"/>
      <c r="X359" s="5"/>
      <c r="Y359" s="5"/>
      <c r="Z359" s="5"/>
      <c r="AQ359" s="5"/>
      <c r="AR359" s="5"/>
      <c r="AS359" s="5"/>
      <c r="AT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</row>
    <row r="360" spans="18:199" ht="12.75">
      <c r="R360" s="5"/>
      <c r="S360" s="5"/>
      <c r="T360" s="5"/>
      <c r="U360" s="5"/>
      <c r="W360" s="5"/>
      <c r="X360" s="5"/>
      <c r="Y360" s="5"/>
      <c r="Z360" s="5"/>
      <c r="AQ360" s="5"/>
      <c r="AR360" s="5"/>
      <c r="AS360" s="5"/>
      <c r="AT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</row>
    <row r="361" spans="18:199" ht="12.75">
      <c r="R361" s="5"/>
      <c r="S361" s="5"/>
      <c r="T361" s="5"/>
      <c r="U361" s="5"/>
      <c r="W361" s="5"/>
      <c r="X361" s="5"/>
      <c r="Y361" s="5"/>
      <c r="Z361" s="5"/>
      <c r="AQ361" s="5"/>
      <c r="AR361" s="5"/>
      <c r="AS361" s="5"/>
      <c r="AT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</row>
    <row r="362" spans="18:199" ht="12.75">
      <c r="R362" s="5"/>
      <c r="S362" s="5"/>
      <c r="T362" s="5"/>
      <c r="U362" s="5"/>
      <c r="W362" s="5"/>
      <c r="X362" s="5"/>
      <c r="Y362" s="5"/>
      <c r="Z362" s="5"/>
      <c r="AQ362" s="5"/>
      <c r="AR362" s="5"/>
      <c r="AS362" s="5"/>
      <c r="AT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</row>
    <row r="363" spans="18:199" ht="12.75">
      <c r="R363" s="5"/>
      <c r="S363" s="5"/>
      <c r="T363" s="5"/>
      <c r="U363" s="5"/>
      <c r="W363" s="5"/>
      <c r="X363" s="5"/>
      <c r="Y363" s="5"/>
      <c r="Z363" s="5"/>
      <c r="AQ363" s="5"/>
      <c r="AR363" s="5"/>
      <c r="AS363" s="5"/>
      <c r="AT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</row>
    <row r="364" spans="18:199" ht="12.75">
      <c r="R364" s="5"/>
      <c r="S364" s="5"/>
      <c r="T364" s="5"/>
      <c r="U364" s="5"/>
      <c r="W364" s="5"/>
      <c r="X364" s="5"/>
      <c r="Y364" s="5"/>
      <c r="Z364" s="5"/>
      <c r="AQ364" s="5"/>
      <c r="AR364" s="5"/>
      <c r="AS364" s="5"/>
      <c r="AT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</row>
    <row r="365" spans="18:199" ht="12.75">
      <c r="R365" s="5"/>
      <c r="S365" s="5"/>
      <c r="T365" s="5"/>
      <c r="U365" s="5"/>
      <c r="W365" s="5"/>
      <c r="X365" s="5"/>
      <c r="Y365" s="5"/>
      <c r="Z365" s="5"/>
      <c r="AQ365" s="5"/>
      <c r="AR365" s="5"/>
      <c r="AS365" s="5"/>
      <c r="AT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</row>
    <row r="366" spans="18:199" ht="12.75">
      <c r="R366" s="5"/>
      <c r="S366" s="5"/>
      <c r="T366" s="5"/>
      <c r="U366" s="5"/>
      <c r="W366" s="5"/>
      <c r="X366" s="5"/>
      <c r="Y366" s="5"/>
      <c r="Z366" s="5"/>
      <c r="AQ366" s="5"/>
      <c r="AR366" s="5"/>
      <c r="AS366" s="5"/>
      <c r="AT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</row>
    <row r="367" spans="18:199" ht="12.75">
      <c r="R367" s="5"/>
      <c r="S367" s="5"/>
      <c r="T367" s="5"/>
      <c r="U367" s="5"/>
      <c r="W367" s="5"/>
      <c r="X367" s="5"/>
      <c r="Y367" s="5"/>
      <c r="Z367" s="5"/>
      <c r="AQ367" s="5"/>
      <c r="AR367" s="5"/>
      <c r="AS367" s="5"/>
      <c r="AT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</row>
    <row r="368" spans="18:199" ht="12.75">
      <c r="R368" s="5"/>
      <c r="S368" s="5"/>
      <c r="T368" s="5"/>
      <c r="U368" s="5"/>
      <c r="W368" s="5"/>
      <c r="X368" s="5"/>
      <c r="Y368" s="5"/>
      <c r="Z368" s="5"/>
      <c r="AQ368" s="5"/>
      <c r="AR368" s="5"/>
      <c r="AS368" s="5"/>
      <c r="AT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</row>
    <row r="369" spans="18:199" ht="12.75">
      <c r="R369" s="5"/>
      <c r="S369" s="5"/>
      <c r="T369" s="5"/>
      <c r="U369" s="5"/>
      <c r="W369" s="5"/>
      <c r="X369" s="5"/>
      <c r="Y369" s="5"/>
      <c r="Z369" s="5"/>
      <c r="AQ369" s="5"/>
      <c r="AR369" s="5"/>
      <c r="AS369" s="5"/>
      <c r="AT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</row>
    <row r="370" spans="18:199" ht="12.75">
      <c r="R370" s="5"/>
      <c r="S370" s="5"/>
      <c r="T370" s="5"/>
      <c r="U370" s="5"/>
      <c r="W370" s="5"/>
      <c r="X370" s="5"/>
      <c r="Y370" s="5"/>
      <c r="Z370" s="5"/>
      <c r="AQ370" s="5"/>
      <c r="AR370" s="5"/>
      <c r="AS370" s="5"/>
      <c r="AT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</row>
    <row r="371" spans="18:199" ht="12.75">
      <c r="R371" s="5"/>
      <c r="S371" s="5"/>
      <c r="T371" s="5"/>
      <c r="U371" s="5"/>
      <c r="W371" s="5"/>
      <c r="X371" s="5"/>
      <c r="Y371" s="5"/>
      <c r="Z371" s="5"/>
      <c r="AQ371" s="5"/>
      <c r="AR371" s="5"/>
      <c r="AS371" s="5"/>
      <c r="AT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</row>
    <row r="372" spans="18:199" ht="12.75">
      <c r="R372" s="5"/>
      <c r="S372" s="5"/>
      <c r="T372" s="5"/>
      <c r="U372" s="5"/>
      <c r="W372" s="5"/>
      <c r="X372" s="5"/>
      <c r="Y372" s="5"/>
      <c r="Z372" s="5"/>
      <c r="AQ372" s="5"/>
      <c r="AR372" s="5"/>
      <c r="AS372" s="5"/>
      <c r="AT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</row>
    <row r="373" spans="18:199" ht="12.75">
      <c r="R373" s="5"/>
      <c r="S373" s="5"/>
      <c r="T373" s="5"/>
      <c r="U373" s="5"/>
      <c r="W373" s="5"/>
      <c r="X373" s="5"/>
      <c r="Y373" s="5"/>
      <c r="Z373" s="5"/>
      <c r="AQ373" s="5"/>
      <c r="AR373" s="5"/>
      <c r="AS373" s="5"/>
      <c r="AT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</row>
    <row r="374" spans="18:199" ht="12.75">
      <c r="R374" s="5"/>
      <c r="S374" s="5"/>
      <c r="T374" s="5"/>
      <c r="U374" s="5"/>
      <c r="W374" s="5"/>
      <c r="X374" s="5"/>
      <c r="Y374" s="5"/>
      <c r="Z374" s="5"/>
      <c r="AQ374" s="5"/>
      <c r="AR374" s="5"/>
      <c r="AS374" s="5"/>
      <c r="AT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</row>
    <row r="375" spans="18:199" ht="12.75">
      <c r="R375" s="5"/>
      <c r="S375" s="5"/>
      <c r="T375" s="5"/>
      <c r="U375" s="5"/>
      <c r="W375" s="5"/>
      <c r="X375" s="5"/>
      <c r="Y375" s="5"/>
      <c r="Z375" s="5"/>
      <c r="AQ375" s="5"/>
      <c r="AR375" s="5"/>
      <c r="AS375" s="5"/>
      <c r="AT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</row>
    <row r="376" spans="18:199" ht="12.75">
      <c r="R376" s="5"/>
      <c r="S376" s="5"/>
      <c r="T376" s="5"/>
      <c r="U376" s="5"/>
      <c r="W376" s="5"/>
      <c r="X376" s="5"/>
      <c r="Y376" s="5"/>
      <c r="Z376" s="5"/>
      <c r="AQ376" s="5"/>
      <c r="AR376" s="5"/>
      <c r="AS376" s="5"/>
      <c r="AT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</row>
    <row r="377" spans="18:199" ht="12.75">
      <c r="R377" s="5"/>
      <c r="S377" s="5"/>
      <c r="T377" s="5"/>
      <c r="U377" s="5"/>
      <c r="W377" s="5"/>
      <c r="X377" s="5"/>
      <c r="Y377" s="5"/>
      <c r="Z377" s="5"/>
      <c r="AQ377" s="5"/>
      <c r="AR377" s="5"/>
      <c r="AS377" s="5"/>
      <c r="AT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</row>
    <row r="378" spans="18:199" ht="12.75">
      <c r="R378" s="5"/>
      <c r="S378" s="5"/>
      <c r="T378" s="5"/>
      <c r="U378" s="5"/>
      <c r="W378" s="5"/>
      <c r="X378" s="5"/>
      <c r="Y378" s="5"/>
      <c r="Z378" s="5"/>
      <c r="AQ378" s="5"/>
      <c r="AR378" s="5"/>
      <c r="AS378" s="5"/>
      <c r="AT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</row>
    <row r="379" spans="18:199" ht="12.75">
      <c r="R379" s="5"/>
      <c r="S379" s="5"/>
      <c r="T379" s="5"/>
      <c r="U379" s="5"/>
      <c r="W379" s="5"/>
      <c r="X379" s="5"/>
      <c r="Y379" s="5"/>
      <c r="Z379" s="5"/>
      <c r="AQ379" s="5"/>
      <c r="AR379" s="5"/>
      <c r="AS379" s="5"/>
      <c r="AT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</row>
    <row r="380" spans="18:199" ht="12.75">
      <c r="R380" s="5"/>
      <c r="S380" s="5"/>
      <c r="T380" s="5"/>
      <c r="U380" s="5"/>
      <c r="W380" s="5"/>
      <c r="X380" s="5"/>
      <c r="Y380" s="5"/>
      <c r="Z380" s="5"/>
      <c r="AQ380" s="5"/>
      <c r="AR380" s="5"/>
      <c r="AS380" s="5"/>
      <c r="AT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</row>
    <row r="381" spans="18:199" ht="12.75">
      <c r="R381" s="5"/>
      <c r="S381" s="5"/>
      <c r="T381" s="5"/>
      <c r="U381" s="5"/>
      <c r="W381" s="5"/>
      <c r="X381" s="5"/>
      <c r="Y381" s="5"/>
      <c r="Z381" s="5"/>
      <c r="AQ381" s="5"/>
      <c r="AR381" s="5"/>
      <c r="AS381" s="5"/>
      <c r="AT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</row>
    <row r="382" spans="18:199" ht="12.75">
      <c r="R382" s="5"/>
      <c r="S382" s="5"/>
      <c r="T382" s="5"/>
      <c r="U382" s="5"/>
      <c r="W382" s="5"/>
      <c r="X382" s="5"/>
      <c r="Y382" s="5"/>
      <c r="Z382" s="5"/>
      <c r="AQ382" s="5"/>
      <c r="AR382" s="5"/>
      <c r="AS382" s="5"/>
      <c r="AT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</row>
    <row r="383" spans="18:199" ht="12.75">
      <c r="R383" s="5"/>
      <c r="S383" s="5"/>
      <c r="T383" s="5"/>
      <c r="U383" s="5"/>
      <c r="W383" s="5"/>
      <c r="X383" s="5"/>
      <c r="Y383" s="5"/>
      <c r="Z383" s="5"/>
      <c r="AQ383" s="5"/>
      <c r="AR383" s="5"/>
      <c r="AS383" s="5"/>
      <c r="AT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</row>
    <row r="384" spans="18:199" ht="12.75">
      <c r="R384" s="5"/>
      <c r="S384" s="5"/>
      <c r="T384" s="5"/>
      <c r="U384" s="5"/>
      <c r="W384" s="5"/>
      <c r="X384" s="5"/>
      <c r="Y384" s="5"/>
      <c r="Z384" s="5"/>
      <c r="AQ384" s="5"/>
      <c r="AR384" s="5"/>
      <c r="AS384" s="5"/>
      <c r="AT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</row>
    <row r="385" spans="18:199" ht="12.75">
      <c r="R385" s="5"/>
      <c r="S385" s="5"/>
      <c r="T385" s="5"/>
      <c r="U385" s="5"/>
      <c r="W385" s="5"/>
      <c r="X385" s="5"/>
      <c r="Y385" s="5"/>
      <c r="Z385" s="5"/>
      <c r="AQ385" s="5"/>
      <c r="AR385" s="5"/>
      <c r="AS385" s="5"/>
      <c r="AT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</row>
    <row r="386" spans="18:199" ht="12.75">
      <c r="R386" s="5"/>
      <c r="S386" s="5"/>
      <c r="T386" s="5"/>
      <c r="U386" s="5"/>
      <c r="W386" s="5"/>
      <c r="X386" s="5"/>
      <c r="Y386" s="5"/>
      <c r="Z386" s="5"/>
      <c r="AQ386" s="5"/>
      <c r="AR386" s="5"/>
      <c r="AS386" s="5"/>
      <c r="AT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</row>
    <row r="387" spans="18:199" ht="12.75">
      <c r="R387" s="5"/>
      <c r="S387" s="5"/>
      <c r="T387" s="5"/>
      <c r="U387" s="5"/>
      <c r="W387" s="5"/>
      <c r="X387" s="5"/>
      <c r="Y387" s="5"/>
      <c r="Z387" s="5"/>
      <c r="AQ387" s="5"/>
      <c r="AR387" s="5"/>
      <c r="AS387" s="5"/>
      <c r="AT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</row>
    <row r="388" spans="18:199" ht="12.75">
      <c r="R388" s="5"/>
      <c r="S388" s="5"/>
      <c r="T388" s="5"/>
      <c r="U388" s="5"/>
      <c r="W388" s="5"/>
      <c r="X388" s="5"/>
      <c r="Y388" s="5"/>
      <c r="Z388" s="5"/>
      <c r="AQ388" s="5"/>
      <c r="AR388" s="5"/>
      <c r="AS388" s="5"/>
      <c r="AT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</row>
    <row r="389" spans="18:199" ht="12.75">
      <c r="R389" s="5"/>
      <c r="S389" s="5"/>
      <c r="T389" s="5"/>
      <c r="U389" s="5"/>
      <c r="W389" s="5"/>
      <c r="X389" s="5"/>
      <c r="Y389" s="5"/>
      <c r="Z389" s="5"/>
      <c r="AQ389" s="5"/>
      <c r="AR389" s="5"/>
      <c r="AS389" s="5"/>
      <c r="AT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</row>
    <row r="390" spans="18:199" ht="12.75">
      <c r="R390" s="5"/>
      <c r="S390" s="5"/>
      <c r="T390" s="5"/>
      <c r="U390" s="5"/>
      <c r="W390" s="5"/>
      <c r="X390" s="5"/>
      <c r="Y390" s="5"/>
      <c r="Z390" s="5"/>
      <c r="AQ390" s="5"/>
      <c r="AR390" s="5"/>
      <c r="AS390" s="5"/>
      <c r="AT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</row>
    <row r="391" spans="18:199" ht="12.75">
      <c r="R391" s="5"/>
      <c r="S391" s="5"/>
      <c r="T391" s="5"/>
      <c r="U391" s="5"/>
      <c r="W391" s="5"/>
      <c r="X391" s="5"/>
      <c r="Y391" s="5"/>
      <c r="Z391" s="5"/>
      <c r="AQ391" s="5"/>
      <c r="AR391" s="5"/>
      <c r="AS391" s="5"/>
      <c r="AT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</row>
    <row r="392" spans="18:199" ht="12.75">
      <c r="R392" s="5"/>
      <c r="S392" s="5"/>
      <c r="T392" s="5"/>
      <c r="U392" s="5"/>
      <c r="W392" s="5"/>
      <c r="X392" s="5"/>
      <c r="Y392" s="5"/>
      <c r="Z392" s="5"/>
      <c r="AQ392" s="5"/>
      <c r="AR392" s="5"/>
      <c r="AS392" s="5"/>
      <c r="AT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</row>
    <row r="393" spans="18:199" ht="12.75">
      <c r="R393" s="5"/>
      <c r="S393" s="5"/>
      <c r="T393" s="5"/>
      <c r="U393" s="5"/>
      <c r="W393" s="5"/>
      <c r="X393" s="5"/>
      <c r="Y393" s="5"/>
      <c r="Z393" s="5"/>
      <c r="AQ393" s="5"/>
      <c r="AR393" s="5"/>
      <c r="AS393" s="5"/>
      <c r="AT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</row>
    <row r="394" spans="18:199" ht="12.75">
      <c r="R394" s="5"/>
      <c r="S394" s="5"/>
      <c r="T394" s="5"/>
      <c r="U394" s="5"/>
      <c r="W394" s="5"/>
      <c r="X394" s="5"/>
      <c r="Y394" s="5"/>
      <c r="Z394" s="5"/>
      <c r="AQ394" s="5"/>
      <c r="AR394" s="5"/>
      <c r="AS394" s="5"/>
      <c r="AT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</row>
    <row r="395" spans="18:199" ht="12.75">
      <c r="R395" s="5"/>
      <c r="S395" s="5"/>
      <c r="T395" s="5"/>
      <c r="U395" s="5"/>
      <c r="W395" s="5"/>
      <c r="X395" s="5"/>
      <c r="Y395" s="5"/>
      <c r="Z395" s="5"/>
      <c r="AQ395" s="5"/>
      <c r="AR395" s="5"/>
      <c r="AS395" s="5"/>
      <c r="AT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</row>
    <row r="396" spans="18:199" ht="12.75">
      <c r="R396" s="5"/>
      <c r="S396" s="5"/>
      <c r="T396" s="5"/>
      <c r="U396" s="5"/>
      <c r="W396" s="5"/>
      <c r="X396" s="5"/>
      <c r="Y396" s="5"/>
      <c r="Z396" s="5"/>
      <c r="AQ396" s="5"/>
      <c r="AR396" s="5"/>
      <c r="AS396" s="5"/>
      <c r="AT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</row>
    <row r="397" spans="18:199" ht="12.75">
      <c r="R397" s="5"/>
      <c r="S397" s="5"/>
      <c r="T397" s="5"/>
      <c r="U397" s="5"/>
      <c r="W397" s="5"/>
      <c r="X397" s="5"/>
      <c r="Y397" s="5"/>
      <c r="Z397" s="5"/>
      <c r="AQ397" s="5"/>
      <c r="AR397" s="5"/>
      <c r="AS397" s="5"/>
      <c r="AT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</row>
    <row r="398" spans="18:199" ht="12.75">
      <c r="R398" s="5"/>
      <c r="S398" s="5"/>
      <c r="T398" s="5"/>
      <c r="U398" s="5"/>
      <c r="W398" s="5"/>
      <c r="X398" s="5"/>
      <c r="Y398" s="5"/>
      <c r="Z398" s="5"/>
      <c r="AQ398" s="5"/>
      <c r="AR398" s="5"/>
      <c r="AS398" s="5"/>
      <c r="AT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</row>
    <row r="399" spans="18:199" ht="12.75">
      <c r="R399" s="5"/>
      <c r="S399" s="5"/>
      <c r="T399" s="5"/>
      <c r="U399" s="5"/>
      <c r="W399" s="5"/>
      <c r="X399" s="5"/>
      <c r="Y399" s="5"/>
      <c r="Z399" s="5"/>
      <c r="AQ399" s="5"/>
      <c r="AR399" s="5"/>
      <c r="AS399" s="5"/>
      <c r="AT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</row>
    <row r="400" spans="18:199" ht="12.75">
      <c r="R400" s="5"/>
      <c r="S400" s="5"/>
      <c r="T400" s="5"/>
      <c r="U400" s="5"/>
      <c r="W400" s="5"/>
      <c r="X400" s="5"/>
      <c r="Y400" s="5"/>
      <c r="Z400" s="5"/>
      <c r="AQ400" s="5"/>
      <c r="AR400" s="5"/>
      <c r="AS400" s="5"/>
      <c r="AT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</row>
    <row r="401" spans="18:199" ht="12.75">
      <c r="R401" s="5"/>
      <c r="S401" s="5"/>
      <c r="T401" s="5"/>
      <c r="U401" s="5"/>
      <c r="W401" s="5"/>
      <c r="X401" s="5"/>
      <c r="Y401" s="5"/>
      <c r="Z401" s="5"/>
      <c r="AQ401" s="5"/>
      <c r="AR401" s="5"/>
      <c r="AS401" s="5"/>
      <c r="AT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</row>
    <row r="402" spans="18:199" ht="12.75">
      <c r="R402" s="5"/>
      <c r="S402" s="5"/>
      <c r="T402" s="5"/>
      <c r="U402" s="5"/>
      <c r="W402" s="5"/>
      <c r="X402" s="5"/>
      <c r="Y402" s="5"/>
      <c r="Z402" s="5"/>
      <c r="AQ402" s="5"/>
      <c r="AR402" s="5"/>
      <c r="AS402" s="5"/>
      <c r="AT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</row>
    <row r="403" spans="18:199" ht="12.75">
      <c r="R403" s="5"/>
      <c r="S403" s="5"/>
      <c r="T403" s="5"/>
      <c r="U403" s="5"/>
      <c r="W403" s="5"/>
      <c r="X403" s="5"/>
      <c r="Y403" s="5"/>
      <c r="Z403" s="5"/>
      <c r="AQ403" s="5"/>
      <c r="AR403" s="5"/>
      <c r="AS403" s="5"/>
      <c r="AT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</row>
    <row r="404" spans="18:199" ht="12.75">
      <c r="R404" s="5"/>
      <c r="S404" s="5"/>
      <c r="T404" s="5"/>
      <c r="U404" s="5"/>
      <c r="W404" s="5"/>
      <c r="X404" s="5"/>
      <c r="Y404" s="5"/>
      <c r="Z404" s="5"/>
      <c r="AQ404" s="5"/>
      <c r="AR404" s="5"/>
      <c r="AS404" s="5"/>
      <c r="AT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</row>
    <row r="405" spans="18:199" ht="12.75">
      <c r="R405" s="5"/>
      <c r="S405" s="5"/>
      <c r="T405" s="5"/>
      <c r="U405" s="5"/>
      <c r="W405" s="5"/>
      <c r="X405" s="5"/>
      <c r="Y405" s="5"/>
      <c r="Z405" s="5"/>
      <c r="AQ405" s="5"/>
      <c r="AR405" s="5"/>
      <c r="AS405" s="5"/>
      <c r="AT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</row>
    <row r="406" spans="18:199" ht="12.75">
      <c r="R406" s="5"/>
      <c r="S406" s="5"/>
      <c r="T406" s="5"/>
      <c r="U406" s="5"/>
      <c r="W406" s="5"/>
      <c r="X406" s="5"/>
      <c r="Y406" s="5"/>
      <c r="Z406" s="5"/>
      <c r="AQ406" s="5"/>
      <c r="AR406" s="5"/>
      <c r="AS406" s="5"/>
      <c r="AT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</row>
    <row r="407" spans="18:199" ht="12.75">
      <c r="R407" s="5"/>
      <c r="S407" s="5"/>
      <c r="T407" s="5"/>
      <c r="U407" s="5"/>
      <c r="W407" s="5"/>
      <c r="X407" s="5"/>
      <c r="Y407" s="5"/>
      <c r="Z407" s="5"/>
      <c r="AQ407" s="5"/>
      <c r="AR407" s="5"/>
      <c r="AS407" s="5"/>
      <c r="AT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</row>
    <row r="408" spans="18:199" ht="12.75">
      <c r="R408" s="5"/>
      <c r="S408" s="5"/>
      <c r="T408" s="5"/>
      <c r="U408" s="5"/>
      <c r="W408" s="5"/>
      <c r="X408" s="5"/>
      <c r="Y408" s="5"/>
      <c r="Z408" s="5"/>
      <c r="AQ408" s="5"/>
      <c r="AR408" s="5"/>
      <c r="AS408" s="5"/>
      <c r="AT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</row>
    <row r="409" spans="18:199" ht="12.75">
      <c r="R409" s="5"/>
      <c r="S409" s="5"/>
      <c r="T409" s="5"/>
      <c r="U409" s="5"/>
      <c r="W409" s="5"/>
      <c r="X409" s="5"/>
      <c r="Y409" s="5"/>
      <c r="Z409" s="5"/>
      <c r="AQ409" s="5"/>
      <c r="AR409" s="5"/>
      <c r="AS409" s="5"/>
      <c r="AT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</row>
    <row r="410" spans="18:199" ht="12.75">
      <c r="R410" s="5"/>
      <c r="S410" s="5"/>
      <c r="T410" s="5"/>
      <c r="U410" s="5"/>
      <c r="W410" s="5"/>
      <c r="X410" s="5"/>
      <c r="Y410" s="5"/>
      <c r="Z410" s="5"/>
      <c r="AQ410" s="5"/>
      <c r="AR410" s="5"/>
      <c r="AS410" s="5"/>
      <c r="AT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</row>
    <row r="411" spans="18:199" ht="12.75">
      <c r="R411" s="5"/>
      <c r="S411" s="5"/>
      <c r="T411" s="5"/>
      <c r="U411" s="5"/>
      <c r="W411" s="5"/>
      <c r="X411" s="5"/>
      <c r="Y411" s="5"/>
      <c r="Z411" s="5"/>
      <c r="AQ411" s="5"/>
      <c r="AR411" s="5"/>
      <c r="AS411" s="5"/>
      <c r="AT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</row>
    <row r="412" spans="18:199" ht="12.75">
      <c r="R412" s="5"/>
      <c r="S412" s="5"/>
      <c r="T412" s="5"/>
      <c r="U412" s="5"/>
      <c r="W412" s="5"/>
      <c r="X412" s="5"/>
      <c r="Y412" s="5"/>
      <c r="Z412" s="5"/>
      <c r="AQ412" s="5"/>
      <c r="AR412" s="5"/>
      <c r="AS412" s="5"/>
      <c r="AT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</row>
    <row r="413" spans="18:199" ht="12.75">
      <c r="R413" s="5"/>
      <c r="S413" s="5"/>
      <c r="T413" s="5"/>
      <c r="U413" s="5"/>
      <c r="W413" s="5"/>
      <c r="X413" s="5"/>
      <c r="Y413" s="5"/>
      <c r="Z413" s="5"/>
      <c r="AQ413" s="5"/>
      <c r="AR413" s="5"/>
      <c r="AS413" s="5"/>
      <c r="AT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</row>
    <row r="414" spans="18:199" ht="12.75">
      <c r="R414" s="5"/>
      <c r="S414" s="5"/>
      <c r="T414" s="5"/>
      <c r="U414" s="5"/>
      <c r="W414" s="5"/>
      <c r="X414" s="5"/>
      <c r="Y414" s="5"/>
      <c r="Z414" s="5"/>
      <c r="AQ414" s="5"/>
      <c r="AR414" s="5"/>
      <c r="AS414" s="5"/>
      <c r="AT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</row>
    <row r="415" spans="18:199" ht="12.75">
      <c r="R415" s="5"/>
      <c r="S415" s="5"/>
      <c r="T415" s="5"/>
      <c r="U415" s="5"/>
      <c r="W415" s="5"/>
      <c r="X415" s="5"/>
      <c r="Y415" s="5"/>
      <c r="Z415" s="5"/>
      <c r="AQ415" s="5"/>
      <c r="AR415" s="5"/>
      <c r="AS415" s="5"/>
      <c r="AT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</row>
    <row r="416" spans="18:199" ht="12.75">
      <c r="R416" s="5"/>
      <c r="S416" s="5"/>
      <c r="T416" s="5"/>
      <c r="U416" s="5"/>
      <c r="W416" s="5"/>
      <c r="X416" s="5"/>
      <c r="Y416" s="5"/>
      <c r="Z416" s="5"/>
      <c r="AQ416" s="5"/>
      <c r="AR416" s="5"/>
      <c r="AS416" s="5"/>
      <c r="AT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</row>
    <row r="417" spans="18:199" ht="12.75">
      <c r="R417" s="5"/>
      <c r="S417" s="5"/>
      <c r="T417" s="5"/>
      <c r="U417" s="5"/>
      <c r="W417" s="5"/>
      <c r="X417" s="5"/>
      <c r="Y417" s="5"/>
      <c r="Z417" s="5"/>
      <c r="AQ417" s="5"/>
      <c r="AR417" s="5"/>
      <c r="AS417" s="5"/>
      <c r="AT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</row>
    <row r="418" spans="18:199" ht="12.75">
      <c r="R418" s="5"/>
      <c r="S418" s="5"/>
      <c r="T418" s="5"/>
      <c r="U418" s="5"/>
      <c r="W418" s="5"/>
      <c r="X418" s="5"/>
      <c r="Y418" s="5"/>
      <c r="Z418" s="5"/>
      <c r="AQ418" s="5"/>
      <c r="AR418" s="5"/>
      <c r="AS418" s="5"/>
      <c r="AT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</row>
    <row r="419" spans="18:199" ht="12.75">
      <c r="R419" s="5"/>
      <c r="S419" s="5"/>
      <c r="T419" s="5"/>
      <c r="U419" s="5"/>
      <c r="W419" s="5"/>
      <c r="X419" s="5"/>
      <c r="Y419" s="5"/>
      <c r="Z419" s="5"/>
      <c r="AQ419" s="5"/>
      <c r="AR419" s="5"/>
      <c r="AS419" s="5"/>
      <c r="AT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</row>
    <row r="420" spans="18:199" ht="12.75">
      <c r="R420" s="5"/>
      <c r="S420" s="5"/>
      <c r="T420" s="5"/>
      <c r="U420" s="5"/>
      <c r="W420" s="5"/>
      <c r="X420" s="5"/>
      <c r="Y420" s="5"/>
      <c r="Z420" s="5"/>
      <c r="AQ420" s="5"/>
      <c r="AR420" s="5"/>
      <c r="AS420" s="5"/>
      <c r="AT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</row>
    <row r="421" spans="18:199" ht="12.75">
      <c r="R421" s="5"/>
      <c r="S421" s="5"/>
      <c r="T421" s="5"/>
      <c r="U421" s="5"/>
      <c r="W421" s="5"/>
      <c r="X421" s="5"/>
      <c r="Y421" s="5"/>
      <c r="Z421" s="5"/>
      <c r="AQ421" s="5"/>
      <c r="AR421" s="5"/>
      <c r="AS421" s="5"/>
      <c r="AT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</row>
    <row r="422" spans="18:199" ht="12.75">
      <c r="R422" s="5"/>
      <c r="S422" s="5"/>
      <c r="T422" s="5"/>
      <c r="U422" s="5"/>
      <c r="W422" s="5"/>
      <c r="X422" s="5"/>
      <c r="Y422" s="5"/>
      <c r="Z422" s="5"/>
      <c r="AQ422" s="5"/>
      <c r="AR422" s="5"/>
      <c r="AS422" s="5"/>
      <c r="AT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</row>
    <row r="423" spans="18:199" ht="12.75">
      <c r="R423" s="5"/>
      <c r="S423" s="5"/>
      <c r="T423" s="5"/>
      <c r="U423" s="5"/>
      <c r="W423" s="5"/>
      <c r="X423" s="5"/>
      <c r="Y423" s="5"/>
      <c r="Z423" s="5"/>
      <c r="AQ423" s="5"/>
      <c r="AR423" s="5"/>
      <c r="AS423" s="5"/>
      <c r="AT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</row>
    <row r="424" spans="18:199" ht="12.75">
      <c r="R424" s="5"/>
      <c r="S424" s="5"/>
      <c r="T424" s="5"/>
      <c r="U424" s="5"/>
      <c r="W424" s="5"/>
      <c r="X424" s="5"/>
      <c r="Y424" s="5"/>
      <c r="Z424" s="5"/>
      <c r="AQ424" s="5"/>
      <c r="AR424" s="5"/>
      <c r="AS424" s="5"/>
      <c r="AT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</row>
    <row r="425" spans="18:199" ht="12.75">
      <c r="R425" s="5"/>
      <c r="S425" s="5"/>
      <c r="T425" s="5"/>
      <c r="U425" s="5"/>
      <c r="W425" s="5"/>
      <c r="X425" s="5"/>
      <c r="Y425" s="5"/>
      <c r="Z425" s="5"/>
      <c r="AQ425" s="5"/>
      <c r="AR425" s="5"/>
      <c r="AS425" s="5"/>
      <c r="AT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</row>
    <row r="426" spans="18:199" ht="12.75">
      <c r="R426" s="5"/>
      <c r="S426" s="5"/>
      <c r="T426" s="5"/>
      <c r="U426" s="5"/>
      <c r="W426" s="5"/>
      <c r="X426" s="5"/>
      <c r="Y426" s="5"/>
      <c r="Z426" s="5"/>
      <c r="AQ426" s="5"/>
      <c r="AR426" s="5"/>
      <c r="AS426" s="5"/>
      <c r="AT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</row>
    <row r="427" spans="18:199" ht="12.75">
      <c r="R427" s="5"/>
      <c r="S427" s="5"/>
      <c r="T427" s="5"/>
      <c r="U427" s="5"/>
      <c r="W427" s="5"/>
      <c r="X427" s="5"/>
      <c r="Y427" s="5"/>
      <c r="Z427" s="5"/>
      <c r="AQ427" s="5"/>
      <c r="AR427" s="5"/>
      <c r="AS427" s="5"/>
      <c r="AT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</row>
    <row r="428" spans="18:199" ht="12.75">
      <c r="R428" s="5"/>
      <c r="S428" s="5"/>
      <c r="T428" s="5"/>
      <c r="U428" s="5"/>
      <c r="W428" s="5"/>
      <c r="X428" s="5"/>
      <c r="Y428" s="5"/>
      <c r="Z428" s="5"/>
      <c r="AQ428" s="5"/>
      <c r="AR428" s="5"/>
      <c r="AS428" s="5"/>
      <c r="AT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</row>
    <row r="429" spans="18:199" ht="12.75">
      <c r="R429" s="5"/>
      <c r="S429" s="5"/>
      <c r="T429" s="5"/>
      <c r="U429" s="5"/>
      <c r="W429" s="5"/>
      <c r="X429" s="5"/>
      <c r="Y429" s="5"/>
      <c r="Z429" s="5"/>
      <c r="AQ429" s="5"/>
      <c r="AR429" s="5"/>
      <c r="AS429" s="5"/>
      <c r="AT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</row>
    <row r="430" spans="18:199" ht="12.75">
      <c r="R430" s="5"/>
      <c r="S430" s="5"/>
      <c r="T430" s="5"/>
      <c r="U430" s="5"/>
      <c r="W430" s="5"/>
      <c r="X430" s="5"/>
      <c r="Y430" s="5"/>
      <c r="Z430" s="5"/>
      <c r="AQ430" s="5"/>
      <c r="AR430" s="5"/>
      <c r="AS430" s="5"/>
      <c r="AT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</row>
    <row r="431" spans="18:199" ht="12.75">
      <c r="R431" s="5"/>
      <c r="S431" s="5"/>
      <c r="T431" s="5"/>
      <c r="U431" s="5"/>
      <c r="W431" s="5"/>
      <c r="X431" s="5"/>
      <c r="Y431" s="5"/>
      <c r="Z431" s="5"/>
      <c r="AQ431" s="5"/>
      <c r="AR431" s="5"/>
      <c r="AS431" s="5"/>
      <c r="AT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</row>
    <row r="432" spans="18:199" ht="12.75">
      <c r="R432" s="5"/>
      <c r="S432" s="5"/>
      <c r="T432" s="5"/>
      <c r="U432" s="5"/>
      <c r="W432" s="5"/>
      <c r="X432" s="5"/>
      <c r="Y432" s="5"/>
      <c r="Z432" s="5"/>
      <c r="AQ432" s="5"/>
      <c r="AR432" s="5"/>
      <c r="AS432" s="5"/>
      <c r="AT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</row>
    <row r="433" spans="18:199" ht="12.75">
      <c r="R433" s="5"/>
      <c r="S433" s="5"/>
      <c r="T433" s="5"/>
      <c r="U433" s="5"/>
      <c r="W433" s="5"/>
      <c r="X433" s="5"/>
      <c r="Y433" s="5"/>
      <c r="Z433" s="5"/>
      <c r="AQ433" s="5"/>
      <c r="AR433" s="5"/>
      <c r="AS433" s="5"/>
      <c r="AT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</row>
    <row r="434" spans="18:199" ht="12.75">
      <c r="R434" s="5"/>
      <c r="S434" s="5"/>
      <c r="T434" s="5"/>
      <c r="U434" s="5"/>
      <c r="W434" s="5"/>
      <c r="X434" s="5"/>
      <c r="Y434" s="5"/>
      <c r="Z434" s="5"/>
      <c r="AQ434" s="5"/>
      <c r="AR434" s="5"/>
      <c r="AS434" s="5"/>
      <c r="AT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</row>
    <row r="435" spans="18:199" ht="12.75">
      <c r="R435" s="5"/>
      <c r="S435" s="5"/>
      <c r="T435" s="5"/>
      <c r="U435" s="5"/>
      <c r="W435" s="5"/>
      <c r="X435" s="5"/>
      <c r="Y435" s="5"/>
      <c r="Z435" s="5"/>
      <c r="AQ435" s="5"/>
      <c r="AR435" s="5"/>
      <c r="AS435" s="5"/>
      <c r="AT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</row>
    <row r="436" spans="18:199" ht="12.75">
      <c r="R436" s="5"/>
      <c r="S436" s="5"/>
      <c r="T436" s="5"/>
      <c r="U436" s="5"/>
      <c r="W436" s="5"/>
      <c r="X436" s="5"/>
      <c r="Y436" s="5"/>
      <c r="Z436" s="5"/>
      <c r="AQ436" s="5"/>
      <c r="AR436" s="5"/>
      <c r="AS436" s="5"/>
      <c r="AT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</row>
    <row r="437" spans="18:199" ht="12.75">
      <c r="R437" s="5"/>
      <c r="S437" s="5"/>
      <c r="T437" s="5"/>
      <c r="U437" s="5"/>
      <c r="W437" s="5"/>
      <c r="X437" s="5"/>
      <c r="Y437" s="5"/>
      <c r="Z437" s="5"/>
      <c r="AQ437" s="5"/>
      <c r="AR437" s="5"/>
      <c r="AS437" s="5"/>
      <c r="AT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</row>
    <row r="438" spans="18:199" ht="12.75">
      <c r="R438" s="5"/>
      <c r="S438" s="5"/>
      <c r="T438" s="5"/>
      <c r="U438" s="5"/>
      <c r="W438" s="5"/>
      <c r="X438" s="5"/>
      <c r="Y438" s="5"/>
      <c r="Z438" s="5"/>
      <c r="AQ438" s="5"/>
      <c r="AR438" s="5"/>
      <c r="AS438" s="5"/>
      <c r="AT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</row>
    <row r="439" spans="18:199" ht="12.75">
      <c r="R439" s="5"/>
      <c r="S439" s="5"/>
      <c r="T439" s="5"/>
      <c r="U439" s="5"/>
      <c r="W439" s="5"/>
      <c r="X439" s="5"/>
      <c r="Y439" s="5"/>
      <c r="Z439" s="5"/>
      <c r="AQ439" s="5"/>
      <c r="AR439" s="5"/>
      <c r="AS439" s="5"/>
      <c r="AT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</row>
    <row r="440" spans="18:199" ht="12.75">
      <c r="R440" s="5"/>
      <c r="S440" s="5"/>
      <c r="T440" s="5"/>
      <c r="U440" s="5"/>
      <c r="W440" s="5"/>
      <c r="X440" s="5"/>
      <c r="Y440" s="5"/>
      <c r="Z440" s="5"/>
      <c r="AQ440" s="5"/>
      <c r="AR440" s="5"/>
      <c r="AS440" s="5"/>
      <c r="AT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</row>
    <row r="441" spans="18:199" ht="12.75">
      <c r="R441" s="5"/>
      <c r="S441" s="5"/>
      <c r="T441" s="5"/>
      <c r="U441" s="5"/>
      <c r="W441" s="5"/>
      <c r="X441" s="5"/>
      <c r="Y441" s="5"/>
      <c r="Z441" s="5"/>
      <c r="AQ441" s="5"/>
      <c r="AR441" s="5"/>
      <c r="AS441" s="5"/>
      <c r="AT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</row>
    <row r="442" spans="18:199" ht="12.75">
      <c r="R442" s="5"/>
      <c r="S442" s="5"/>
      <c r="T442" s="5"/>
      <c r="U442" s="5"/>
      <c r="W442" s="5"/>
      <c r="X442" s="5"/>
      <c r="Y442" s="5"/>
      <c r="Z442" s="5"/>
      <c r="AQ442" s="5"/>
      <c r="AR442" s="5"/>
      <c r="AS442" s="5"/>
      <c r="AT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</row>
    <row r="443" spans="18:199" ht="12.75">
      <c r="R443" s="5"/>
      <c r="S443" s="5"/>
      <c r="T443" s="5"/>
      <c r="U443" s="5"/>
      <c r="W443" s="5"/>
      <c r="X443" s="5"/>
      <c r="Y443" s="5"/>
      <c r="Z443" s="5"/>
      <c r="AQ443" s="5"/>
      <c r="AR443" s="5"/>
      <c r="AS443" s="5"/>
      <c r="AT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</row>
    <row r="444" spans="18:199" ht="12.75">
      <c r="R444" s="5"/>
      <c r="S444" s="5"/>
      <c r="T444" s="5"/>
      <c r="U444" s="5"/>
      <c r="W444" s="5"/>
      <c r="X444" s="5"/>
      <c r="Y444" s="5"/>
      <c r="Z444" s="5"/>
      <c r="AQ444" s="5"/>
      <c r="AR444" s="5"/>
      <c r="AS444" s="5"/>
      <c r="AT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</row>
    <row r="445" spans="18:199" ht="12.75">
      <c r="R445" s="5"/>
      <c r="S445" s="5"/>
      <c r="T445" s="5"/>
      <c r="U445" s="5"/>
      <c r="W445" s="5"/>
      <c r="X445" s="5"/>
      <c r="Y445" s="5"/>
      <c r="Z445" s="5"/>
      <c r="AQ445" s="5"/>
      <c r="AR445" s="5"/>
      <c r="AS445" s="5"/>
      <c r="AT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</row>
    <row r="446" spans="18:199" ht="12.75">
      <c r="R446" s="5"/>
      <c r="S446" s="5"/>
      <c r="T446" s="5"/>
      <c r="U446" s="5"/>
      <c r="W446" s="5"/>
      <c r="X446" s="5"/>
      <c r="Y446" s="5"/>
      <c r="Z446" s="5"/>
      <c r="AQ446" s="5"/>
      <c r="AR446" s="5"/>
      <c r="AS446" s="5"/>
      <c r="AT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</row>
    <row r="447" spans="18:199" ht="12.75">
      <c r="R447" s="5"/>
      <c r="S447" s="5"/>
      <c r="T447" s="5"/>
      <c r="U447" s="5"/>
      <c r="W447" s="5"/>
      <c r="X447" s="5"/>
      <c r="Y447" s="5"/>
      <c r="Z447" s="5"/>
      <c r="AQ447" s="5"/>
      <c r="AR447" s="5"/>
      <c r="AS447" s="5"/>
      <c r="AT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</row>
    <row r="448" spans="18:199" ht="12.75">
      <c r="R448" s="5"/>
      <c r="S448" s="5"/>
      <c r="T448" s="5"/>
      <c r="U448" s="5"/>
      <c r="W448" s="5"/>
      <c r="X448" s="5"/>
      <c r="Y448" s="5"/>
      <c r="Z448" s="5"/>
      <c r="AQ448" s="5"/>
      <c r="AR448" s="5"/>
      <c r="AS448" s="5"/>
      <c r="AT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</row>
    <row r="449" spans="18:199" ht="12.75">
      <c r="R449" s="5"/>
      <c r="S449" s="5"/>
      <c r="T449" s="5"/>
      <c r="U449" s="5"/>
      <c r="W449" s="5"/>
      <c r="X449" s="5"/>
      <c r="Y449" s="5"/>
      <c r="Z449" s="5"/>
      <c r="AQ449" s="5"/>
      <c r="AR449" s="5"/>
      <c r="AS449" s="5"/>
      <c r="AT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</row>
    <row r="450" spans="18:199" ht="12.75">
      <c r="R450" s="5"/>
      <c r="S450" s="5"/>
      <c r="T450" s="5"/>
      <c r="U450" s="5"/>
      <c r="W450" s="5"/>
      <c r="X450" s="5"/>
      <c r="Y450" s="5"/>
      <c r="Z450" s="5"/>
      <c r="AQ450" s="5"/>
      <c r="AR450" s="5"/>
      <c r="AS450" s="5"/>
      <c r="AT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</row>
    <row r="451" spans="18:199" ht="12.75">
      <c r="R451" s="5"/>
      <c r="S451" s="5"/>
      <c r="T451" s="5"/>
      <c r="U451" s="5"/>
      <c r="W451" s="5"/>
      <c r="X451" s="5"/>
      <c r="Y451" s="5"/>
      <c r="Z451" s="5"/>
      <c r="AQ451" s="5"/>
      <c r="AR451" s="5"/>
      <c r="AS451" s="5"/>
      <c r="AT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</row>
    <row r="452" spans="18:199" ht="12.75">
      <c r="R452" s="5"/>
      <c r="S452" s="5"/>
      <c r="T452" s="5"/>
      <c r="U452" s="5"/>
      <c r="W452" s="5"/>
      <c r="X452" s="5"/>
      <c r="Y452" s="5"/>
      <c r="Z452" s="5"/>
      <c r="AQ452" s="5"/>
      <c r="AR452" s="5"/>
      <c r="AS452" s="5"/>
      <c r="AT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</row>
    <row r="453" spans="18:199" ht="12.75">
      <c r="R453" s="5"/>
      <c r="S453" s="5"/>
      <c r="T453" s="5"/>
      <c r="U453" s="5"/>
      <c r="W453" s="5"/>
      <c r="X453" s="5"/>
      <c r="Y453" s="5"/>
      <c r="Z453" s="5"/>
      <c r="AQ453" s="5"/>
      <c r="AR453" s="5"/>
      <c r="AS453" s="5"/>
      <c r="AT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</row>
    <row r="454" spans="18:199" ht="12.75">
      <c r="R454" s="5"/>
      <c r="S454" s="5"/>
      <c r="T454" s="5"/>
      <c r="U454" s="5"/>
      <c r="W454" s="5"/>
      <c r="X454" s="5"/>
      <c r="Y454" s="5"/>
      <c r="Z454" s="5"/>
      <c r="AQ454" s="5"/>
      <c r="AR454" s="5"/>
      <c r="AS454" s="5"/>
      <c r="AT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</row>
    <row r="455" spans="18:199" ht="12.75">
      <c r="R455" s="5"/>
      <c r="S455" s="5"/>
      <c r="T455" s="5"/>
      <c r="U455" s="5"/>
      <c r="W455" s="5"/>
      <c r="X455" s="5"/>
      <c r="Y455" s="5"/>
      <c r="Z455" s="5"/>
      <c r="AQ455" s="5"/>
      <c r="AR455" s="5"/>
      <c r="AS455" s="5"/>
      <c r="AT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</row>
    <row r="456" spans="18:199" ht="12.75">
      <c r="R456" s="5"/>
      <c r="S456" s="5"/>
      <c r="T456" s="5"/>
      <c r="U456" s="5"/>
      <c r="W456" s="5"/>
      <c r="X456" s="5"/>
      <c r="Y456" s="5"/>
      <c r="Z456" s="5"/>
      <c r="AQ456" s="5"/>
      <c r="AR456" s="5"/>
      <c r="AS456" s="5"/>
      <c r="AT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</row>
    <row r="457" spans="18:199" ht="12.75">
      <c r="R457" s="5"/>
      <c r="S457" s="5"/>
      <c r="T457" s="5"/>
      <c r="U457" s="5"/>
      <c r="W457" s="5"/>
      <c r="X457" s="5"/>
      <c r="Y457" s="5"/>
      <c r="Z457" s="5"/>
      <c r="AQ457" s="5"/>
      <c r="AR457" s="5"/>
      <c r="AS457" s="5"/>
      <c r="AT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</row>
    <row r="458" spans="18:199" ht="12.75">
      <c r="R458" s="5"/>
      <c r="S458" s="5"/>
      <c r="T458" s="5"/>
      <c r="U458" s="5"/>
      <c r="W458" s="5"/>
      <c r="X458" s="5"/>
      <c r="Y458" s="5"/>
      <c r="Z458" s="5"/>
      <c r="AQ458" s="5"/>
      <c r="AR458" s="5"/>
      <c r="AS458" s="5"/>
      <c r="AT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</row>
    <row r="459" spans="18:199" ht="12.75">
      <c r="R459" s="5"/>
      <c r="S459" s="5"/>
      <c r="T459" s="5"/>
      <c r="U459" s="5"/>
      <c r="W459" s="5"/>
      <c r="X459" s="5"/>
      <c r="Y459" s="5"/>
      <c r="Z459" s="5"/>
      <c r="AQ459" s="5"/>
      <c r="AR459" s="5"/>
      <c r="AS459" s="5"/>
      <c r="AT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</row>
    <row r="460" spans="18:199" ht="12.75">
      <c r="R460" s="5"/>
      <c r="S460" s="5"/>
      <c r="T460" s="5"/>
      <c r="U460" s="5"/>
      <c r="W460" s="5"/>
      <c r="X460" s="5"/>
      <c r="Y460" s="5"/>
      <c r="Z460" s="5"/>
      <c r="AQ460" s="5"/>
      <c r="AR460" s="5"/>
      <c r="AS460" s="5"/>
      <c r="AT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</row>
    <row r="461" spans="18:199" ht="12.75">
      <c r="R461" s="5"/>
      <c r="S461" s="5"/>
      <c r="T461" s="5"/>
      <c r="U461" s="5"/>
      <c r="W461" s="5"/>
      <c r="X461" s="5"/>
      <c r="Y461" s="5"/>
      <c r="Z461" s="5"/>
      <c r="AQ461" s="5"/>
      <c r="AR461" s="5"/>
      <c r="AS461" s="5"/>
      <c r="AT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</row>
    <row r="462" spans="18:199" ht="12.75">
      <c r="R462" s="5"/>
      <c r="S462" s="5"/>
      <c r="T462" s="5"/>
      <c r="U462" s="5"/>
      <c r="W462" s="5"/>
      <c r="X462" s="5"/>
      <c r="Y462" s="5"/>
      <c r="Z462" s="5"/>
      <c r="AQ462" s="5"/>
      <c r="AR462" s="5"/>
      <c r="AS462" s="5"/>
      <c r="AT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</row>
    <row r="463" spans="18:199" ht="12.75">
      <c r="R463" s="5"/>
      <c r="S463" s="5"/>
      <c r="T463" s="5"/>
      <c r="U463" s="5"/>
      <c r="W463" s="5"/>
      <c r="X463" s="5"/>
      <c r="Y463" s="5"/>
      <c r="Z463" s="5"/>
      <c r="AQ463" s="5"/>
      <c r="AR463" s="5"/>
      <c r="AS463" s="5"/>
      <c r="AT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</row>
    <row r="464" spans="18:199" ht="12.75">
      <c r="R464" s="5"/>
      <c r="S464" s="5"/>
      <c r="T464" s="5"/>
      <c r="U464" s="5"/>
      <c r="W464" s="5"/>
      <c r="X464" s="5"/>
      <c r="Y464" s="5"/>
      <c r="Z464" s="5"/>
      <c r="AQ464" s="5"/>
      <c r="AR464" s="5"/>
      <c r="AS464" s="5"/>
      <c r="AT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</row>
    <row r="465" spans="18:199" ht="12.75">
      <c r="R465" s="5"/>
      <c r="S465" s="5"/>
      <c r="T465" s="5"/>
      <c r="U465" s="5"/>
      <c r="W465" s="5"/>
      <c r="X465" s="5"/>
      <c r="Y465" s="5"/>
      <c r="Z465" s="5"/>
      <c r="AQ465" s="5"/>
      <c r="AR465" s="5"/>
      <c r="AS465" s="5"/>
      <c r="AT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</row>
    <row r="466" spans="18:199" ht="12.75">
      <c r="R466" s="5"/>
      <c r="S466" s="5"/>
      <c r="T466" s="5"/>
      <c r="U466" s="5"/>
      <c r="W466" s="5"/>
      <c r="X466" s="5"/>
      <c r="Y466" s="5"/>
      <c r="Z466" s="5"/>
      <c r="AQ466" s="5"/>
      <c r="AR466" s="5"/>
      <c r="AS466" s="5"/>
      <c r="AT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</row>
    <row r="467" spans="18:199" ht="12.75">
      <c r="R467" s="5"/>
      <c r="S467" s="5"/>
      <c r="T467" s="5"/>
      <c r="U467" s="5"/>
      <c r="W467" s="5"/>
      <c r="X467" s="5"/>
      <c r="Y467" s="5"/>
      <c r="Z467" s="5"/>
      <c r="AQ467" s="5"/>
      <c r="AR467" s="5"/>
      <c r="AS467" s="5"/>
      <c r="AT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</row>
    <row r="468" spans="18:199" ht="12.75">
      <c r="R468" s="5"/>
      <c r="S468" s="5"/>
      <c r="T468" s="5"/>
      <c r="U468" s="5"/>
      <c r="W468" s="5"/>
      <c r="X468" s="5"/>
      <c r="Y468" s="5"/>
      <c r="Z468" s="5"/>
      <c r="AQ468" s="5"/>
      <c r="AR468" s="5"/>
      <c r="AS468" s="5"/>
      <c r="AT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</row>
    <row r="469" spans="18:199" ht="12.75">
      <c r="R469" s="5"/>
      <c r="S469" s="5"/>
      <c r="T469" s="5"/>
      <c r="U469" s="5"/>
      <c r="W469" s="5"/>
      <c r="X469" s="5"/>
      <c r="Y469" s="5"/>
      <c r="Z469" s="5"/>
      <c r="AQ469" s="5"/>
      <c r="AR469" s="5"/>
      <c r="AS469" s="5"/>
      <c r="AT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</row>
    <row r="470" spans="18:199" ht="12.75">
      <c r="R470" s="5"/>
      <c r="S470" s="5"/>
      <c r="T470" s="5"/>
      <c r="U470" s="5"/>
      <c r="W470" s="5"/>
      <c r="X470" s="5"/>
      <c r="Y470" s="5"/>
      <c r="Z470" s="5"/>
      <c r="AQ470" s="5"/>
      <c r="AR470" s="5"/>
      <c r="AS470" s="5"/>
      <c r="AT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</row>
    <row r="471" spans="18:199" ht="12.75">
      <c r="R471" s="5"/>
      <c r="S471" s="5"/>
      <c r="T471" s="5"/>
      <c r="U471" s="5"/>
      <c r="W471" s="5"/>
      <c r="X471" s="5"/>
      <c r="Y471" s="5"/>
      <c r="Z471" s="5"/>
      <c r="AQ471" s="5"/>
      <c r="AR471" s="5"/>
      <c r="AS471" s="5"/>
      <c r="AT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</row>
    <row r="472" spans="18:199" ht="12.75">
      <c r="R472" s="5"/>
      <c r="S472" s="5"/>
      <c r="T472" s="5"/>
      <c r="U472" s="5"/>
      <c r="W472" s="5"/>
      <c r="X472" s="5"/>
      <c r="Y472" s="5"/>
      <c r="Z472" s="5"/>
      <c r="AQ472" s="5"/>
      <c r="AR472" s="5"/>
      <c r="AS472" s="5"/>
      <c r="AT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</row>
    <row r="473" spans="18:199" ht="12.75">
      <c r="R473" s="5"/>
      <c r="S473" s="5"/>
      <c r="T473" s="5"/>
      <c r="U473" s="5"/>
      <c r="W473" s="5"/>
      <c r="X473" s="5"/>
      <c r="Y473" s="5"/>
      <c r="Z473" s="5"/>
      <c r="AQ473" s="5"/>
      <c r="AR473" s="5"/>
      <c r="AS473" s="5"/>
      <c r="AT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</row>
    <row r="474" spans="18:199" ht="12.75">
      <c r="R474" s="5"/>
      <c r="S474" s="5"/>
      <c r="T474" s="5"/>
      <c r="U474" s="5"/>
      <c r="W474" s="5"/>
      <c r="X474" s="5"/>
      <c r="Y474" s="5"/>
      <c r="Z474" s="5"/>
      <c r="AQ474" s="5"/>
      <c r="AR474" s="5"/>
      <c r="AS474" s="5"/>
      <c r="AT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</row>
    <row r="475" spans="18:199" ht="12.75">
      <c r="R475" s="5"/>
      <c r="S475" s="5"/>
      <c r="T475" s="5"/>
      <c r="U475" s="5"/>
      <c r="W475" s="5"/>
      <c r="X475" s="5"/>
      <c r="Y475" s="5"/>
      <c r="Z475" s="5"/>
      <c r="AQ475" s="5"/>
      <c r="AR475" s="5"/>
      <c r="AS475" s="5"/>
      <c r="AT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</row>
    <row r="476" spans="18:199" ht="12.75">
      <c r="R476" s="5"/>
      <c r="S476" s="5"/>
      <c r="T476" s="5"/>
      <c r="U476" s="5"/>
      <c r="W476" s="5"/>
      <c r="X476" s="5"/>
      <c r="Y476" s="5"/>
      <c r="Z476" s="5"/>
      <c r="AQ476" s="5"/>
      <c r="AR476" s="5"/>
      <c r="AS476" s="5"/>
      <c r="AT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</row>
    <row r="477" spans="18:199" ht="12.75">
      <c r="R477" s="5"/>
      <c r="S477" s="5"/>
      <c r="T477" s="5"/>
      <c r="U477" s="5"/>
      <c r="W477" s="5"/>
      <c r="X477" s="5"/>
      <c r="Y477" s="5"/>
      <c r="Z477" s="5"/>
      <c r="AQ477" s="5"/>
      <c r="AR477" s="5"/>
      <c r="AS477" s="5"/>
      <c r="AT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</row>
    <row r="478" spans="18:199" ht="12.75">
      <c r="R478" s="5"/>
      <c r="S478" s="5"/>
      <c r="T478" s="5"/>
      <c r="U478" s="5"/>
      <c r="W478" s="5"/>
      <c r="X478" s="5"/>
      <c r="Y478" s="5"/>
      <c r="Z478" s="5"/>
      <c r="AQ478" s="5"/>
      <c r="AR478" s="5"/>
      <c r="AS478" s="5"/>
      <c r="AT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</row>
    <row r="479" spans="18:199" ht="12.75">
      <c r="R479" s="5"/>
      <c r="S479" s="5"/>
      <c r="T479" s="5"/>
      <c r="U479" s="5"/>
      <c r="W479" s="5"/>
      <c r="X479" s="5"/>
      <c r="Y479" s="5"/>
      <c r="Z479" s="5"/>
      <c r="AQ479" s="5"/>
      <c r="AR479" s="5"/>
      <c r="AS479" s="5"/>
      <c r="AT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</row>
    <row r="480" spans="18:199" ht="12.75">
      <c r="R480" s="5"/>
      <c r="S480" s="5"/>
      <c r="T480" s="5"/>
      <c r="U480" s="5"/>
      <c r="W480" s="5"/>
      <c r="X480" s="5"/>
      <c r="Y480" s="5"/>
      <c r="Z480" s="5"/>
      <c r="AQ480" s="5"/>
      <c r="AR480" s="5"/>
      <c r="AS480" s="5"/>
      <c r="AT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</row>
    <row r="481" spans="18:199" ht="12.75">
      <c r="R481" s="5"/>
      <c r="S481" s="5"/>
      <c r="T481" s="5"/>
      <c r="U481" s="5"/>
      <c r="W481" s="5"/>
      <c r="X481" s="5"/>
      <c r="Y481" s="5"/>
      <c r="Z481" s="5"/>
      <c r="AQ481" s="5"/>
      <c r="AR481" s="5"/>
      <c r="AS481" s="5"/>
      <c r="AT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</row>
    <row r="482" spans="18:199" ht="12.75">
      <c r="R482" s="5"/>
      <c r="S482" s="5"/>
      <c r="T482" s="5"/>
      <c r="U482" s="5"/>
      <c r="W482" s="5"/>
      <c r="X482" s="5"/>
      <c r="Y482" s="5"/>
      <c r="Z482" s="5"/>
      <c r="AQ482" s="5"/>
      <c r="AR482" s="5"/>
      <c r="AS482" s="5"/>
      <c r="AT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</row>
    <row r="483" spans="18:199" ht="12.75">
      <c r="R483" s="5"/>
      <c r="S483" s="5"/>
      <c r="T483" s="5"/>
      <c r="U483" s="5"/>
      <c r="W483" s="5"/>
      <c r="X483" s="5"/>
      <c r="Y483" s="5"/>
      <c r="Z483" s="5"/>
      <c r="AQ483" s="5"/>
      <c r="AR483" s="5"/>
      <c r="AS483" s="5"/>
      <c r="AT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</row>
    <row r="484" spans="18:199" ht="12.75">
      <c r="R484" s="5"/>
      <c r="S484" s="5"/>
      <c r="T484" s="5"/>
      <c r="U484" s="5"/>
      <c r="W484" s="5"/>
      <c r="X484" s="5"/>
      <c r="Y484" s="5"/>
      <c r="Z484" s="5"/>
      <c r="AQ484" s="5"/>
      <c r="AR484" s="5"/>
      <c r="AS484" s="5"/>
      <c r="AT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</row>
    <row r="485" spans="18:199" ht="12.75">
      <c r="R485" s="5"/>
      <c r="S485" s="5"/>
      <c r="T485" s="5"/>
      <c r="U485" s="5"/>
      <c r="W485" s="5"/>
      <c r="X485" s="5"/>
      <c r="Y485" s="5"/>
      <c r="Z485" s="5"/>
      <c r="AQ485" s="5"/>
      <c r="AR485" s="5"/>
      <c r="AS485" s="5"/>
      <c r="AT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</row>
    <row r="486" spans="18:199" ht="12.75">
      <c r="R486" s="5"/>
      <c r="S486" s="5"/>
      <c r="T486" s="5"/>
      <c r="U486" s="5"/>
      <c r="W486" s="5"/>
      <c r="X486" s="5"/>
      <c r="Y486" s="5"/>
      <c r="Z486" s="5"/>
      <c r="AQ486" s="5"/>
      <c r="AR486" s="5"/>
      <c r="AS486" s="5"/>
      <c r="AT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</row>
    <row r="487" spans="18:199" ht="12.75">
      <c r="R487" s="5"/>
      <c r="S487" s="5"/>
      <c r="T487" s="5"/>
      <c r="U487" s="5"/>
      <c r="W487" s="5"/>
      <c r="X487" s="5"/>
      <c r="Y487" s="5"/>
      <c r="Z487" s="5"/>
      <c r="AQ487" s="5"/>
      <c r="AR487" s="5"/>
      <c r="AS487" s="5"/>
      <c r="AT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</row>
    <row r="488" spans="18:199" ht="12.75">
      <c r="R488" s="5"/>
      <c r="S488" s="5"/>
      <c r="T488" s="5"/>
      <c r="U488" s="5"/>
      <c r="W488" s="5"/>
      <c r="X488" s="5"/>
      <c r="Y488" s="5"/>
      <c r="Z488" s="5"/>
      <c r="AQ488" s="5"/>
      <c r="AR488" s="5"/>
      <c r="AS488" s="5"/>
      <c r="AT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</row>
    <row r="489" spans="18:199" ht="12.75">
      <c r="R489" s="5"/>
      <c r="S489" s="5"/>
      <c r="T489" s="5"/>
      <c r="U489" s="5"/>
      <c r="W489" s="5"/>
      <c r="X489" s="5"/>
      <c r="Y489" s="5"/>
      <c r="Z489" s="5"/>
      <c r="AQ489" s="5"/>
      <c r="AR489" s="5"/>
      <c r="AS489" s="5"/>
      <c r="AT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</row>
    <row r="490" spans="18:199" ht="12.75">
      <c r="R490" s="5"/>
      <c r="S490" s="5"/>
      <c r="T490" s="5"/>
      <c r="U490" s="5"/>
      <c r="W490" s="5"/>
      <c r="X490" s="5"/>
      <c r="Y490" s="5"/>
      <c r="Z490" s="5"/>
      <c r="AQ490" s="5"/>
      <c r="AR490" s="5"/>
      <c r="AS490" s="5"/>
      <c r="AT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</row>
    <row r="491" spans="18:199" ht="12.75">
      <c r="R491" s="5"/>
      <c r="S491" s="5"/>
      <c r="T491" s="5"/>
      <c r="U491" s="5"/>
      <c r="W491" s="5"/>
      <c r="X491" s="5"/>
      <c r="Y491" s="5"/>
      <c r="Z491" s="5"/>
      <c r="AQ491" s="5"/>
      <c r="AR491" s="5"/>
      <c r="AS491" s="5"/>
      <c r="AT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</row>
    <row r="492" spans="18:199" ht="12.75">
      <c r="R492" s="5"/>
      <c r="S492" s="5"/>
      <c r="T492" s="5"/>
      <c r="U492" s="5"/>
      <c r="W492" s="5"/>
      <c r="X492" s="5"/>
      <c r="Y492" s="5"/>
      <c r="Z492" s="5"/>
      <c r="AQ492" s="5"/>
      <c r="AR492" s="5"/>
      <c r="AS492" s="5"/>
      <c r="AT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</row>
    <row r="493" spans="18:199" ht="12.75">
      <c r="R493" s="5"/>
      <c r="S493" s="5"/>
      <c r="T493" s="5"/>
      <c r="U493" s="5"/>
      <c r="W493" s="5"/>
      <c r="X493" s="5"/>
      <c r="Y493" s="5"/>
      <c r="Z493" s="5"/>
      <c r="AQ493" s="5"/>
      <c r="AR493" s="5"/>
      <c r="AS493" s="5"/>
      <c r="AT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</row>
    <row r="494" spans="18:199" ht="12.75">
      <c r="R494" s="5"/>
      <c r="S494" s="5"/>
      <c r="T494" s="5"/>
      <c r="U494" s="5"/>
      <c r="W494" s="5"/>
      <c r="X494" s="5"/>
      <c r="Y494" s="5"/>
      <c r="Z494" s="5"/>
      <c r="AQ494" s="5"/>
      <c r="AR494" s="5"/>
      <c r="AS494" s="5"/>
      <c r="AT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</row>
    <row r="495" spans="18:199" ht="12.75">
      <c r="R495" s="5"/>
      <c r="S495" s="5"/>
      <c r="T495" s="5"/>
      <c r="U495" s="5"/>
      <c r="W495" s="5"/>
      <c r="X495" s="5"/>
      <c r="Y495" s="5"/>
      <c r="Z495" s="5"/>
      <c r="AQ495" s="5"/>
      <c r="AR495" s="5"/>
      <c r="AS495" s="5"/>
      <c r="AT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</row>
    <row r="496" spans="18:199" ht="12.75">
      <c r="R496" s="5"/>
      <c r="S496" s="5"/>
      <c r="T496" s="5"/>
      <c r="U496" s="5"/>
      <c r="W496" s="5"/>
      <c r="X496" s="5"/>
      <c r="Y496" s="5"/>
      <c r="Z496" s="5"/>
      <c r="AQ496" s="5"/>
      <c r="AR496" s="5"/>
      <c r="AS496" s="5"/>
      <c r="AT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</row>
    <row r="497" spans="18:199" ht="12.75">
      <c r="R497" s="5"/>
      <c r="S497" s="5"/>
      <c r="T497" s="5"/>
      <c r="U497" s="5"/>
      <c r="W497" s="5"/>
      <c r="X497" s="5"/>
      <c r="Y497" s="5"/>
      <c r="Z497" s="5"/>
      <c r="AQ497" s="5"/>
      <c r="AR497" s="5"/>
      <c r="AS497" s="5"/>
      <c r="AT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</row>
    <row r="498" spans="18:199" ht="12.75">
      <c r="R498" s="5"/>
      <c r="S498" s="5"/>
      <c r="T498" s="5"/>
      <c r="U498" s="5"/>
      <c r="W498" s="5"/>
      <c r="X498" s="5"/>
      <c r="Y498" s="5"/>
      <c r="Z498" s="5"/>
      <c r="AQ498" s="5"/>
      <c r="AR498" s="5"/>
      <c r="AS498" s="5"/>
      <c r="AT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</row>
    <row r="499" spans="18:199" ht="12.75">
      <c r="R499" s="5"/>
      <c r="S499" s="5"/>
      <c r="T499" s="5"/>
      <c r="U499" s="5"/>
      <c r="W499" s="5"/>
      <c r="X499" s="5"/>
      <c r="Y499" s="5"/>
      <c r="Z499" s="5"/>
      <c r="AQ499" s="5"/>
      <c r="AR499" s="5"/>
      <c r="AS499" s="5"/>
      <c r="AT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</row>
    <row r="500" spans="18:199" ht="12.75">
      <c r="R500" s="5"/>
      <c r="S500" s="5"/>
      <c r="T500" s="5"/>
      <c r="U500" s="5"/>
      <c r="W500" s="5"/>
      <c r="X500" s="5"/>
      <c r="Y500" s="5"/>
      <c r="Z500" s="5"/>
      <c r="AQ500" s="5"/>
      <c r="AR500" s="5"/>
      <c r="AS500" s="5"/>
      <c r="AT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</row>
    <row r="501" spans="18:199" ht="12.75">
      <c r="R501" s="5"/>
      <c r="S501" s="5"/>
      <c r="T501" s="5"/>
      <c r="U501" s="5"/>
      <c r="W501" s="5"/>
      <c r="X501" s="5"/>
      <c r="Y501" s="5"/>
      <c r="Z501" s="5"/>
      <c r="AQ501" s="5"/>
      <c r="AR501" s="5"/>
      <c r="AS501" s="5"/>
      <c r="AT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</row>
    <row r="502" spans="18:199" ht="12.75">
      <c r="R502" s="5"/>
      <c r="S502" s="5"/>
      <c r="T502" s="5"/>
      <c r="U502" s="5"/>
      <c r="W502" s="5"/>
      <c r="X502" s="5"/>
      <c r="Y502" s="5"/>
      <c r="Z502" s="5"/>
      <c r="AQ502" s="5"/>
      <c r="AR502" s="5"/>
      <c r="AS502" s="5"/>
      <c r="AT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</row>
    <row r="503" spans="18:199" ht="12.75">
      <c r="R503" s="5"/>
      <c r="S503" s="5"/>
      <c r="T503" s="5"/>
      <c r="U503" s="5"/>
      <c r="W503" s="5"/>
      <c r="X503" s="5"/>
      <c r="Y503" s="5"/>
      <c r="Z503" s="5"/>
      <c r="AQ503" s="5"/>
      <c r="AR503" s="5"/>
      <c r="AS503" s="5"/>
      <c r="AT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</row>
    <row r="504" spans="18:199" ht="12.75">
      <c r="R504" s="5"/>
      <c r="S504" s="5"/>
      <c r="T504" s="5"/>
      <c r="U504" s="5"/>
      <c r="W504" s="5"/>
      <c r="X504" s="5"/>
      <c r="Y504" s="5"/>
      <c r="Z504" s="5"/>
      <c r="AQ504" s="5"/>
      <c r="AR504" s="5"/>
      <c r="AS504" s="5"/>
      <c r="AT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</row>
    <row r="505" spans="18:199" ht="12.75">
      <c r="R505" s="5"/>
      <c r="S505" s="5"/>
      <c r="T505" s="5"/>
      <c r="U505" s="5"/>
      <c r="W505" s="5"/>
      <c r="X505" s="5"/>
      <c r="Y505" s="5"/>
      <c r="Z505" s="5"/>
      <c r="AQ505" s="5"/>
      <c r="AR505" s="5"/>
      <c r="AS505" s="5"/>
      <c r="AT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</row>
    <row r="506" spans="18:199" ht="12.75">
      <c r="R506" s="5"/>
      <c r="S506" s="5"/>
      <c r="T506" s="5"/>
      <c r="U506" s="5"/>
      <c r="W506" s="5"/>
      <c r="X506" s="5"/>
      <c r="Y506" s="5"/>
      <c r="Z506" s="5"/>
      <c r="AQ506" s="5"/>
      <c r="AR506" s="5"/>
      <c r="AS506" s="5"/>
      <c r="AT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</row>
    <row r="507" spans="18:199" ht="12.75">
      <c r="R507" s="5"/>
      <c r="S507" s="5"/>
      <c r="T507" s="5"/>
      <c r="U507" s="5"/>
      <c r="W507" s="5"/>
      <c r="X507" s="5"/>
      <c r="Y507" s="5"/>
      <c r="Z507" s="5"/>
      <c r="AQ507" s="5"/>
      <c r="AR507" s="5"/>
      <c r="AS507" s="5"/>
      <c r="AT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</row>
    <row r="508" spans="18:199" ht="12.75">
      <c r="R508" s="5"/>
      <c r="S508" s="5"/>
      <c r="T508" s="5"/>
      <c r="U508" s="5"/>
      <c r="W508" s="5"/>
      <c r="X508" s="5"/>
      <c r="Y508" s="5"/>
      <c r="Z508" s="5"/>
      <c r="AQ508" s="5"/>
      <c r="AR508" s="5"/>
      <c r="AS508" s="5"/>
      <c r="AT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</row>
    <row r="509" spans="18:199" ht="12.75">
      <c r="R509" s="5"/>
      <c r="S509" s="5"/>
      <c r="T509" s="5"/>
      <c r="U509" s="5"/>
      <c r="W509" s="5"/>
      <c r="X509" s="5"/>
      <c r="Y509" s="5"/>
      <c r="Z509" s="5"/>
      <c r="AQ509" s="5"/>
      <c r="AR509" s="5"/>
      <c r="AS509" s="5"/>
      <c r="AT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</row>
    <row r="510" spans="18:199" ht="12.75">
      <c r="R510" s="5"/>
      <c r="S510" s="5"/>
      <c r="T510" s="5"/>
      <c r="U510" s="5"/>
      <c r="W510" s="5"/>
      <c r="X510" s="5"/>
      <c r="Y510" s="5"/>
      <c r="Z510" s="5"/>
      <c r="AQ510" s="5"/>
      <c r="AR510" s="5"/>
      <c r="AS510" s="5"/>
      <c r="AT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</row>
    <row r="511" spans="18:199" ht="12.75">
      <c r="R511" s="5"/>
      <c r="S511" s="5"/>
      <c r="T511" s="5"/>
      <c r="U511" s="5"/>
      <c r="W511" s="5"/>
      <c r="X511" s="5"/>
      <c r="Y511" s="5"/>
      <c r="Z511" s="5"/>
      <c r="AQ511" s="5"/>
      <c r="AR511" s="5"/>
      <c r="AS511" s="5"/>
      <c r="AT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</row>
    <row r="512" spans="18:199" ht="12.75">
      <c r="R512" s="5"/>
      <c r="S512" s="5"/>
      <c r="T512" s="5"/>
      <c r="U512" s="5"/>
      <c r="W512" s="5"/>
      <c r="X512" s="5"/>
      <c r="Y512" s="5"/>
      <c r="Z512" s="5"/>
      <c r="AQ512" s="5"/>
      <c r="AR512" s="5"/>
      <c r="AS512" s="5"/>
      <c r="AT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</row>
    <row r="513" spans="18:199" ht="12.75">
      <c r="R513" s="5"/>
      <c r="S513" s="5"/>
      <c r="T513" s="5"/>
      <c r="U513" s="5"/>
      <c r="W513" s="5"/>
      <c r="X513" s="5"/>
      <c r="Y513" s="5"/>
      <c r="Z513" s="5"/>
      <c r="AQ513" s="5"/>
      <c r="AR513" s="5"/>
      <c r="AS513" s="5"/>
      <c r="AT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</row>
    <row r="514" spans="18:199" ht="12.75">
      <c r="R514" s="5"/>
      <c r="S514" s="5"/>
      <c r="T514" s="5"/>
      <c r="U514" s="5"/>
      <c r="W514" s="5"/>
      <c r="X514" s="5"/>
      <c r="Y514" s="5"/>
      <c r="Z514" s="5"/>
      <c r="AQ514" s="5"/>
      <c r="AR514" s="5"/>
      <c r="AS514" s="5"/>
      <c r="AT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</row>
    <row r="515" spans="18:199" ht="12.75">
      <c r="R515" s="5"/>
      <c r="S515" s="5"/>
      <c r="T515" s="5"/>
      <c r="U515" s="5"/>
      <c r="W515" s="5"/>
      <c r="X515" s="5"/>
      <c r="Y515" s="5"/>
      <c r="Z515" s="5"/>
      <c r="AQ515" s="5"/>
      <c r="AR515" s="5"/>
      <c r="AS515" s="5"/>
      <c r="AT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</row>
    <row r="516" spans="18:199" ht="12.75">
      <c r="R516" s="5"/>
      <c r="S516" s="5"/>
      <c r="T516" s="5"/>
      <c r="U516" s="5"/>
      <c r="W516" s="5"/>
      <c r="X516" s="5"/>
      <c r="Y516" s="5"/>
      <c r="Z516" s="5"/>
      <c r="AQ516" s="5"/>
      <c r="AR516" s="5"/>
      <c r="AS516" s="5"/>
      <c r="AT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</row>
    <row r="517" spans="18:199" ht="12.75">
      <c r="R517" s="5"/>
      <c r="S517" s="5"/>
      <c r="T517" s="5"/>
      <c r="U517" s="5"/>
      <c r="W517" s="5"/>
      <c r="X517" s="5"/>
      <c r="Y517" s="5"/>
      <c r="Z517" s="5"/>
      <c r="AQ517" s="5"/>
      <c r="AR517" s="5"/>
      <c r="AS517" s="5"/>
      <c r="AT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</row>
    <row r="518" spans="18:199" ht="12.75">
      <c r="R518" s="5"/>
      <c r="S518" s="5"/>
      <c r="T518" s="5"/>
      <c r="U518" s="5"/>
      <c r="W518" s="5"/>
      <c r="X518" s="5"/>
      <c r="Y518" s="5"/>
      <c r="Z518" s="5"/>
      <c r="AQ518" s="5"/>
      <c r="AR518" s="5"/>
      <c r="AS518" s="5"/>
      <c r="AT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</row>
    <row r="519" spans="18:199" ht="12.75">
      <c r="R519" s="5"/>
      <c r="S519" s="5"/>
      <c r="T519" s="5"/>
      <c r="U519" s="5"/>
      <c r="W519" s="5"/>
      <c r="X519" s="5"/>
      <c r="Y519" s="5"/>
      <c r="Z519" s="5"/>
      <c r="AQ519" s="5"/>
      <c r="AR519" s="5"/>
      <c r="AS519" s="5"/>
      <c r="AT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</row>
    <row r="520" spans="18:199" ht="12.75">
      <c r="R520" s="5"/>
      <c r="S520" s="5"/>
      <c r="T520" s="5"/>
      <c r="U520" s="5"/>
      <c r="W520" s="5"/>
      <c r="X520" s="5"/>
      <c r="Y520" s="5"/>
      <c r="Z520" s="5"/>
      <c r="AQ520" s="5"/>
      <c r="AR520" s="5"/>
      <c r="AS520" s="5"/>
      <c r="AT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</row>
    <row r="521" spans="18:199" ht="12.75">
      <c r="R521" s="5"/>
      <c r="S521" s="5"/>
      <c r="T521" s="5"/>
      <c r="U521" s="5"/>
      <c r="W521" s="5"/>
      <c r="X521" s="5"/>
      <c r="Y521" s="5"/>
      <c r="Z521" s="5"/>
      <c r="AQ521" s="5"/>
      <c r="AR521" s="5"/>
      <c r="AS521" s="5"/>
      <c r="AT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</row>
    <row r="522" spans="18:199" ht="12.75">
      <c r="R522" s="5"/>
      <c r="S522" s="5"/>
      <c r="T522" s="5"/>
      <c r="U522" s="5"/>
      <c r="W522" s="5"/>
      <c r="X522" s="5"/>
      <c r="Y522" s="5"/>
      <c r="Z522" s="5"/>
      <c r="AQ522" s="5"/>
      <c r="AR522" s="5"/>
      <c r="AS522" s="5"/>
      <c r="AT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</row>
    <row r="523" spans="18:199" ht="12.75">
      <c r="R523" s="5"/>
      <c r="S523" s="5"/>
      <c r="T523" s="5"/>
      <c r="U523" s="5"/>
      <c r="W523" s="5"/>
      <c r="X523" s="5"/>
      <c r="Y523" s="5"/>
      <c r="Z523" s="5"/>
      <c r="AQ523" s="5"/>
      <c r="AR523" s="5"/>
      <c r="AS523" s="5"/>
      <c r="AT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</row>
    <row r="524" spans="18:199" ht="12.75">
      <c r="R524" s="5"/>
      <c r="S524" s="5"/>
      <c r="T524" s="5"/>
      <c r="U524" s="5"/>
      <c r="W524" s="5"/>
      <c r="X524" s="5"/>
      <c r="Y524" s="5"/>
      <c r="Z524" s="5"/>
      <c r="AQ524" s="5"/>
      <c r="AR524" s="5"/>
      <c r="AS524" s="5"/>
      <c r="AT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</row>
    <row r="525" spans="18:199" ht="12.75">
      <c r="R525" s="5"/>
      <c r="S525" s="5"/>
      <c r="T525" s="5"/>
      <c r="U525" s="5"/>
      <c r="W525" s="5"/>
      <c r="X525" s="5"/>
      <c r="Y525" s="5"/>
      <c r="Z525" s="5"/>
      <c r="AQ525" s="5"/>
      <c r="AR525" s="5"/>
      <c r="AS525" s="5"/>
      <c r="AT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</row>
    <row r="526" spans="18:199" ht="12.75">
      <c r="R526" s="5"/>
      <c r="S526" s="5"/>
      <c r="T526" s="5"/>
      <c r="U526" s="5"/>
      <c r="W526" s="5"/>
      <c r="X526" s="5"/>
      <c r="Y526" s="5"/>
      <c r="Z526" s="5"/>
      <c r="AQ526" s="5"/>
      <c r="AR526" s="5"/>
      <c r="AS526" s="5"/>
      <c r="AT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</row>
    <row r="527" spans="18:199" ht="12.75">
      <c r="R527" s="5"/>
      <c r="S527" s="5"/>
      <c r="T527" s="5"/>
      <c r="U527" s="5"/>
      <c r="W527" s="5"/>
      <c r="X527" s="5"/>
      <c r="Y527" s="5"/>
      <c r="Z527" s="5"/>
      <c r="AQ527" s="5"/>
      <c r="AR527" s="5"/>
      <c r="AS527" s="5"/>
      <c r="AT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</row>
    <row r="528" spans="18:199" ht="12.75">
      <c r="R528" s="5"/>
      <c r="S528" s="5"/>
      <c r="T528" s="5"/>
      <c r="U528" s="5"/>
      <c r="W528" s="5"/>
      <c r="X528" s="5"/>
      <c r="Y528" s="5"/>
      <c r="Z528" s="5"/>
      <c r="AQ528" s="5"/>
      <c r="AR528" s="5"/>
      <c r="AS528" s="5"/>
      <c r="AT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</row>
    <row r="529" spans="18:199" ht="12.75">
      <c r="R529" s="5"/>
      <c r="S529" s="5"/>
      <c r="T529" s="5"/>
      <c r="U529" s="5"/>
      <c r="W529" s="5"/>
      <c r="X529" s="5"/>
      <c r="Y529" s="5"/>
      <c r="Z529" s="5"/>
      <c r="AQ529" s="5"/>
      <c r="AR529" s="5"/>
      <c r="AS529" s="5"/>
      <c r="AT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</row>
    <row r="530" spans="18:199" ht="12.75">
      <c r="R530" s="5"/>
      <c r="S530" s="5"/>
      <c r="T530" s="5"/>
      <c r="U530" s="5"/>
      <c r="W530" s="5"/>
      <c r="X530" s="5"/>
      <c r="Y530" s="5"/>
      <c r="Z530" s="5"/>
      <c r="AQ530" s="5"/>
      <c r="AR530" s="5"/>
      <c r="AS530" s="5"/>
      <c r="AT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</row>
    <row r="531" spans="18:199" ht="12.75">
      <c r="R531" s="5"/>
      <c r="S531" s="5"/>
      <c r="T531" s="5"/>
      <c r="U531" s="5"/>
      <c r="W531" s="5"/>
      <c r="X531" s="5"/>
      <c r="Y531" s="5"/>
      <c r="Z531" s="5"/>
      <c r="AQ531" s="5"/>
      <c r="AR531" s="5"/>
      <c r="AS531" s="5"/>
      <c r="AT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</row>
    <row r="532" spans="18:199" ht="12.75">
      <c r="R532" s="5"/>
      <c r="S532" s="5"/>
      <c r="T532" s="5"/>
      <c r="U532" s="5"/>
      <c r="W532" s="5"/>
      <c r="X532" s="5"/>
      <c r="Y532" s="5"/>
      <c r="Z532" s="5"/>
      <c r="AQ532" s="5"/>
      <c r="AR532" s="5"/>
      <c r="AS532" s="5"/>
      <c r="AT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</row>
    <row r="533" spans="18:199" ht="12.75">
      <c r="R533" s="5"/>
      <c r="S533" s="5"/>
      <c r="T533" s="5"/>
      <c r="U533" s="5"/>
      <c r="W533" s="5"/>
      <c r="X533" s="5"/>
      <c r="Y533" s="5"/>
      <c r="Z533" s="5"/>
      <c r="AQ533" s="5"/>
      <c r="AR533" s="5"/>
      <c r="AS533" s="5"/>
      <c r="AT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</row>
    <row r="534" spans="18:199" ht="12.75">
      <c r="R534" s="5"/>
      <c r="S534" s="5"/>
      <c r="T534" s="5"/>
      <c r="U534" s="5"/>
      <c r="W534" s="5"/>
      <c r="X534" s="5"/>
      <c r="Y534" s="5"/>
      <c r="Z534" s="5"/>
      <c r="AQ534" s="5"/>
      <c r="AR534" s="5"/>
      <c r="AS534" s="5"/>
      <c r="AT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</row>
    <row r="535" spans="18:199" ht="12.75">
      <c r="R535" s="5"/>
      <c r="S535" s="5"/>
      <c r="T535" s="5"/>
      <c r="U535" s="5"/>
      <c r="W535" s="5"/>
      <c r="X535" s="5"/>
      <c r="Y535" s="5"/>
      <c r="Z535" s="5"/>
      <c r="AQ535" s="5"/>
      <c r="AR535" s="5"/>
      <c r="AS535" s="5"/>
      <c r="AT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</row>
    <row r="536" spans="18:199" ht="12.75">
      <c r="R536" s="5"/>
      <c r="S536" s="5"/>
      <c r="T536" s="5"/>
      <c r="U536" s="5"/>
      <c r="W536" s="5"/>
      <c r="X536" s="5"/>
      <c r="Y536" s="5"/>
      <c r="Z536" s="5"/>
      <c r="AQ536" s="5"/>
      <c r="AR536" s="5"/>
      <c r="AS536" s="5"/>
      <c r="AT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</row>
    <row r="537" spans="18:199" ht="12.75">
      <c r="R537" s="5"/>
      <c r="S537" s="5"/>
      <c r="T537" s="5"/>
      <c r="U537" s="5"/>
      <c r="W537" s="5"/>
      <c r="X537" s="5"/>
      <c r="Y537" s="5"/>
      <c r="Z537" s="5"/>
      <c r="AQ537" s="5"/>
      <c r="AR537" s="5"/>
      <c r="AS537" s="5"/>
      <c r="AT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</row>
    <row r="538" spans="18:199" ht="12.75">
      <c r="R538" s="5"/>
      <c r="S538" s="5"/>
      <c r="T538" s="5"/>
      <c r="U538" s="5"/>
      <c r="W538" s="5"/>
      <c r="X538" s="5"/>
      <c r="Y538" s="5"/>
      <c r="Z538" s="5"/>
      <c r="AQ538" s="5"/>
      <c r="AR538" s="5"/>
      <c r="AS538" s="5"/>
      <c r="AT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</row>
    <row r="539" spans="18:199" ht="12.75">
      <c r="R539" s="5"/>
      <c r="S539" s="5"/>
      <c r="T539" s="5"/>
      <c r="U539" s="5"/>
      <c r="W539" s="5"/>
      <c r="X539" s="5"/>
      <c r="Y539" s="5"/>
      <c r="Z539" s="5"/>
      <c r="AQ539" s="5"/>
      <c r="AR539" s="5"/>
      <c r="AS539" s="5"/>
      <c r="AT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</row>
    <row r="540" spans="18:199" ht="12.75">
      <c r="R540" s="5"/>
      <c r="S540" s="5"/>
      <c r="T540" s="5"/>
      <c r="U540" s="5"/>
      <c r="W540" s="5"/>
      <c r="X540" s="5"/>
      <c r="Y540" s="5"/>
      <c r="Z540" s="5"/>
      <c r="AQ540" s="5"/>
      <c r="AR540" s="5"/>
      <c r="AS540" s="5"/>
      <c r="AT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</row>
    <row r="541" spans="18:199" ht="12.75">
      <c r="R541" s="5"/>
      <c r="S541" s="5"/>
      <c r="T541" s="5"/>
      <c r="U541" s="5"/>
      <c r="W541" s="5"/>
      <c r="X541" s="5"/>
      <c r="Y541" s="5"/>
      <c r="Z541" s="5"/>
      <c r="AQ541" s="5"/>
      <c r="AR541" s="5"/>
      <c r="AS541" s="5"/>
      <c r="AT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</row>
    <row r="542" spans="18:199" ht="12.75">
      <c r="R542" s="5"/>
      <c r="S542" s="5"/>
      <c r="T542" s="5"/>
      <c r="U542" s="5"/>
      <c r="W542" s="5"/>
      <c r="X542" s="5"/>
      <c r="Y542" s="5"/>
      <c r="Z542" s="5"/>
      <c r="AQ542" s="5"/>
      <c r="AR542" s="5"/>
      <c r="AS542" s="5"/>
      <c r="AT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</row>
    <row r="543" spans="18:199" ht="12.75">
      <c r="R543" s="5"/>
      <c r="S543" s="5"/>
      <c r="T543" s="5"/>
      <c r="U543" s="5"/>
      <c r="W543" s="5"/>
      <c r="X543" s="5"/>
      <c r="Y543" s="5"/>
      <c r="Z543" s="5"/>
      <c r="AQ543" s="5"/>
      <c r="AR543" s="5"/>
      <c r="AS543" s="5"/>
      <c r="AT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</row>
    <row r="544" spans="18:199" ht="12.75">
      <c r="R544" s="5"/>
      <c r="S544" s="5"/>
      <c r="T544" s="5"/>
      <c r="U544" s="5"/>
      <c r="W544" s="5"/>
      <c r="X544" s="5"/>
      <c r="Y544" s="5"/>
      <c r="Z544" s="5"/>
      <c r="AQ544" s="5"/>
      <c r="AR544" s="5"/>
      <c r="AS544" s="5"/>
      <c r="AT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</row>
    <row r="545" spans="18:199" ht="12.75">
      <c r="R545" s="5"/>
      <c r="S545" s="5"/>
      <c r="T545" s="5"/>
      <c r="U545" s="5"/>
      <c r="W545" s="5"/>
      <c r="X545" s="5"/>
      <c r="Y545" s="5"/>
      <c r="Z545" s="5"/>
      <c r="AQ545" s="5"/>
      <c r="AR545" s="5"/>
      <c r="AS545" s="5"/>
      <c r="AT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</row>
    <row r="546" spans="18:199" ht="12.75">
      <c r="R546" s="5"/>
      <c r="S546" s="5"/>
      <c r="T546" s="5"/>
      <c r="U546" s="5"/>
      <c r="W546" s="5"/>
      <c r="X546" s="5"/>
      <c r="Y546" s="5"/>
      <c r="Z546" s="5"/>
      <c r="AQ546" s="5"/>
      <c r="AR546" s="5"/>
      <c r="AS546" s="5"/>
      <c r="AT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</row>
    <row r="547" spans="18:199" ht="12.75">
      <c r="R547" s="5"/>
      <c r="S547" s="5"/>
      <c r="T547" s="5"/>
      <c r="U547" s="5"/>
      <c r="W547" s="5"/>
      <c r="X547" s="5"/>
      <c r="Y547" s="5"/>
      <c r="Z547" s="5"/>
      <c r="AQ547" s="5"/>
      <c r="AR547" s="5"/>
      <c r="AS547" s="5"/>
      <c r="AT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</row>
    <row r="548" spans="18:199" ht="12.75">
      <c r="R548" s="5"/>
      <c r="S548" s="5"/>
      <c r="T548" s="5"/>
      <c r="U548" s="5"/>
      <c r="W548" s="5"/>
      <c r="X548" s="5"/>
      <c r="Y548" s="5"/>
      <c r="Z548" s="5"/>
      <c r="AQ548" s="5"/>
      <c r="AR548" s="5"/>
      <c r="AS548" s="5"/>
      <c r="AT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</row>
    <row r="549" spans="18:199" ht="12.75">
      <c r="R549" s="5"/>
      <c r="S549" s="5"/>
      <c r="T549" s="5"/>
      <c r="U549" s="5"/>
      <c r="W549" s="5"/>
      <c r="X549" s="5"/>
      <c r="Y549" s="5"/>
      <c r="Z549" s="5"/>
      <c r="AQ549" s="5"/>
      <c r="AR549" s="5"/>
      <c r="AS549" s="5"/>
      <c r="AT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</row>
    <row r="550" spans="18:199" ht="12.75">
      <c r="R550" s="5"/>
      <c r="S550" s="5"/>
      <c r="T550" s="5"/>
      <c r="U550" s="5"/>
      <c r="W550" s="5"/>
      <c r="X550" s="5"/>
      <c r="Y550" s="5"/>
      <c r="Z550" s="5"/>
      <c r="AQ550" s="5"/>
      <c r="AR550" s="5"/>
      <c r="AS550" s="5"/>
      <c r="AT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</row>
    <row r="551" spans="18:199" ht="12.75">
      <c r="R551" s="5"/>
      <c r="S551" s="5"/>
      <c r="T551" s="5"/>
      <c r="U551" s="5"/>
      <c r="W551" s="5"/>
      <c r="X551" s="5"/>
      <c r="Y551" s="5"/>
      <c r="Z551" s="5"/>
      <c r="AQ551" s="5"/>
      <c r="AR551" s="5"/>
      <c r="AS551" s="5"/>
      <c r="AT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</row>
    <row r="552" spans="18:199" ht="12.75">
      <c r="R552" s="5"/>
      <c r="S552" s="5"/>
      <c r="T552" s="5"/>
      <c r="U552" s="5"/>
      <c r="W552" s="5"/>
      <c r="X552" s="5"/>
      <c r="Y552" s="5"/>
      <c r="Z552" s="5"/>
      <c r="AQ552" s="5"/>
      <c r="AR552" s="5"/>
      <c r="AS552" s="5"/>
      <c r="AT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</row>
    <row r="553" spans="18:199" ht="12.75">
      <c r="R553" s="5"/>
      <c r="S553" s="5"/>
      <c r="T553" s="5"/>
      <c r="U553" s="5"/>
      <c r="W553" s="5"/>
      <c r="X553" s="5"/>
      <c r="Y553" s="5"/>
      <c r="Z553" s="5"/>
      <c r="AQ553" s="5"/>
      <c r="AR553" s="5"/>
      <c r="AS553" s="5"/>
      <c r="AT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</row>
    <row r="554" spans="18:199" ht="12.75">
      <c r="R554" s="5"/>
      <c r="S554" s="5"/>
      <c r="T554" s="5"/>
      <c r="U554" s="5"/>
      <c r="W554" s="5"/>
      <c r="X554" s="5"/>
      <c r="Y554" s="5"/>
      <c r="Z554" s="5"/>
      <c r="AQ554" s="5"/>
      <c r="AR554" s="5"/>
      <c r="AS554" s="5"/>
      <c r="AT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</row>
    <row r="555" spans="18:199" ht="12.75">
      <c r="R555" s="5"/>
      <c r="S555" s="5"/>
      <c r="T555" s="5"/>
      <c r="U555" s="5"/>
      <c r="W555" s="5"/>
      <c r="X555" s="5"/>
      <c r="Y555" s="5"/>
      <c r="Z555" s="5"/>
      <c r="AQ555" s="5"/>
      <c r="AR555" s="5"/>
      <c r="AS555" s="5"/>
      <c r="AT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</row>
    <row r="556" spans="18:199" ht="12.75">
      <c r="R556" s="5"/>
      <c r="S556" s="5"/>
      <c r="T556" s="5"/>
      <c r="U556" s="5"/>
      <c r="W556" s="5"/>
      <c r="X556" s="5"/>
      <c r="Y556" s="5"/>
      <c r="Z556" s="5"/>
      <c r="AQ556" s="5"/>
      <c r="AR556" s="5"/>
      <c r="AS556" s="5"/>
      <c r="AT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</row>
    <row r="557" spans="18:199" ht="12.75">
      <c r="R557" s="5"/>
      <c r="S557" s="5"/>
      <c r="T557" s="5"/>
      <c r="U557" s="5"/>
      <c r="W557" s="5"/>
      <c r="X557" s="5"/>
      <c r="Y557" s="5"/>
      <c r="Z557" s="5"/>
      <c r="AQ557" s="5"/>
      <c r="AR557" s="5"/>
      <c r="AS557" s="5"/>
      <c r="AT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</row>
    <row r="558" spans="18:199" ht="12.75">
      <c r="R558" s="5"/>
      <c r="S558" s="5"/>
      <c r="T558" s="5"/>
      <c r="U558" s="5"/>
      <c r="W558" s="5"/>
      <c r="X558" s="5"/>
      <c r="Y558" s="5"/>
      <c r="Z558" s="5"/>
      <c r="AQ558" s="5"/>
      <c r="AR558" s="5"/>
      <c r="AS558" s="5"/>
      <c r="AT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</row>
    <row r="559" spans="18:199" ht="12.75">
      <c r="R559" s="5"/>
      <c r="S559" s="5"/>
      <c r="T559" s="5"/>
      <c r="U559" s="5"/>
      <c r="W559" s="5"/>
      <c r="X559" s="5"/>
      <c r="Y559" s="5"/>
      <c r="Z559" s="5"/>
      <c r="AQ559" s="5"/>
      <c r="AR559" s="5"/>
      <c r="AS559" s="5"/>
      <c r="AT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</row>
    <row r="560" spans="18:199" ht="12.75">
      <c r="R560" s="5"/>
      <c r="S560" s="5"/>
      <c r="T560" s="5"/>
      <c r="U560" s="5"/>
      <c r="W560" s="5"/>
      <c r="X560" s="5"/>
      <c r="Y560" s="5"/>
      <c r="Z560" s="5"/>
      <c r="AQ560" s="5"/>
      <c r="AR560" s="5"/>
      <c r="AS560" s="5"/>
      <c r="AT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</row>
    <row r="561" spans="18:199" ht="12.75">
      <c r="R561" s="5"/>
      <c r="S561" s="5"/>
      <c r="T561" s="5"/>
      <c r="U561" s="5"/>
      <c r="W561" s="5"/>
      <c r="X561" s="5"/>
      <c r="Y561" s="5"/>
      <c r="Z561" s="5"/>
      <c r="AQ561" s="5"/>
      <c r="AR561" s="5"/>
      <c r="AS561" s="5"/>
      <c r="AT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</row>
    <row r="562" spans="18:199" ht="12.75">
      <c r="R562" s="5"/>
      <c r="S562" s="5"/>
      <c r="T562" s="5"/>
      <c r="U562" s="5"/>
      <c r="W562" s="5"/>
      <c r="X562" s="5"/>
      <c r="Y562" s="5"/>
      <c r="Z562" s="5"/>
      <c r="AQ562" s="5"/>
      <c r="AR562" s="5"/>
      <c r="AS562" s="5"/>
      <c r="AT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</row>
    <row r="563" spans="18:199" ht="12.75">
      <c r="R563" s="5"/>
      <c r="S563" s="5"/>
      <c r="T563" s="5"/>
      <c r="U563" s="5"/>
      <c r="W563" s="5"/>
      <c r="X563" s="5"/>
      <c r="Y563" s="5"/>
      <c r="Z563" s="5"/>
      <c r="AQ563" s="5"/>
      <c r="AR563" s="5"/>
      <c r="AS563" s="5"/>
      <c r="AT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</row>
    <row r="564" spans="18:199" ht="12.75">
      <c r="R564" s="5"/>
      <c r="S564" s="5"/>
      <c r="T564" s="5"/>
      <c r="U564" s="5"/>
      <c r="W564" s="5"/>
      <c r="X564" s="5"/>
      <c r="Y564" s="5"/>
      <c r="Z564" s="5"/>
      <c r="AQ564" s="5"/>
      <c r="AR564" s="5"/>
      <c r="AS564" s="5"/>
      <c r="AT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</row>
    <row r="565" spans="18:199" ht="12.75">
      <c r="R565" s="5"/>
      <c r="S565" s="5"/>
      <c r="T565" s="5"/>
      <c r="U565" s="5"/>
      <c r="W565" s="5"/>
      <c r="X565" s="5"/>
      <c r="Y565" s="5"/>
      <c r="Z565" s="5"/>
      <c r="AQ565" s="5"/>
      <c r="AR565" s="5"/>
      <c r="AS565" s="5"/>
      <c r="AT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</row>
  </sheetData>
  <sheetProtection/>
  <printOptions/>
  <pageMargins left="0.5" right="0" top="0.25" bottom="0.5" header="0.5" footer="0.25"/>
  <pageSetup horizontalDpi="600" verticalDpi="600" orientation="landscape" scale="90"/>
  <headerFooter alignWithMargins="0">
    <oddFooter>&amp;CPage &amp;P of &amp;N&amp;R&amp;D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R75"/>
  <sheetViews>
    <sheetView zoomScale="150" zoomScaleNormal="150" zoomScalePageLayoutView="0" workbookViewId="0" topLeftCell="A1">
      <pane xSplit="1" ySplit="7" topLeftCell="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0" sqref="I10"/>
    </sheetView>
  </sheetViews>
  <sheetFormatPr defaultColWidth="8.8515625" defaultRowHeight="12.75"/>
  <cols>
    <col min="1" max="1" width="9.7109375" style="36" customWidth="1"/>
    <col min="2" max="2" width="3.7109375" style="0" hidden="1" customWidth="1"/>
    <col min="3" max="6" width="13.7109375" style="3" hidden="1" customWidth="1"/>
    <col min="7" max="7" width="3.7109375" style="0" customWidth="1"/>
    <col min="8" max="11" width="13.7109375" style="5" customWidth="1"/>
    <col min="12" max="12" width="3.7109375" style="5" customWidth="1"/>
    <col min="13" max="16" width="12.7109375" style="5" customWidth="1"/>
    <col min="17" max="17" width="3.7109375" style="5" customWidth="1"/>
    <col min="18" max="21" width="13.7109375" style="5" customWidth="1"/>
    <col min="22" max="22" width="3.4218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39" width="12.7109375" style="5" customWidth="1"/>
    <col min="40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3.7109375" style="5" customWidth="1"/>
    <col min="72" max="72" width="3.7109375" style="5" customWidth="1"/>
    <col min="73" max="76" width="12.7109375" style="5" customWidth="1"/>
    <col min="77" max="77" width="3.7109375" style="5" customWidth="1"/>
    <col min="78" max="81" width="12.7109375" style="5" customWidth="1"/>
    <col min="82" max="82" width="3.7109375" style="5" customWidth="1"/>
    <col min="83" max="86" width="13.7109375" style="5" customWidth="1"/>
    <col min="87" max="87" width="3.7109375" style="5" customWidth="1"/>
    <col min="88" max="91" width="13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5" customWidth="1"/>
    <col min="102" max="102" width="3.7109375" style="5" customWidth="1"/>
    <col min="103" max="106" width="13.7109375" style="5" customWidth="1"/>
    <col min="107" max="107" width="3.7109375" style="5" customWidth="1"/>
    <col min="108" max="111" width="13.7109375" style="5" customWidth="1"/>
    <col min="112" max="112" width="3.7109375" style="5" customWidth="1"/>
    <col min="113" max="116" width="13.7109375" style="5" customWidth="1"/>
    <col min="117" max="117" width="3.7109375" style="5" customWidth="1"/>
    <col min="118" max="121" width="13.7109375" style="5" customWidth="1"/>
    <col min="122" max="122" width="3.7109375" style="5" customWidth="1"/>
    <col min="123" max="126" width="13.7109375" style="5" customWidth="1"/>
    <col min="127" max="127" width="3.7109375" style="5" customWidth="1"/>
    <col min="128" max="131" width="13.7109375" style="5" customWidth="1"/>
    <col min="132" max="132" width="3.7109375" style="5" customWidth="1"/>
    <col min="133" max="136" width="12.7109375" style="5" customWidth="1"/>
    <col min="137" max="137" width="3.7109375" style="5" customWidth="1"/>
    <col min="138" max="141" width="13.7109375" style="5" customWidth="1"/>
    <col min="142" max="142" width="3.7109375" style="5" customWidth="1"/>
    <col min="143" max="146" width="13.7109375" style="5" customWidth="1"/>
    <col min="147" max="147" width="3.7109375" style="0" customWidth="1"/>
  </cols>
  <sheetData>
    <row r="1" spans="1:148" ht="12.75">
      <c r="A1" s="1"/>
      <c r="B1" s="2"/>
      <c r="D1" s="4"/>
      <c r="M1" s="4" t="s">
        <v>92</v>
      </c>
      <c r="R1" s="4"/>
      <c r="AG1" s="4" t="s">
        <v>92</v>
      </c>
      <c r="AQ1" s="4" t="s">
        <v>92</v>
      </c>
      <c r="BF1" s="4" t="s">
        <v>92</v>
      </c>
      <c r="BU1" s="4" t="s">
        <v>92</v>
      </c>
      <c r="CJ1" s="4" t="s">
        <v>92</v>
      </c>
      <c r="CY1" s="4" t="s">
        <v>92</v>
      </c>
      <c r="DN1" s="4" t="s">
        <v>92</v>
      </c>
      <c r="EC1" s="4" t="s">
        <v>92</v>
      </c>
      <c r="ER1" s="4" t="s">
        <v>92</v>
      </c>
    </row>
    <row r="2" spans="1:148" ht="12.75">
      <c r="A2" s="1"/>
      <c r="B2" s="2"/>
      <c r="D2" s="4"/>
      <c r="M2" s="4" t="s">
        <v>91</v>
      </c>
      <c r="R2" s="4"/>
      <c r="AG2" s="4" t="s">
        <v>91</v>
      </c>
      <c r="AQ2" s="4" t="s">
        <v>91</v>
      </c>
      <c r="BF2" s="4" t="s">
        <v>91</v>
      </c>
      <c r="BU2" s="4" t="s">
        <v>91</v>
      </c>
      <c r="CJ2" s="4" t="s">
        <v>91</v>
      </c>
      <c r="CY2" s="4" t="s">
        <v>91</v>
      </c>
      <c r="DN2" s="4" t="s">
        <v>91</v>
      </c>
      <c r="EC2" s="4" t="s">
        <v>91</v>
      </c>
      <c r="ER2" s="4" t="s">
        <v>91</v>
      </c>
    </row>
    <row r="3" spans="1:148" ht="12.75">
      <c r="A3" s="1"/>
      <c r="B3" s="2"/>
      <c r="D3" s="7"/>
      <c r="M3" s="4" t="s">
        <v>116</v>
      </c>
      <c r="R3" s="4"/>
      <c r="AG3" s="4" t="s">
        <v>116</v>
      </c>
      <c r="AQ3" s="4" t="s">
        <v>116</v>
      </c>
      <c r="BF3" s="4" t="s">
        <v>116</v>
      </c>
      <c r="BU3" s="4" t="s">
        <v>116</v>
      </c>
      <c r="CJ3" s="4" t="s">
        <v>116</v>
      </c>
      <c r="CY3" s="4" t="s">
        <v>116</v>
      </c>
      <c r="DN3" s="4" t="s">
        <v>116</v>
      </c>
      <c r="EC3" s="4" t="s">
        <v>116</v>
      </c>
      <c r="ER3" s="4" t="s">
        <v>116</v>
      </c>
    </row>
    <row r="4" spans="1:4" ht="12.75">
      <c r="A4" s="1"/>
      <c r="B4" s="2"/>
      <c r="C4" s="4"/>
      <c r="D4" s="4"/>
    </row>
    <row r="5" spans="1:146" ht="12.75">
      <c r="A5" s="9" t="s">
        <v>0</v>
      </c>
      <c r="C5" s="79" t="s">
        <v>174</v>
      </c>
      <c r="D5" s="79"/>
      <c r="E5" s="80"/>
      <c r="F5" s="10"/>
      <c r="H5" s="11" t="s">
        <v>172</v>
      </c>
      <c r="I5" s="14"/>
      <c r="J5" s="13"/>
      <c r="K5" s="82"/>
      <c r="M5" s="40" t="s">
        <v>19</v>
      </c>
      <c r="N5" s="12"/>
      <c r="O5" s="13"/>
      <c r="P5" s="82"/>
      <c r="R5" s="40" t="s">
        <v>132</v>
      </c>
      <c r="S5" s="12"/>
      <c r="T5" s="13"/>
      <c r="U5" s="82"/>
      <c r="V5" s="83"/>
      <c r="W5" s="40" t="s">
        <v>177</v>
      </c>
      <c r="X5" s="12"/>
      <c r="Y5" s="13"/>
      <c r="Z5" s="82"/>
      <c r="AB5" s="40" t="s">
        <v>133</v>
      </c>
      <c r="AC5" s="12"/>
      <c r="AD5" s="13"/>
      <c r="AE5" s="82"/>
      <c r="AG5" s="40" t="s">
        <v>134</v>
      </c>
      <c r="AH5" s="12"/>
      <c r="AI5" s="13"/>
      <c r="AJ5" s="82"/>
      <c r="AL5" s="40" t="s">
        <v>20</v>
      </c>
      <c r="AM5" s="12"/>
      <c r="AN5" s="13"/>
      <c r="AO5" s="82"/>
      <c r="AQ5" s="40" t="s">
        <v>21</v>
      </c>
      <c r="AR5" s="12"/>
      <c r="AS5" s="13"/>
      <c r="AT5" s="82"/>
      <c r="AV5" s="40" t="s">
        <v>93</v>
      </c>
      <c r="AW5" s="12"/>
      <c r="AX5" s="13"/>
      <c r="AY5" s="82"/>
      <c r="BA5" s="40" t="s">
        <v>135</v>
      </c>
      <c r="BB5" s="12"/>
      <c r="BC5" s="13"/>
      <c r="BD5" s="82"/>
      <c r="BF5" s="40" t="s">
        <v>168</v>
      </c>
      <c r="BG5" s="12"/>
      <c r="BH5" s="13"/>
      <c r="BI5" s="82"/>
      <c r="BK5" s="11" t="s">
        <v>22</v>
      </c>
      <c r="BL5" s="12"/>
      <c r="BM5" s="13"/>
      <c r="BN5" s="82"/>
      <c r="BP5" s="11" t="s">
        <v>169</v>
      </c>
      <c r="BQ5" s="12"/>
      <c r="BR5" s="13"/>
      <c r="BS5" s="82"/>
      <c r="BU5" s="11" t="s">
        <v>136</v>
      </c>
      <c r="BV5" s="12"/>
      <c r="BW5" s="13"/>
      <c r="BX5" s="82"/>
      <c r="BZ5" s="40" t="s">
        <v>23</v>
      </c>
      <c r="CA5" s="12"/>
      <c r="CB5" s="13"/>
      <c r="CC5" s="82"/>
      <c r="CE5" s="11" t="s">
        <v>24</v>
      </c>
      <c r="CF5" s="12"/>
      <c r="CG5" s="13"/>
      <c r="CH5" s="82"/>
      <c r="CJ5" s="40" t="s">
        <v>25</v>
      </c>
      <c r="CK5" s="12"/>
      <c r="CL5" s="13"/>
      <c r="CM5" s="82"/>
      <c r="CO5" s="40" t="s">
        <v>26</v>
      </c>
      <c r="CP5" s="14"/>
      <c r="CQ5" s="13"/>
      <c r="CR5" s="82"/>
      <c r="CT5" s="40" t="s">
        <v>27</v>
      </c>
      <c r="CU5" s="14"/>
      <c r="CV5" s="13"/>
      <c r="CW5" s="82"/>
      <c r="CY5" s="40" t="s">
        <v>28</v>
      </c>
      <c r="CZ5" s="14"/>
      <c r="DA5" s="13"/>
      <c r="DB5" s="82"/>
      <c r="DD5" s="40" t="s">
        <v>94</v>
      </c>
      <c r="DE5" s="14"/>
      <c r="DF5" s="13"/>
      <c r="DG5" s="82"/>
      <c r="DI5" s="40" t="s">
        <v>29</v>
      </c>
      <c r="DJ5" s="14"/>
      <c r="DK5" s="13"/>
      <c r="DL5" s="82"/>
      <c r="DM5" s="43"/>
      <c r="DN5" s="11" t="s">
        <v>30</v>
      </c>
      <c r="DO5" s="14"/>
      <c r="DP5" s="13"/>
      <c r="DQ5" s="82"/>
      <c r="DR5" s="44"/>
      <c r="DS5" s="11" t="s">
        <v>31</v>
      </c>
      <c r="DT5" s="14"/>
      <c r="DU5" s="13"/>
      <c r="DV5" s="82"/>
      <c r="DW5" s="44"/>
      <c r="DX5" s="11" t="s">
        <v>95</v>
      </c>
      <c r="DY5" s="14"/>
      <c r="DZ5" s="13"/>
      <c r="EA5" s="82"/>
      <c r="EB5" s="44"/>
      <c r="EC5" s="40" t="s">
        <v>137</v>
      </c>
      <c r="ED5" s="14"/>
      <c r="EE5" s="13"/>
      <c r="EF5" s="82"/>
      <c r="EG5" s="44"/>
      <c r="EH5" s="11" t="s">
        <v>96</v>
      </c>
      <c r="EI5" s="14"/>
      <c r="EJ5" s="13"/>
      <c r="EK5" s="82"/>
      <c r="EL5" s="44"/>
      <c r="EM5" s="11" t="s">
        <v>170</v>
      </c>
      <c r="EN5" s="14"/>
      <c r="EO5" s="13"/>
      <c r="EP5" s="82"/>
    </row>
    <row r="6" spans="1:146" ht="12.75">
      <c r="A6" s="20" t="s">
        <v>15</v>
      </c>
      <c r="B6" s="8"/>
      <c r="C6" s="41"/>
      <c r="D6" s="42" t="s">
        <v>115</v>
      </c>
      <c r="E6" s="13"/>
      <c r="F6" s="81" t="s">
        <v>175</v>
      </c>
      <c r="H6" s="21">
        <f>M6+R6+AB6+AG6+AL6+W6+AQ6+AV6+BA6+BK6+BU6+BZ6+CE6+CJ6+CO6+CT6+CY6+DD6+DI6+DN6+DS6+DX6+EC6+EH6</f>
        <v>0.14227249999999997</v>
      </c>
      <c r="I6" s="22">
        <v>0.223231</v>
      </c>
      <c r="J6" s="23"/>
      <c r="K6" s="81" t="s">
        <v>175</v>
      </c>
      <c r="M6" s="45">
        <v>0.0232253</v>
      </c>
      <c r="N6" s="8">
        <v>0.0468017</v>
      </c>
      <c r="O6" s="23"/>
      <c r="P6" s="81" t="s">
        <v>175</v>
      </c>
      <c r="R6" s="45">
        <v>0.0062124</v>
      </c>
      <c r="S6" s="8">
        <v>0.0065137</v>
      </c>
      <c r="T6" s="23"/>
      <c r="U6" s="81" t="s">
        <v>175</v>
      </c>
      <c r="V6" s="84"/>
      <c r="W6" s="45">
        <v>0.0009275</v>
      </c>
      <c r="X6" s="8">
        <v>0.000936</v>
      </c>
      <c r="Y6" s="23"/>
      <c r="Z6" s="81" t="s">
        <v>175</v>
      </c>
      <c r="AB6" s="45">
        <v>0.0028654</v>
      </c>
      <c r="AC6" s="8">
        <v>0.0055081</v>
      </c>
      <c r="AD6" s="23"/>
      <c r="AE6" s="81" t="s">
        <v>175</v>
      </c>
      <c r="AG6" s="45">
        <v>0.0024251</v>
      </c>
      <c r="AH6" s="8">
        <v>0.0024473</v>
      </c>
      <c r="AI6" s="23"/>
      <c r="AJ6" s="81" t="s">
        <v>175</v>
      </c>
      <c r="AL6" s="45">
        <v>0.0007691</v>
      </c>
      <c r="AM6" s="8">
        <v>0.0015559</v>
      </c>
      <c r="AN6" s="23"/>
      <c r="AO6" s="81" t="s">
        <v>175</v>
      </c>
      <c r="AQ6" s="45">
        <v>0.0037867</v>
      </c>
      <c r="AR6" s="8">
        <v>0.0041985</v>
      </c>
      <c r="AS6" s="23"/>
      <c r="AT6" s="81" t="s">
        <v>175</v>
      </c>
      <c r="AV6" s="45">
        <v>8E-07</v>
      </c>
      <c r="AW6" s="8">
        <v>8E-07</v>
      </c>
      <c r="AX6" s="23"/>
      <c r="AY6" s="81" t="s">
        <v>175</v>
      </c>
      <c r="BA6" s="45">
        <v>0.0025737</v>
      </c>
      <c r="BB6" s="8">
        <v>0.0025973</v>
      </c>
      <c r="BC6" s="23"/>
      <c r="BD6" s="81" t="s">
        <v>175</v>
      </c>
      <c r="BF6" s="45">
        <v>0</v>
      </c>
      <c r="BG6" s="8">
        <v>0.0047809</v>
      </c>
      <c r="BH6" s="23"/>
      <c r="BI6" s="81" t="s">
        <v>175</v>
      </c>
      <c r="BK6" s="45">
        <v>0.0078164</v>
      </c>
      <c r="BL6" s="8">
        <v>0.0124444</v>
      </c>
      <c r="BM6" s="23"/>
      <c r="BN6" s="81" t="s">
        <v>175</v>
      </c>
      <c r="BP6" s="45">
        <v>0</v>
      </c>
      <c r="BQ6" s="8">
        <v>0.0012659</v>
      </c>
      <c r="BR6" s="23"/>
      <c r="BS6" s="81" t="s">
        <v>175</v>
      </c>
      <c r="BU6" s="45">
        <v>0.0001568</v>
      </c>
      <c r="BV6" s="8">
        <v>0.0001582</v>
      </c>
      <c r="BW6" s="23"/>
      <c r="BX6" s="81" t="s">
        <v>175</v>
      </c>
      <c r="BZ6" s="45">
        <v>0.0001416</v>
      </c>
      <c r="CA6" s="8">
        <v>0.0001429</v>
      </c>
      <c r="CB6" s="23"/>
      <c r="CC6" s="81" t="s">
        <v>175</v>
      </c>
      <c r="CE6" s="45">
        <v>0.0021433</v>
      </c>
      <c r="CF6" s="8">
        <v>0.0035531</v>
      </c>
      <c r="CG6" s="23"/>
      <c r="CH6" s="81" t="s">
        <v>175</v>
      </c>
      <c r="CJ6" s="45">
        <v>0.0001105</v>
      </c>
      <c r="CK6" s="8">
        <v>0.0002758</v>
      </c>
      <c r="CL6" s="23"/>
      <c r="CM6" s="81" t="s">
        <v>175</v>
      </c>
      <c r="CO6" s="45">
        <v>0.0019505</v>
      </c>
      <c r="CP6" s="22">
        <v>0.0021815</v>
      </c>
      <c r="CQ6" s="23"/>
      <c r="CR6" s="81" t="s">
        <v>175</v>
      </c>
      <c r="CT6" s="45">
        <v>0.0110992</v>
      </c>
      <c r="CU6" s="22">
        <v>0.0112641</v>
      </c>
      <c r="CV6" s="23"/>
      <c r="CW6" s="81" t="s">
        <v>175</v>
      </c>
      <c r="CY6" s="45">
        <v>0.0008856</v>
      </c>
      <c r="CZ6" s="22">
        <v>0.0008937</v>
      </c>
      <c r="DA6" s="23"/>
      <c r="DB6" s="81" t="s">
        <v>175</v>
      </c>
      <c r="DD6" s="45">
        <v>0.0003003</v>
      </c>
      <c r="DE6" s="22">
        <v>0.0024264</v>
      </c>
      <c r="DF6" s="23"/>
      <c r="DG6" s="81" t="s">
        <v>175</v>
      </c>
      <c r="DI6" s="45">
        <v>0.0022678</v>
      </c>
      <c r="DJ6" s="22">
        <v>0.0027208</v>
      </c>
      <c r="DK6" s="23"/>
      <c r="DL6" s="81" t="s">
        <v>175</v>
      </c>
      <c r="DM6" s="43"/>
      <c r="DN6" s="45">
        <v>0.0063511</v>
      </c>
      <c r="DO6" s="22">
        <v>0.0068555</v>
      </c>
      <c r="DP6" s="23"/>
      <c r="DQ6" s="81" t="s">
        <v>175</v>
      </c>
      <c r="DR6" s="44"/>
      <c r="DS6" s="45">
        <v>0.0079036</v>
      </c>
      <c r="DT6" s="22">
        <v>0.0105327</v>
      </c>
      <c r="DU6" s="23"/>
      <c r="DV6" s="81" t="s">
        <v>175</v>
      </c>
      <c r="DW6" s="44"/>
      <c r="DX6" s="45">
        <v>0.0432289</v>
      </c>
      <c r="DY6" s="22">
        <v>0.0499299</v>
      </c>
      <c r="DZ6" s="23"/>
      <c r="EA6" s="81" t="s">
        <v>175</v>
      </c>
      <c r="EB6" s="44"/>
      <c r="EC6" s="45">
        <v>0.0150947</v>
      </c>
      <c r="ED6" s="22">
        <v>0.0422346</v>
      </c>
      <c r="EE6" s="23"/>
      <c r="EF6" s="81" t="s">
        <v>175</v>
      </c>
      <c r="EG6" s="44"/>
      <c r="EH6" s="45">
        <v>3.62E-05</v>
      </c>
      <c r="EI6" s="22">
        <v>0.000265</v>
      </c>
      <c r="EJ6" s="23"/>
      <c r="EK6" s="81" t="s">
        <v>175</v>
      </c>
      <c r="EL6" s="34"/>
      <c r="EM6" s="45">
        <v>0</v>
      </c>
      <c r="EN6" s="22">
        <v>0.0007463</v>
      </c>
      <c r="EO6" s="23"/>
      <c r="EP6" s="81" t="s">
        <v>175</v>
      </c>
    </row>
    <row r="7" spans="1:146" ht="12.75">
      <c r="A7" s="29"/>
      <c r="C7" s="30" t="s">
        <v>16</v>
      </c>
      <c r="D7" s="30" t="s">
        <v>17</v>
      </c>
      <c r="E7" s="30" t="s">
        <v>18</v>
      </c>
      <c r="F7" s="30" t="s">
        <v>176</v>
      </c>
      <c r="H7" s="30" t="s">
        <v>16</v>
      </c>
      <c r="I7" s="30" t="s">
        <v>17</v>
      </c>
      <c r="J7" s="30" t="s">
        <v>18</v>
      </c>
      <c r="K7" s="30" t="s">
        <v>176</v>
      </c>
      <c r="M7" s="30" t="s">
        <v>16</v>
      </c>
      <c r="N7" s="30" t="s">
        <v>17</v>
      </c>
      <c r="O7" s="30" t="s">
        <v>18</v>
      </c>
      <c r="P7" s="30" t="s">
        <v>176</v>
      </c>
      <c r="R7" s="30" t="s">
        <v>16</v>
      </c>
      <c r="S7" s="30" t="s">
        <v>17</v>
      </c>
      <c r="T7" s="30" t="s">
        <v>18</v>
      </c>
      <c r="U7" s="30" t="s">
        <v>176</v>
      </c>
      <c r="V7" s="84"/>
      <c r="W7" s="30" t="s">
        <v>16</v>
      </c>
      <c r="X7" s="30" t="s">
        <v>17</v>
      </c>
      <c r="Y7" s="30" t="s">
        <v>18</v>
      </c>
      <c r="Z7" s="30" t="s">
        <v>176</v>
      </c>
      <c r="AB7" s="30" t="s">
        <v>16</v>
      </c>
      <c r="AC7" s="30" t="s">
        <v>17</v>
      </c>
      <c r="AD7" s="30" t="s">
        <v>18</v>
      </c>
      <c r="AE7" s="30" t="s">
        <v>176</v>
      </c>
      <c r="AG7" s="30" t="s">
        <v>16</v>
      </c>
      <c r="AH7" s="30" t="s">
        <v>17</v>
      </c>
      <c r="AI7" s="30" t="s">
        <v>18</v>
      </c>
      <c r="AJ7" s="30" t="s">
        <v>176</v>
      </c>
      <c r="AL7" s="30" t="s">
        <v>16</v>
      </c>
      <c r="AM7" s="30" t="s">
        <v>17</v>
      </c>
      <c r="AN7" s="30" t="s">
        <v>18</v>
      </c>
      <c r="AO7" s="30" t="s">
        <v>176</v>
      </c>
      <c r="AQ7" s="30" t="s">
        <v>16</v>
      </c>
      <c r="AR7" s="30" t="s">
        <v>17</v>
      </c>
      <c r="AS7" s="30" t="s">
        <v>18</v>
      </c>
      <c r="AT7" s="30" t="s">
        <v>176</v>
      </c>
      <c r="AV7" s="30" t="s">
        <v>16</v>
      </c>
      <c r="AW7" s="30" t="s">
        <v>17</v>
      </c>
      <c r="AX7" s="30" t="s">
        <v>18</v>
      </c>
      <c r="AY7" s="30" t="s">
        <v>176</v>
      </c>
      <c r="BA7" s="30" t="s">
        <v>16</v>
      </c>
      <c r="BB7" s="30" t="s">
        <v>17</v>
      </c>
      <c r="BC7" s="30" t="s">
        <v>18</v>
      </c>
      <c r="BD7" s="30" t="s">
        <v>176</v>
      </c>
      <c r="BF7" s="30" t="s">
        <v>16</v>
      </c>
      <c r="BG7" s="30" t="s">
        <v>17</v>
      </c>
      <c r="BH7" s="30" t="s">
        <v>18</v>
      </c>
      <c r="BI7" s="30" t="s">
        <v>176</v>
      </c>
      <c r="BK7" s="30" t="s">
        <v>16</v>
      </c>
      <c r="BL7" s="30" t="s">
        <v>17</v>
      </c>
      <c r="BM7" s="30" t="s">
        <v>18</v>
      </c>
      <c r="BN7" s="30" t="s">
        <v>176</v>
      </c>
      <c r="BP7" s="30" t="s">
        <v>16</v>
      </c>
      <c r="BQ7" s="30" t="s">
        <v>17</v>
      </c>
      <c r="BR7" s="30" t="s">
        <v>18</v>
      </c>
      <c r="BS7" s="30" t="s">
        <v>176</v>
      </c>
      <c r="BU7" s="30" t="s">
        <v>16</v>
      </c>
      <c r="BV7" s="30" t="s">
        <v>17</v>
      </c>
      <c r="BW7" s="30" t="s">
        <v>18</v>
      </c>
      <c r="BX7" s="30" t="s">
        <v>176</v>
      </c>
      <c r="BZ7" s="30" t="s">
        <v>16</v>
      </c>
      <c r="CA7" s="30" t="s">
        <v>17</v>
      </c>
      <c r="CB7" s="30" t="s">
        <v>18</v>
      </c>
      <c r="CC7" s="30" t="s">
        <v>176</v>
      </c>
      <c r="CE7" s="30" t="s">
        <v>16</v>
      </c>
      <c r="CF7" s="30" t="s">
        <v>17</v>
      </c>
      <c r="CG7" s="30" t="s">
        <v>18</v>
      </c>
      <c r="CH7" s="30" t="s">
        <v>176</v>
      </c>
      <c r="CJ7" s="30" t="s">
        <v>16</v>
      </c>
      <c r="CK7" s="30" t="s">
        <v>17</v>
      </c>
      <c r="CL7" s="30" t="s">
        <v>18</v>
      </c>
      <c r="CM7" s="30" t="s">
        <v>176</v>
      </c>
      <c r="CO7" s="30" t="s">
        <v>16</v>
      </c>
      <c r="CP7" s="30" t="s">
        <v>17</v>
      </c>
      <c r="CQ7" s="30" t="s">
        <v>18</v>
      </c>
      <c r="CR7" s="30" t="s">
        <v>176</v>
      </c>
      <c r="CT7" s="30" t="s">
        <v>16</v>
      </c>
      <c r="CU7" s="30" t="s">
        <v>17</v>
      </c>
      <c r="CV7" s="30" t="s">
        <v>18</v>
      </c>
      <c r="CW7" s="30" t="s">
        <v>176</v>
      </c>
      <c r="CY7" s="30" t="s">
        <v>16</v>
      </c>
      <c r="CZ7" s="30" t="s">
        <v>17</v>
      </c>
      <c r="DA7" s="30" t="s">
        <v>18</v>
      </c>
      <c r="DB7" s="30" t="s">
        <v>176</v>
      </c>
      <c r="DD7" s="30" t="s">
        <v>16</v>
      </c>
      <c r="DE7" s="30" t="s">
        <v>17</v>
      </c>
      <c r="DF7" s="30" t="s">
        <v>18</v>
      </c>
      <c r="DG7" s="30" t="s">
        <v>176</v>
      </c>
      <c r="DI7" s="30" t="s">
        <v>16</v>
      </c>
      <c r="DJ7" s="30" t="s">
        <v>17</v>
      </c>
      <c r="DK7" s="30" t="s">
        <v>18</v>
      </c>
      <c r="DL7" s="30" t="s">
        <v>176</v>
      </c>
      <c r="DM7" s="46"/>
      <c r="DN7" s="30" t="s">
        <v>16</v>
      </c>
      <c r="DO7" s="30" t="s">
        <v>17</v>
      </c>
      <c r="DP7" s="30" t="s">
        <v>18</v>
      </c>
      <c r="DQ7" s="30" t="s">
        <v>176</v>
      </c>
      <c r="DR7" s="46"/>
      <c r="DS7" s="30" t="s">
        <v>16</v>
      </c>
      <c r="DT7" s="30" t="s">
        <v>17</v>
      </c>
      <c r="DU7" s="30" t="s">
        <v>18</v>
      </c>
      <c r="DV7" s="30" t="s">
        <v>176</v>
      </c>
      <c r="DW7" s="46"/>
      <c r="DX7" s="30" t="s">
        <v>16</v>
      </c>
      <c r="DY7" s="30" t="s">
        <v>17</v>
      </c>
      <c r="DZ7" s="30" t="s">
        <v>18</v>
      </c>
      <c r="EA7" s="30" t="s">
        <v>176</v>
      </c>
      <c r="EB7" s="46"/>
      <c r="EC7" s="30" t="s">
        <v>16</v>
      </c>
      <c r="ED7" s="30" t="s">
        <v>17</v>
      </c>
      <c r="EE7" s="30" t="s">
        <v>18</v>
      </c>
      <c r="EF7" s="30" t="s">
        <v>176</v>
      </c>
      <c r="EG7" s="46"/>
      <c r="EH7" s="30" t="s">
        <v>16</v>
      </c>
      <c r="EI7" s="30" t="s">
        <v>17</v>
      </c>
      <c r="EJ7" s="30" t="s">
        <v>18</v>
      </c>
      <c r="EK7" s="30" t="s">
        <v>176</v>
      </c>
      <c r="EL7" s="74"/>
      <c r="EM7" s="30" t="s">
        <v>16</v>
      </c>
      <c r="EN7" s="30" t="s">
        <v>17</v>
      </c>
      <c r="EO7" s="30" t="s">
        <v>18</v>
      </c>
      <c r="EP7" s="30" t="s">
        <v>176</v>
      </c>
    </row>
    <row r="8" spans="1:146" ht="12.75">
      <c r="A8" s="36">
        <v>43009</v>
      </c>
      <c r="B8" s="37"/>
      <c r="C8" s="78"/>
      <c r="D8" s="78">
        <v>1426564</v>
      </c>
      <c r="E8" s="34">
        <f aca="true" t="shared" si="0" ref="E8:E33">C8+D8</f>
        <v>1426564</v>
      </c>
      <c r="F8" s="34">
        <v>79572</v>
      </c>
      <c r="H8" s="47"/>
      <c r="I8" s="35">
        <f aca="true" t="shared" si="1" ref="I8:I33">N8+S8+AC8+AH8+AM8+X8+AR8+AW8+BB8+BG8+BL8+BQ8+BV8+CA8+CF8+CK8+CP8+CU8+CZ8+DE8+DJ8+DO8+DT8+DY8+ED8+EI8+EN8</f>
        <v>318453.30828399997</v>
      </c>
      <c r="J8" s="35">
        <f aca="true" t="shared" si="2" ref="J8:J33">H8+I8</f>
        <v>318453.30828399997</v>
      </c>
      <c r="K8" s="35">
        <f aca="true" t="shared" si="3" ref="K8:K33">P8+U8+AE8+AJ8+AO8+Z8+AT8+AY8+BD8+BN8+BX8+CC8+CH8+CM8+CR8+CW8+DB8+DG8+DL8+DQ8+DV8+EA8+EF8+EK8+BI8+BS8+EP8</f>
        <v>17762.937132</v>
      </c>
      <c r="N8" s="5">
        <f aca="true" t="shared" si="4" ref="N8:N33">$D8*N$6</f>
        <v>66765.6203588</v>
      </c>
      <c r="O8" s="5">
        <f aca="true" t="shared" si="5" ref="O8:O33">M8+N8</f>
        <v>66765.6203588</v>
      </c>
      <c r="P8" s="35">
        <f aca="true" t="shared" si="6" ref="P8:P33">$F8*N$6</f>
        <v>3724.1048724</v>
      </c>
      <c r="S8" s="5">
        <f aca="true" t="shared" si="7" ref="S8:S33">$D8*S$6</f>
        <v>9292.2099268</v>
      </c>
      <c r="T8" s="35">
        <f aca="true" t="shared" si="8" ref="T8:T33">R8+S8</f>
        <v>9292.2099268</v>
      </c>
      <c r="U8" s="35">
        <f aca="true" t="shared" si="9" ref="U8:U33">$F8*S$6</f>
        <v>518.3081364</v>
      </c>
      <c r="V8" s="35"/>
      <c r="X8" s="5">
        <f aca="true" t="shared" si="10" ref="X8:X33">$D8*X$6</f>
        <v>1335.263904</v>
      </c>
      <c r="Y8" s="5">
        <f aca="true" t="shared" si="11" ref="Y8:Y33">W8+X8</f>
        <v>1335.263904</v>
      </c>
      <c r="Z8" s="35">
        <f aca="true" t="shared" si="12" ref="Z8:Z33">$F8*X$6</f>
        <v>74.479392</v>
      </c>
      <c r="AC8" s="5">
        <f aca="true" t="shared" si="13" ref="AC8:AC33">$D8*AC$6</f>
        <v>7857.6571684</v>
      </c>
      <c r="AD8" s="5">
        <f>AB8+AC8</f>
        <v>7857.6571684</v>
      </c>
      <c r="AE8" s="35">
        <f aca="true" t="shared" si="14" ref="AE8:AE33">$F8*AC$6</f>
        <v>438.2905332</v>
      </c>
      <c r="AH8" s="5">
        <f aca="true" t="shared" si="15" ref="AH8:AH33">$D8*AH$6</f>
        <v>3491.2300772</v>
      </c>
      <c r="AI8" s="5">
        <f aca="true" t="shared" si="16" ref="AI8:AI33">AG8+AH8</f>
        <v>3491.2300772</v>
      </c>
      <c r="AJ8" s="35">
        <f aca="true" t="shared" si="17" ref="AJ8:AJ33">$F8*AH$6</f>
        <v>194.7365556</v>
      </c>
      <c r="AM8" s="5">
        <f aca="true" t="shared" si="18" ref="AM8:AM33">$D8*AM$6</f>
        <v>2219.5909276</v>
      </c>
      <c r="AN8" s="5">
        <f aca="true" t="shared" si="19" ref="AN8:AN33">AL8+AM8</f>
        <v>2219.5909276</v>
      </c>
      <c r="AO8" s="35">
        <f aca="true" t="shared" si="20" ref="AO8:AO33">$F8*AM$6</f>
        <v>123.8060748</v>
      </c>
      <c r="AR8" s="5">
        <f aca="true" t="shared" si="21" ref="AR8:AR33">$D8*AR$6</f>
        <v>5989.428954</v>
      </c>
      <c r="AS8" s="5">
        <f aca="true" t="shared" si="22" ref="AS8:AS33">AQ8+AR8</f>
        <v>5989.428954</v>
      </c>
      <c r="AT8" s="35">
        <f aca="true" t="shared" si="23" ref="AT8:AT33">$F8*AR$6</f>
        <v>334.083042</v>
      </c>
      <c r="AW8" s="5">
        <f aca="true" t="shared" si="24" ref="AW8:AW33">$D8*AW$6</f>
        <v>1.1412512</v>
      </c>
      <c r="AX8" s="5">
        <f aca="true" t="shared" si="25" ref="AX8:AX33">AV8+AW8</f>
        <v>1.1412512</v>
      </c>
      <c r="AY8" s="35">
        <f aca="true" t="shared" si="26" ref="AY8:AY33">$F8*AW$6</f>
        <v>0.0636576</v>
      </c>
      <c r="BB8" s="5">
        <f aca="true" t="shared" si="27" ref="BB8:BB33">$D8*BB$6</f>
        <v>3705.2146771999996</v>
      </c>
      <c r="BC8" s="35">
        <f aca="true" t="shared" si="28" ref="BC8:BC33">BA8+BB8</f>
        <v>3705.2146771999996</v>
      </c>
      <c r="BD8" s="35">
        <f aca="true" t="shared" si="29" ref="BD8:BD33">$F8*BB$6</f>
        <v>206.6723556</v>
      </c>
      <c r="BG8" s="5">
        <f aca="true" t="shared" si="30" ref="BG8:BG33">$D8*BG$6</f>
        <v>6820.259827600001</v>
      </c>
      <c r="BH8" s="5">
        <f aca="true" t="shared" si="31" ref="BH8:BH33">BF8+BG8</f>
        <v>6820.259827600001</v>
      </c>
      <c r="BI8" s="35">
        <f aca="true" t="shared" si="32" ref="BI8:BI33">$F8*BG$6</f>
        <v>380.4257748</v>
      </c>
      <c r="BL8" s="5">
        <f aca="true" t="shared" si="33" ref="BL8:BL33">$D8*BL$6</f>
        <v>17752.7330416</v>
      </c>
      <c r="BM8" s="5">
        <f aca="true" t="shared" si="34" ref="BM8:BM33">BK8+BL8</f>
        <v>17752.7330416</v>
      </c>
      <c r="BN8" s="35">
        <f aca="true" t="shared" si="35" ref="BN8:BN33">$F8*BL$6</f>
        <v>990.2257968</v>
      </c>
      <c r="BQ8" s="5">
        <f aca="true" t="shared" si="36" ref="BQ8:BQ33">$D8*BQ$6</f>
        <v>1805.8873675999998</v>
      </c>
      <c r="BR8" s="5">
        <f aca="true" t="shared" si="37" ref="BR8:BR33">BP8+BQ8</f>
        <v>1805.8873675999998</v>
      </c>
      <c r="BS8" s="35">
        <f aca="true" t="shared" si="38" ref="BS8:BS33">$F8*BQ$6</f>
        <v>100.73019479999999</v>
      </c>
      <c r="BV8" s="5">
        <f aca="true" t="shared" si="39" ref="BV8:BV33">$D8*BV$6</f>
        <v>225.6824248</v>
      </c>
      <c r="BW8" s="5">
        <f aca="true" t="shared" si="40" ref="BW8:BW33">BU8+BV8</f>
        <v>225.6824248</v>
      </c>
      <c r="BX8" s="35">
        <f aca="true" t="shared" si="41" ref="BX8:BX33">$F8*BV$6</f>
        <v>12.5882904</v>
      </c>
      <c r="CA8" s="5">
        <f aca="true" t="shared" si="42" ref="CA8:CA33">$D8*CA$6</f>
        <v>203.8559956</v>
      </c>
      <c r="CB8" s="5">
        <f aca="true" t="shared" si="43" ref="CB8:CB33">BZ8+CA8</f>
        <v>203.8559956</v>
      </c>
      <c r="CC8" s="35">
        <f aca="true" t="shared" si="44" ref="CC8:CC33">$F8*CA$6</f>
        <v>11.3708388</v>
      </c>
      <c r="CF8" s="5">
        <f aca="true" t="shared" si="45" ref="CF8:CF33">$D8*CF$6</f>
        <v>5068.7245484000005</v>
      </c>
      <c r="CG8" s="5">
        <f aca="true" t="shared" si="46" ref="CG8:CG33">CE8+CF8</f>
        <v>5068.7245484000005</v>
      </c>
      <c r="CH8" s="35">
        <f aca="true" t="shared" si="47" ref="CH8:CH33">$F8*CF$6</f>
        <v>282.7272732</v>
      </c>
      <c r="CK8" s="5">
        <f aca="true" t="shared" si="48" ref="CK8:CK33">$D8*CK$6</f>
        <v>393.4463512</v>
      </c>
      <c r="CL8" s="5">
        <f aca="true" t="shared" si="49" ref="CL8:CL33">CJ8+CK8</f>
        <v>393.4463512</v>
      </c>
      <c r="CM8" s="35">
        <f aca="true" t="shared" si="50" ref="CM8:CM33">$F8*CK$6</f>
        <v>21.9459576</v>
      </c>
      <c r="CP8" s="5">
        <f aca="true" t="shared" si="51" ref="CP8:CP33">$D8*CP$6</f>
        <v>3112.0493659999997</v>
      </c>
      <c r="CQ8" s="35">
        <f aca="true" t="shared" si="52" ref="CQ8:CQ33">CO8+CP8</f>
        <v>3112.0493659999997</v>
      </c>
      <c r="CR8" s="35">
        <f aca="true" t="shared" si="53" ref="CR8:CR33">$F8*CP$6</f>
        <v>173.58631799999998</v>
      </c>
      <c r="CU8" s="5">
        <f aca="true" t="shared" si="54" ref="CU8:CU33">$D8*CU$6</f>
        <v>16068.959552400001</v>
      </c>
      <c r="CV8" s="5">
        <f aca="true" t="shared" si="55" ref="CV8:CV33">CT8+CU8</f>
        <v>16068.959552400001</v>
      </c>
      <c r="CW8" s="35">
        <f aca="true" t="shared" si="56" ref="CW8:CW33">$F8*CU$6</f>
        <v>896.3069652</v>
      </c>
      <c r="CZ8" s="5">
        <f aca="true" t="shared" si="57" ref="CZ8:CZ33">$D8*CZ$6</f>
        <v>1274.9202468</v>
      </c>
      <c r="DA8" s="5">
        <f aca="true" t="shared" si="58" ref="DA8:DA33">CY8+CZ8</f>
        <v>1274.9202468</v>
      </c>
      <c r="DB8" s="35">
        <f aca="true" t="shared" si="59" ref="DB8:DB33">$F8*CZ$6</f>
        <v>71.1134964</v>
      </c>
      <c r="DE8" s="5">
        <f aca="true" t="shared" si="60" ref="DE8:DE33">$D8*DE$6</f>
        <v>3461.4148896</v>
      </c>
      <c r="DF8" s="5">
        <f aca="true" t="shared" si="61" ref="DF8:DF33">DD8+DE8</f>
        <v>3461.4148896</v>
      </c>
      <c r="DG8" s="35">
        <f aca="true" t="shared" si="62" ref="DG8:DG33">$F8*DE$6</f>
        <v>193.0735008</v>
      </c>
      <c r="DJ8" s="5">
        <f aca="true" t="shared" si="63" ref="DJ8:DJ33">$D8*DJ$6</f>
        <v>3881.3953312000003</v>
      </c>
      <c r="DK8" s="35">
        <f aca="true" t="shared" si="64" ref="DK8:DK33">DI8+DJ8</f>
        <v>3881.3953312000003</v>
      </c>
      <c r="DL8" s="35">
        <f aca="true" t="shared" si="65" ref="DL8:DL33">$F8*DJ$6</f>
        <v>216.4994976</v>
      </c>
      <c r="DO8" s="5">
        <f aca="true" t="shared" si="66" ref="DO8:DO33">$D8*DO$6</f>
        <v>9779.809502</v>
      </c>
      <c r="DP8" s="35">
        <f aca="true" t="shared" si="67" ref="DP8:DP33">DN8+DO8</f>
        <v>9779.809502</v>
      </c>
      <c r="DQ8" s="35">
        <f aca="true" t="shared" si="68" ref="DQ8:DQ33">$F8*DO$6</f>
        <v>545.505846</v>
      </c>
      <c r="DT8" s="5">
        <f aca="true" t="shared" si="69" ref="DT8:DT33">$D8*DT$6</f>
        <v>15025.570642800001</v>
      </c>
      <c r="DU8" s="35">
        <f aca="true" t="shared" si="70" ref="DU8:DU33">DS8+DT8</f>
        <v>15025.570642800001</v>
      </c>
      <c r="DV8" s="35">
        <f aca="true" t="shared" si="71" ref="DV8:DV33">$F8*DT$6</f>
        <v>838.1080044</v>
      </c>
      <c r="DY8" s="5">
        <f aca="true" t="shared" si="72" ref="DY8:DY33">$D8*DY$6</f>
        <v>71228.1978636</v>
      </c>
      <c r="DZ8" s="5">
        <f aca="true" t="shared" si="73" ref="DZ8:DZ33">DX8+DY8</f>
        <v>71228.1978636</v>
      </c>
      <c r="EA8" s="35">
        <f aca="true" t="shared" si="74" ref="EA8:EA33">$F8*DY$6</f>
        <v>3973.0220028</v>
      </c>
      <c r="ED8" s="5">
        <f aca="true" t="shared" si="75" ref="ED8:ED33">$D8*ED$6</f>
        <v>60250.359914399996</v>
      </c>
      <c r="EE8" s="5">
        <f aca="true" t="shared" si="76" ref="EE8:EE33">EC8+ED8</f>
        <v>60250.359914399996</v>
      </c>
      <c r="EF8" s="35">
        <f aca="true" t="shared" si="77" ref="EF8:EF33">$F8*ED$6</f>
        <v>3360.6915912</v>
      </c>
      <c r="EI8" s="5">
        <f aca="true" t="shared" si="78" ref="EI8:EI33">$D8*EI$6</f>
        <v>378.03945999999996</v>
      </c>
      <c r="EJ8" s="5">
        <f aca="true" t="shared" si="79" ref="EJ8:EJ33">EH8+EI8</f>
        <v>378.03945999999996</v>
      </c>
      <c r="EK8" s="35">
        <f aca="true" t="shared" si="80" ref="EK8:EK33">$F8*EI$6</f>
        <v>21.086579999999998</v>
      </c>
      <c r="EN8" s="5">
        <f aca="true" t="shared" si="81" ref="EN8:EN33">$D8*EN$6</f>
        <v>1064.6447132</v>
      </c>
      <c r="EO8" s="5">
        <f aca="true" t="shared" si="82" ref="EO8:EO33">EM8+EN8</f>
        <v>1064.6447132</v>
      </c>
      <c r="EP8" s="35">
        <f aca="true" t="shared" si="83" ref="EP8:EP33">$F8*EN$6</f>
        <v>59.3845836</v>
      </c>
    </row>
    <row r="9" spans="1:146" ht="12.75">
      <c r="A9" s="36">
        <v>43191</v>
      </c>
      <c r="C9" s="78">
        <v>5490000</v>
      </c>
      <c r="D9" s="78">
        <v>1426564</v>
      </c>
      <c r="E9" s="34">
        <f t="shared" si="0"/>
        <v>6916564</v>
      </c>
      <c r="F9" s="34">
        <v>79572</v>
      </c>
      <c r="H9" s="47">
        <f>M9+R9+AB9+AG9+AL9+W9+AQ9+AV9+BA9+BF9+BK9+BP9+BU9+BZ9+CE9+CJ9+CO9+CT9+CY9+DD9+DI9+DN9+DS9+DX9+EC9+EH9+EM9</f>
        <v>1225538.19</v>
      </c>
      <c r="I9" s="35">
        <f t="shared" si="1"/>
        <v>318453.30828399997</v>
      </c>
      <c r="J9" s="35">
        <f t="shared" si="2"/>
        <v>1543991.498284</v>
      </c>
      <c r="K9" s="35">
        <f t="shared" si="3"/>
        <v>17762.937132</v>
      </c>
      <c r="M9" s="5">
        <f aca="true" t="shared" si="84" ref="M9:M33">$C9*N$6</f>
        <v>256941.333</v>
      </c>
      <c r="N9" s="5">
        <f t="shared" si="4"/>
        <v>66765.6203588</v>
      </c>
      <c r="O9" s="5">
        <f t="shared" si="5"/>
        <v>323706.95335880003</v>
      </c>
      <c r="P9" s="35">
        <f t="shared" si="6"/>
        <v>3724.1048724</v>
      </c>
      <c r="R9" s="5">
        <f aca="true" t="shared" si="85" ref="R9:R33">$C9*S$6</f>
        <v>35760.212999999996</v>
      </c>
      <c r="S9" s="5">
        <f t="shared" si="7"/>
        <v>9292.2099268</v>
      </c>
      <c r="T9" s="35">
        <f t="shared" si="8"/>
        <v>45052.4229268</v>
      </c>
      <c r="U9" s="35">
        <f t="shared" si="9"/>
        <v>518.3081364</v>
      </c>
      <c r="V9" s="35"/>
      <c r="W9" s="5">
        <f aca="true" t="shared" si="86" ref="W9:W33">$C9*X$6</f>
        <v>5138.64</v>
      </c>
      <c r="X9" s="5">
        <f t="shared" si="10"/>
        <v>1335.263904</v>
      </c>
      <c r="Y9" s="5">
        <f t="shared" si="11"/>
        <v>6473.903904000001</v>
      </c>
      <c r="Z9" s="35">
        <f t="shared" si="12"/>
        <v>74.479392</v>
      </c>
      <c r="AB9" s="5">
        <f aca="true" t="shared" si="87" ref="AB9:AB33">$C9*AC$6</f>
        <v>30239.469</v>
      </c>
      <c r="AC9" s="5">
        <f t="shared" si="13"/>
        <v>7857.6571684</v>
      </c>
      <c r="AD9" s="5">
        <f>AB9+AC9</f>
        <v>38097.1261684</v>
      </c>
      <c r="AE9" s="35">
        <f t="shared" si="14"/>
        <v>438.2905332</v>
      </c>
      <c r="AG9" s="5">
        <f aca="true" t="shared" si="88" ref="AG9:AG33">$C9*AH$6</f>
        <v>13435.677</v>
      </c>
      <c r="AH9" s="5">
        <f t="shared" si="15"/>
        <v>3491.2300772</v>
      </c>
      <c r="AI9" s="5">
        <f t="shared" si="16"/>
        <v>16926.907077199998</v>
      </c>
      <c r="AJ9" s="35">
        <f t="shared" si="17"/>
        <v>194.7365556</v>
      </c>
      <c r="AL9" s="5">
        <f aca="true" t="shared" si="89" ref="AL9:AL33">$C9*AM$6</f>
        <v>8541.891</v>
      </c>
      <c r="AM9" s="5">
        <f t="shared" si="18"/>
        <v>2219.5909276</v>
      </c>
      <c r="AN9" s="5">
        <f t="shared" si="19"/>
        <v>10761.4819276</v>
      </c>
      <c r="AO9" s="35">
        <f t="shared" si="20"/>
        <v>123.8060748</v>
      </c>
      <c r="AQ9" s="5">
        <f aca="true" t="shared" si="90" ref="AQ9:AQ33">$C9*AR$6</f>
        <v>23049.765</v>
      </c>
      <c r="AR9" s="5">
        <f t="shared" si="21"/>
        <v>5989.428954</v>
      </c>
      <c r="AS9" s="5">
        <f t="shared" si="22"/>
        <v>29039.193954</v>
      </c>
      <c r="AT9" s="35">
        <f t="shared" si="23"/>
        <v>334.083042</v>
      </c>
      <c r="AV9" s="5">
        <f aca="true" t="shared" si="91" ref="AV9:AV33">$C9*AW$6</f>
        <v>4.3919999999999995</v>
      </c>
      <c r="AW9" s="5">
        <f t="shared" si="24"/>
        <v>1.1412512</v>
      </c>
      <c r="AX9" s="5">
        <f t="shared" si="25"/>
        <v>5.5332512</v>
      </c>
      <c r="AY9" s="35">
        <f t="shared" si="26"/>
        <v>0.0636576</v>
      </c>
      <c r="BA9" s="5">
        <f aca="true" t="shared" si="92" ref="BA9:BA33">$C9*BB$6</f>
        <v>14259.177</v>
      </c>
      <c r="BB9" s="5">
        <f t="shared" si="27"/>
        <v>3705.2146771999996</v>
      </c>
      <c r="BC9" s="35">
        <f t="shared" si="28"/>
        <v>17964.3916772</v>
      </c>
      <c r="BD9" s="35">
        <f t="shared" si="29"/>
        <v>206.6723556</v>
      </c>
      <c r="BF9" s="5">
        <f aca="true" t="shared" si="93" ref="BF9:BF33">$C9*BG$6</f>
        <v>26247.141</v>
      </c>
      <c r="BG9" s="5">
        <f t="shared" si="30"/>
        <v>6820.259827600001</v>
      </c>
      <c r="BH9" s="5">
        <f t="shared" si="31"/>
        <v>33067.4008276</v>
      </c>
      <c r="BI9" s="35">
        <f t="shared" si="32"/>
        <v>380.4257748</v>
      </c>
      <c r="BK9" s="5">
        <f aca="true" t="shared" si="94" ref="BK9:BK33">$C9*BL$6</f>
        <v>68319.756</v>
      </c>
      <c r="BL9" s="5">
        <f t="shared" si="33"/>
        <v>17752.7330416</v>
      </c>
      <c r="BM9" s="5">
        <f t="shared" si="34"/>
        <v>86072.4890416</v>
      </c>
      <c r="BN9" s="35">
        <f t="shared" si="35"/>
        <v>990.2257968</v>
      </c>
      <c r="BP9" s="5">
        <f aca="true" t="shared" si="95" ref="BP9:BP33">$C9*BQ$6</f>
        <v>6949.790999999999</v>
      </c>
      <c r="BQ9" s="5">
        <f t="shared" si="36"/>
        <v>1805.8873675999998</v>
      </c>
      <c r="BR9" s="5">
        <f t="shared" si="37"/>
        <v>8755.6783676</v>
      </c>
      <c r="BS9" s="35">
        <f t="shared" si="38"/>
        <v>100.73019479999999</v>
      </c>
      <c r="BU9" s="5">
        <f aca="true" t="shared" si="96" ref="BU9:BU33">$C9*BV$6</f>
        <v>868.518</v>
      </c>
      <c r="BV9" s="5">
        <f t="shared" si="39"/>
        <v>225.6824248</v>
      </c>
      <c r="BW9" s="5">
        <f t="shared" si="40"/>
        <v>1094.2004248</v>
      </c>
      <c r="BX9" s="35">
        <f t="shared" si="41"/>
        <v>12.5882904</v>
      </c>
      <c r="BZ9" s="5">
        <f aca="true" t="shared" si="97" ref="BZ9:BZ33">$C9*CA$6</f>
        <v>784.5210000000001</v>
      </c>
      <c r="CA9" s="5">
        <f t="shared" si="42"/>
        <v>203.8559956</v>
      </c>
      <c r="CB9" s="5">
        <f t="shared" si="43"/>
        <v>988.3769956000001</v>
      </c>
      <c r="CC9" s="35">
        <f t="shared" si="44"/>
        <v>11.3708388</v>
      </c>
      <c r="CE9" s="5">
        <f aca="true" t="shared" si="98" ref="CE9:CE33">$C9*CF$6</f>
        <v>19506.519</v>
      </c>
      <c r="CF9" s="5">
        <f t="shared" si="45"/>
        <v>5068.7245484000005</v>
      </c>
      <c r="CG9" s="5">
        <f t="shared" si="46"/>
        <v>24575.2435484</v>
      </c>
      <c r="CH9" s="35">
        <f t="shared" si="47"/>
        <v>282.7272732</v>
      </c>
      <c r="CJ9" s="5">
        <f aca="true" t="shared" si="99" ref="CJ9:CJ33">$C9*CK$6</f>
        <v>1514.1419999999998</v>
      </c>
      <c r="CK9" s="5">
        <f t="shared" si="48"/>
        <v>393.4463512</v>
      </c>
      <c r="CL9" s="5">
        <f t="shared" si="49"/>
        <v>1907.5883511999998</v>
      </c>
      <c r="CM9" s="35">
        <f t="shared" si="50"/>
        <v>21.9459576</v>
      </c>
      <c r="CO9" s="5">
        <f aca="true" t="shared" si="100" ref="CO9:CO33">$C9*CP$6</f>
        <v>11976.435</v>
      </c>
      <c r="CP9" s="5">
        <f t="shared" si="51"/>
        <v>3112.0493659999997</v>
      </c>
      <c r="CQ9" s="35">
        <f t="shared" si="52"/>
        <v>15088.484365999999</v>
      </c>
      <c r="CR9" s="35">
        <f t="shared" si="53"/>
        <v>173.58631799999998</v>
      </c>
      <c r="CT9" s="5">
        <f aca="true" t="shared" si="101" ref="CT9:CT33">$C9*CU$6</f>
        <v>61839.90900000001</v>
      </c>
      <c r="CU9" s="5">
        <f t="shared" si="54"/>
        <v>16068.959552400001</v>
      </c>
      <c r="CV9" s="5">
        <f t="shared" si="55"/>
        <v>77908.8685524</v>
      </c>
      <c r="CW9" s="35">
        <f t="shared" si="56"/>
        <v>896.3069652</v>
      </c>
      <c r="CY9" s="5">
        <f aca="true" t="shared" si="102" ref="CY9:CY33">$C9*CZ$6</f>
        <v>4906.413</v>
      </c>
      <c r="CZ9" s="5">
        <f t="shared" si="57"/>
        <v>1274.9202468</v>
      </c>
      <c r="DA9" s="5">
        <f t="shared" si="58"/>
        <v>6181.3332468</v>
      </c>
      <c r="DB9" s="35">
        <f t="shared" si="59"/>
        <v>71.1134964</v>
      </c>
      <c r="DD9" s="5">
        <f aca="true" t="shared" si="103" ref="DD9:DD33">$C9*DE$6</f>
        <v>13320.936</v>
      </c>
      <c r="DE9" s="5">
        <f t="shared" si="60"/>
        <v>3461.4148896</v>
      </c>
      <c r="DF9" s="5">
        <f t="shared" si="61"/>
        <v>16782.3508896</v>
      </c>
      <c r="DG9" s="35">
        <f t="shared" si="62"/>
        <v>193.0735008</v>
      </c>
      <c r="DI9" s="5">
        <f aca="true" t="shared" si="104" ref="DI9:DI33">$C9*DJ$6</f>
        <v>14937.192000000001</v>
      </c>
      <c r="DJ9" s="5">
        <f t="shared" si="63"/>
        <v>3881.3953312000003</v>
      </c>
      <c r="DK9" s="35">
        <f t="shared" si="64"/>
        <v>18818.5873312</v>
      </c>
      <c r="DL9" s="35">
        <f t="shared" si="65"/>
        <v>216.4994976</v>
      </c>
      <c r="DN9" s="5">
        <f aca="true" t="shared" si="105" ref="DN9:DN33">$C9*DO$6</f>
        <v>37636.695</v>
      </c>
      <c r="DO9" s="5">
        <f t="shared" si="66"/>
        <v>9779.809502</v>
      </c>
      <c r="DP9" s="35">
        <f t="shared" si="67"/>
        <v>47416.504501999996</v>
      </c>
      <c r="DQ9" s="35">
        <f t="shared" si="68"/>
        <v>545.505846</v>
      </c>
      <c r="DS9" s="5">
        <f aca="true" t="shared" si="106" ref="DS9:DS33">$C9*DT$6</f>
        <v>57824.523</v>
      </c>
      <c r="DT9" s="5">
        <f t="shared" si="69"/>
        <v>15025.570642800001</v>
      </c>
      <c r="DU9" s="35">
        <f t="shared" si="70"/>
        <v>72850.0936428</v>
      </c>
      <c r="DV9" s="35">
        <f t="shared" si="71"/>
        <v>838.1080044</v>
      </c>
      <c r="DX9" s="5">
        <f aca="true" t="shared" si="107" ref="DX9:DX33">$C9*DY$6</f>
        <v>274115.151</v>
      </c>
      <c r="DY9" s="5">
        <f t="shared" si="72"/>
        <v>71228.1978636</v>
      </c>
      <c r="DZ9" s="5">
        <f t="shared" si="73"/>
        <v>345343.3488636</v>
      </c>
      <c r="EA9" s="35">
        <f t="shared" si="74"/>
        <v>3973.0220028</v>
      </c>
      <c r="EC9" s="5">
        <f aca="true" t="shared" si="108" ref="EC9:EC33">$C9*ED$6</f>
        <v>231867.954</v>
      </c>
      <c r="ED9" s="5">
        <f t="shared" si="75"/>
        <v>60250.359914399996</v>
      </c>
      <c r="EE9" s="5">
        <f t="shared" si="76"/>
        <v>292118.3139144</v>
      </c>
      <c r="EF9" s="35">
        <f t="shared" si="77"/>
        <v>3360.6915912</v>
      </c>
      <c r="EH9" s="5">
        <f aca="true" t="shared" si="109" ref="EH9:EH33">$C9*EI$6</f>
        <v>1454.85</v>
      </c>
      <c r="EI9" s="5">
        <f t="shared" si="78"/>
        <v>378.03945999999996</v>
      </c>
      <c r="EJ9" s="5">
        <f t="shared" si="79"/>
        <v>1832.8894599999999</v>
      </c>
      <c r="EK9" s="35">
        <f t="shared" si="80"/>
        <v>21.086579999999998</v>
      </c>
      <c r="EM9" s="5">
        <f aca="true" t="shared" si="110" ref="EM9:EM33">$C9*EN$6</f>
        <v>4097.187</v>
      </c>
      <c r="EN9" s="5">
        <f t="shared" si="81"/>
        <v>1064.6447132</v>
      </c>
      <c r="EO9" s="5">
        <f t="shared" si="82"/>
        <v>5161.8317132</v>
      </c>
      <c r="EP9" s="35">
        <f t="shared" si="83"/>
        <v>59.3845836</v>
      </c>
    </row>
    <row r="10" spans="1:146" ht="12.75">
      <c r="A10" s="36">
        <v>43374</v>
      </c>
      <c r="C10" s="78"/>
      <c r="D10" s="78">
        <v>1316764</v>
      </c>
      <c r="E10" s="34">
        <f t="shared" si="0"/>
        <v>1316764</v>
      </c>
      <c r="F10" s="34">
        <v>79572</v>
      </c>
      <c r="H10" s="47"/>
      <c r="I10" s="35">
        <f t="shared" si="1"/>
        <v>293942.54448399995</v>
      </c>
      <c r="J10" s="35">
        <f t="shared" si="2"/>
        <v>293942.54448399995</v>
      </c>
      <c r="K10" s="35">
        <f t="shared" si="3"/>
        <v>17762.937132</v>
      </c>
      <c r="N10" s="5">
        <f t="shared" si="4"/>
        <v>61626.7936988</v>
      </c>
      <c r="O10" s="5">
        <f t="shared" si="5"/>
        <v>61626.7936988</v>
      </c>
      <c r="P10" s="35">
        <f t="shared" si="6"/>
        <v>3724.1048724</v>
      </c>
      <c r="S10" s="5">
        <f t="shared" si="7"/>
        <v>8577.0056668</v>
      </c>
      <c r="T10" s="35">
        <f t="shared" si="8"/>
        <v>8577.0056668</v>
      </c>
      <c r="U10" s="35">
        <f t="shared" si="9"/>
        <v>518.3081364</v>
      </c>
      <c r="V10" s="35"/>
      <c r="X10" s="5">
        <f t="shared" si="10"/>
        <v>1232.491104</v>
      </c>
      <c r="Y10" s="5">
        <f t="shared" si="11"/>
        <v>1232.491104</v>
      </c>
      <c r="Z10" s="35">
        <f t="shared" si="12"/>
        <v>74.479392</v>
      </c>
      <c r="AC10" s="5">
        <f t="shared" si="13"/>
        <v>7252.8677884</v>
      </c>
      <c r="AD10" s="5">
        <f aca="true" t="shared" si="111" ref="AD10:AD33">AB10+AC10</f>
        <v>7252.8677884</v>
      </c>
      <c r="AE10" s="35">
        <f t="shared" si="14"/>
        <v>438.2905332</v>
      </c>
      <c r="AH10" s="5">
        <f t="shared" si="15"/>
        <v>3222.5165371999997</v>
      </c>
      <c r="AI10" s="5">
        <f t="shared" si="16"/>
        <v>3222.5165371999997</v>
      </c>
      <c r="AJ10" s="35">
        <f t="shared" si="17"/>
        <v>194.7365556</v>
      </c>
      <c r="AM10" s="5">
        <f t="shared" si="18"/>
        <v>2048.7531076</v>
      </c>
      <c r="AN10" s="5">
        <f t="shared" si="19"/>
        <v>2048.7531076</v>
      </c>
      <c r="AO10" s="35">
        <f t="shared" si="20"/>
        <v>123.8060748</v>
      </c>
      <c r="AR10" s="5">
        <f t="shared" si="21"/>
        <v>5528.433654</v>
      </c>
      <c r="AS10" s="5">
        <f t="shared" si="22"/>
        <v>5528.433654</v>
      </c>
      <c r="AT10" s="35">
        <f t="shared" si="23"/>
        <v>334.083042</v>
      </c>
      <c r="AW10" s="5">
        <f t="shared" si="24"/>
        <v>1.0534112</v>
      </c>
      <c r="AX10" s="5">
        <f t="shared" si="25"/>
        <v>1.0534112</v>
      </c>
      <c r="AY10" s="35">
        <f t="shared" si="26"/>
        <v>0.0636576</v>
      </c>
      <c r="BB10" s="5">
        <f t="shared" si="27"/>
        <v>3420.0311371999996</v>
      </c>
      <c r="BC10" s="35">
        <f t="shared" si="28"/>
        <v>3420.0311371999996</v>
      </c>
      <c r="BD10" s="35">
        <f t="shared" si="29"/>
        <v>206.6723556</v>
      </c>
      <c r="BG10" s="5">
        <f t="shared" si="30"/>
        <v>6295.317007600001</v>
      </c>
      <c r="BH10" s="5">
        <f t="shared" si="31"/>
        <v>6295.317007600001</v>
      </c>
      <c r="BI10" s="35">
        <f t="shared" si="32"/>
        <v>380.4257748</v>
      </c>
      <c r="BL10" s="5">
        <f t="shared" si="33"/>
        <v>16386.3379216</v>
      </c>
      <c r="BM10" s="5">
        <f t="shared" si="34"/>
        <v>16386.3379216</v>
      </c>
      <c r="BN10" s="35">
        <f t="shared" si="35"/>
        <v>990.2257968</v>
      </c>
      <c r="BQ10" s="5">
        <f t="shared" si="36"/>
        <v>1666.8915476</v>
      </c>
      <c r="BR10" s="5">
        <f t="shared" si="37"/>
        <v>1666.8915476</v>
      </c>
      <c r="BS10" s="35">
        <f t="shared" si="38"/>
        <v>100.73019479999999</v>
      </c>
      <c r="BV10" s="5">
        <f t="shared" si="39"/>
        <v>208.3120648</v>
      </c>
      <c r="BW10" s="5">
        <f t="shared" si="40"/>
        <v>208.3120648</v>
      </c>
      <c r="BX10" s="35">
        <f t="shared" si="41"/>
        <v>12.5882904</v>
      </c>
      <c r="CA10" s="5">
        <f t="shared" si="42"/>
        <v>188.1655756</v>
      </c>
      <c r="CB10" s="5">
        <f t="shared" si="43"/>
        <v>188.1655756</v>
      </c>
      <c r="CC10" s="35">
        <f t="shared" si="44"/>
        <v>11.3708388</v>
      </c>
      <c r="CF10" s="5">
        <f t="shared" si="45"/>
        <v>4678.5941684</v>
      </c>
      <c r="CG10" s="5">
        <f t="shared" si="46"/>
        <v>4678.5941684</v>
      </c>
      <c r="CH10" s="35">
        <f t="shared" si="47"/>
        <v>282.7272732</v>
      </c>
      <c r="CK10" s="5">
        <f t="shared" si="48"/>
        <v>363.16351119999996</v>
      </c>
      <c r="CL10" s="5">
        <f t="shared" si="49"/>
        <v>363.16351119999996</v>
      </c>
      <c r="CM10" s="35">
        <f t="shared" si="50"/>
        <v>21.9459576</v>
      </c>
      <c r="CP10" s="5">
        <f t="shared" si="51"/>
        <v>2872.520666</v>
      </c>
      <c r="CQ10" s="35">
        <f t="shared" si="52"/>
        <v>2872.520666</v>
      </c>
      <c r="CR10" s="35">
        <f t="shared" si="53"/>
        <v>173.58631799999998</v>
      </c>
      <c r="CU10" s="5">
        <f t="shared" si="54"/>
        <v>14832.161372400002</v>
      </c>
      <c r="CV10" s="5">
        <f t="shared" si="55"/>
        <v>14832.161372400002</v>
      </c>
      <c r="CW10" s="35">
        <f t="shared" si="56"/>
        <v>896.3069652</v>
      </c>
      <c r="CZ10" s="5">
        <f t="shared" si="57"/>
        <v>1176.7919868</v>
      </c>
      <c r="DA10" s="5">
        <f t="shared" si="58"/>
        <v>1176.7919868</v>
      </c>
      <c r="DB10" s="35">
        <f t="shared" si="59"/>
        <v>71.1134964</v>
      </c>
      <c r="DE10" s="5">
        <f t="shared" si="60"/>
        <v>3194.9961696</v>
      </c>
      <c r="DF10" s="5">
        <f t="shared" si="61"/>
        <v>3194.9961696</v>
      </c>
      <c r="DG10" s="35">
        <f t="shared" si="62"/>
        <v>193.0735008</v>
      </c>
      <c r="DJ10" s="5">
        <f t="shared" si="63"/>
        <v>3582.6514912000002</v>
      </c>
      <c r="DK10" s="35">
        <f t="shared" si="64"/>
        <v>3582.6514912000002</v>
      </c>
      <c r="DL10" s="35">
        <f t="shared" si="65"/>
        <v>216.4994976</v>
      </c>
      <c r="DO10" s="5">
        <f t="shared" si="66"/>
        <v>9027.075601999999</v>
      </c>
      <c r="DP10" s="35">
        <f t="shared" si="67"/>
        <v>9027.075601999999</v>
      </c>
      <c r="DQ10" s="35">
        <f t="shared" si="68"/>
        <v>545.505846</v>
      </c>
      <c r="DT10" s="5">
        <f t="shared" si="69"/>
        <v>13869.0801828</v>
      </c>
      <c r="DU10" s="35">
        <f t="shared" si="70"/>
        <v>13869.0801828</v>
      </c>
      <c r="DV10" s="35">
        <f t="shared" si="71"/>
        <v>838.1080044</v>
      </c>
      <c r="DY10" s="5">
        <f t="shared" si="72"/>
        <v>65745.89484359999</v>
      </c>
      <c r="DZ10" s="5">
        <f t="shared" si="73"/>
        <v>65745.89484359999</v>
      </c>
      <c r="EA10" s="35">
        <f t="shared" si="74"/>
        <v>3973.0220028</v>
      </c>
      <c r="ED10" s="5">
        <f t="shared" si="75"/>
        <v>55613.000834399994</v>
      </c>
      <c r="EE10" s="5">
        <f t="shared" si="76"/>
        <v>55613.000834399994</v>
      </c>
      <c r="EF10" s="35">
        <f t="shared" si="77"/>
        <v>3360.6915912</v>
      </c>
      <c r="EI10" s="5">
        <f t="shared" si="78"/>
        <v>348.94246</v>
      </c>
      <c r="EJ10" s="5">
        <f t="shared" si="79"/>
        <v>348.94246</v>
      </c>
      <c r="EK10" s="35">
        <f t="shared" si="80"/>
        <v>21.086579999999998</v>
      </c>
      <c r="EN10" s="5">
        <f t="shared" si="81"/>
        <v>982.7009732</v>
      </c>
      <c r="EO10" s="5">
        <f t="shared" si="82"/>
        <v>982.7009732</v>
      </c>
      <c r="EP10" s="35">
        <f t="shared" si="83"/>
        <v>59.3845836</v>
      </c>
    </row>
    <row r="11" spans="1:146" ht="12.75">
      <c r="A11" s="36">
        <v>43556</v>
      </c>
      <c r="C11" s="78">
        <v>5710000</v>
      </c>
      <c r="D11" s="78">
        <v>1316764</v>
      </c>
      <c r="E11" s="34">
        <f t="shared" si="0"/>
        <v>7026764</v>
      </c>
      <c r="F11" s="34">
        <v>79572</v>
      </c>
      <c r="H11" s="47">
        <f>M11+R11+AB11+AG11+AL11+W11+AQ11+AV11+BA11+BF11+BK11+BP11+BU11+BZ11+CE11+CJ11+CO11+CT11+CY11+DD11+DI11+DN11+DS11+DX11+EC11+EH11+EM11</f>
        <v>1274649.01</v>
      </c>
      <c r="I11" s="35">
        <f t="shared" si="1"/>
        <v>293942.54448399995</v>
      </c>
      <c r="J11" s="35">
        <f t="shared" si="2"/>
        <v>1568591.554484</v>
      </c>
      <c r="K11" s="35">
        <f t="shared" si="3"/>
        <v>17762.937132</v>
      </c>
      <c r="M11" s="5">
        <f t="shared" si="84"/>
        <v>267237.707</v>
      </c>
      <c r="N11" s="5">
        <f t="shared" si="4"/>
        <v>61626.7936988</v>
      </c>
      <c r="O11" s="5">
        <f t="shared" si="5"/>
        <v>328864.50069879997</v>
      </c>
      <c r="P11" s="35">
        <f t="shared" si="6"/>
        <v>3724.1048724</v>
      </c>
      <c r="R11" s="5">
        <f t="shared" si="85"/>
        <v>37193.227</v>
      </c>
      <c r="S11" s="5">
        <f t="shared" si="7"/>
        <v>8577.0056668</v>
      </c>
      <c r="T11" s="35">
        <f t="shared" si="8"/>
        <v>45770.2326668</v>
      </c>
      <c r="U11" s="35">
        <f t="shared" si="9"/>
        <v>518.3081364</v>
      </c>
      <c r="V11" s="35"/>
      <c r="W11" s="5">
        <f t="shared" si="86"/>
        <v>5344.5599999999995</v>
      </c>
      <c r="X11" s="5">
        <f t="shared" si="10"/>
        <v>1232.491104</v>
      </c>
      <c r="Y11" s="5">
        <f t="shared" si="11"/>
        <v>6577.051103999999</v>
      </c>
      <c r="Z11" s="35">
        <f t="shared" si="12"/>
        <v>74.479392</v>
      </c>
      <c r="AB11" s="5">
        <f t="shared" si="87"/>
        <v>31451.251</v>
      </c>
      <c r="AC11" s="5">
        <f t="shared" si="13"/>
        <v>7252.8677884</v>
      </c>
      <c r="AD11" s="5">
        <f t="shared" si="111"/>
        <v>38704.1187884</v>
      </c>
      <c r="AE11" s="35">
        <f t="shared" si="14"/>
        <v>438.2905332</v>
      </c>
      <c r="AG11" s="5">
        <f t="shared" si="88"/>
        <v>13974.082999999999</v>
      </c>
      <c r="AH11" s="5">
        <f t="shared" si="15"/>
        <v>3222.5165371999997</v>
      </c>
      <c r="AI11" s="5">
        <f t="shared" si="16"/>
        <v>17196.5995372</v>
      </c>
      <c r="AJ11" s="35">
        <f t="shared" si="17"/>
        <v>194.7365556</v>
      </c>
      <c r="AL11" s="5">
        <f t="shared" si="89"/>
        <v>8884.189</v>
      </c>
      <c r="AM11" s="5">
        <f t="shared" si="18"/>
        <v>2048.7531076</v>
      </c>
      <c r="AN11" s="5">
        <f t="shared" si="19"/>
        <v>10932.9421076</v>
      </c>
      <c r="AO11" s="35">
        <f t="shared" si="20"/>
        <v>123.8060748</v>
      </c>
      <c r="AQ11" s="5">
        <f t="shared" si="90"/>
        <v>23973.435</v>
      </c>
      <c r="AR11" s="5">
        <f t="shared" si="21"/>
        <v>5528.433654</v>
      </c>
      <c r="AS11" s="5">
        <f t="shared" si="22"/>
        <v>29501.868654</v>
      </c>
      <c r="AT11" s="35">
        <f t="shared" si="23"/>
        <v>334.083042</v>
      </c>
      <c r="AV11" s="5">
        <f t="shared" si="91"/>
        <v>4.568</v>
      </c>
      <c r="AW11" s="5">
        <f t="shared" si="24"/>
        <v>1.0534112</v>
      </c>
      <c r="AX11" s="5">
        <f t="shared" si="25"/>
        <v>5.6214112</v>
      </c>
      <c r="AY11" s="35">
        <f t="shared" si="26"/>
        <v>0.0636576</v>
      </c>
      <c r="BA11" s="5">
        <f t="shared" si="92"/>
        <v>14830.582999999999</v>
      </c>
      <c r="BB11" s="5">
        <f t="shared" si="27"/>
        <v>3420.0311371999996</v>
      </c>
      <c r="BC11" s="35">
        <f t="shared" si="28"/>
        <v>18250.6141372</v>
      </c>
      <c r="BD11" s="35">
        <f t="shared" si="29"/>
        <v>206.6723556</v>
      </c>
      <c r="BF11" s="5">
        <f t="shared" si="93"/>
        <v>27298.939000000002</v>
      </c>
      <c r="BG11" s="5">
        <f t="shared" si="30"/>
        <v>6295.317007600001</v>
      </c>
      <c r="BH11" s="5">
        <f t="shared" si="31"/>
        <v>33594.2560076</v>
      </c>
      <c r="BI11" s="35">
        <f t="shared" si="32"/>
        <v>380.4257748</v>
      </c>
      <c r="BK11" s="5">
        <f t="shared" si="94"/>
        <v>71057.52399999999</v>
      </c>
      <c r="BL11" s="5">
        <f t="shared" si="33"/>
        <v>16386.3379216</v>
      </c>
      <c r="BM11" s="5">
        <f t="shared" si="34"/>
        <v>87443.8619216</v>
      </c>
      <c r="BN11" s="35">
        <f t="shared" si="35"/>
        <v>990.2257968</v>
      </c>
      <c r="BP11" s="5">
        <f t="shared" si="95"/>
        <v>7228.289</v>
      </c>
      <c r="BQ11" s="5">
        <f t="shared" si="36"/>
        <v>1666.8915476</v>
      </c>
      <c r="BR11" s="5">
        <f t="shared" si="37"/>
        <v>8895.180547599999</v>
      </c>
      <c r="BS11" s="35">
        <f t="shared" si="38"/>
        <v>100.73019479999999</v>
      </c>
      <c r="BU11" s="5">
        <f t="shared" si="96"/>
        <v>903.322</v>
      </c>
      <c r="BV11" s="5">
        <f t="shared" si="39"/>
        <v>208.3120648</v>
      </c>
      <c r="BW11" s="5">
        <f t="shared" si="40"/>
        <v>1111.6340648</v>
      </c>
      <c r="BX11" s="35">
        <f t="shared" si="41"/>
        <v>12.5882904</v>
      </c>
      <c r="BZ11" s="5">
        <f t="shared" si="97"/>
        <v>815.9590000000001</v>
      </c>
      <c r="CA11" s="5">
        <f t="shared" si="42"/>
        <v>188.1655756</v>
      </c>
      <c r="CB11" s="5">
        <f t="shared" si="43"/>
        <v>1004.1245756000001</v>
      </c>
      <c r="CC11" s="35">
        <f t="shared" si="44"/>
        <v>11.3708388</v>
      </c>
      <c r="CE11" s="5">
        <f t="shared" si="98"/>
        <v>20288.201</v>
      </c>
      <c r="CF11" s="5">
        <f t="shared" si="45"/>
        <v>4678.5941684</v>
      </c>
      <c r="CG11" s="5">
        <f t="shared" si="46"/>
        <v>24966.7951684</v>
      </c>
      <c r="CH11" s="35">
        <f t="shared" si="47"/>
        <v>282.7272732</v>
      </c>
      <c r="CJ11" s="5">
        <f t="shared" si="99"/>
        <v>1574.818</v>
      </c>
      <c r="CK11" s="5">
        <f t="shared" si="48"/>
        <v>363.16351119999996</v>
      </c>
      <c r="CL11" s="5">
        <f t="shared" si="49"/>
        <v>1937.9815111999999</v>
      </c>
      <c r="CM11" s="35">
        <f t="shared" si="50"/>
        <v>21.9459576</v>
      </c>
      <c r="CO11" s="5">
        <f t="shared" si="100"/>
        <v>12456.365</v>
      </c>
      <c r="CP11" s="5">
        <f t="shared" si="51"/>
        <v>2872.520666</v>
      </c>
      <c r="CQ11" s="35">
        <f t="shared" si="52"/>
        <v>15328.885666</v>
      </c>
      <c r="CR11" s="35">
        <f t="shared" si="53"/>
        <v>173.58631799999998</v>
      </c>
      <c r="CT11" s="5">
        <f t="shared" si="101"/>
        <v>64318.011000000006</v>
      </c>
      <c r="CU11" s="5">
        <f t="shared" si="54"/>
        <v>14832.161372400002</v>
      </c>
      <c r="CV11" s="5">
        <f t="shared" si="55"/>
        <v>79150.1723724</v>
      </c>
      <c r="CW11" s="35">
        <f t="shared" si="56"/>
        <v>896.3069652</v>
      </c>
      <c r="CY11" s="5">
        <f t="shared" si="102"/>
        <v>5103.027</v>
      </c>
      <c r="CZ11" s="5">
        <f t="shared" si="57"/>
        <v>1176.7919868</v>
      </c>
      <c r="DA11" s="5">
        <f t="shared" si="58"/>
        <v>6279.8189868</v>
      </c>
      <c r="DB11" s="35">
        <f t="shared" si="59"/>
        <v>71.1134964</v>
      </c>
      <c r="DD11" s="5">
        <f t="shared" si="103"/>
        <v>13854.744</v>
      </c>
      <c r="DE11" s="5">
        <f t="shared" si="60"/>
        <v>3194.9961696</v>
      </c>
      <c r="DF11" s="5">
        <f t="shared" si="61"/>
        <v>17049.7401696</v>
      </c>
      <c r="DG11" s="35">
        <f t="shared" si="62"/>
        <v>193.0735008</v>
      </c>
      <c r="DI11" s="5">
        <f t="shared" si="104"/>
        <v>15535.768000000002</v>
      </c>
      <c r="DJ11" s="5">
        <f t="shared" si="63"/>
        <v>3582.6514912000002</v>
      </c>
      <c r="DK11" s="35">
        <f t="shared" si="64"/>
        <v>19118.419491200002</v>
      </c>
      <c r="DL11" s="35">
        <f t="shared" si="65"/>
        <v>216.4994976</v>
      </c>
      <c r="DN11" s="5">
        <f t="shared" si="105"/>
        <v>39144.905</v>
      </c>
      <c r="DO11" s="5">
        <f t="shared" si="66"/>
        <v>9027.075601999999</v>
      </c>
      <c r="DP11" s="35">
        <f t="shared" si="67"/>
        <v>48171.980601999996</v>
      </c>
      <c r="DQ11" s="35">
        <f t="shared" si="68"/>
        <v>545.505846</v>
      </c>
      <c r="DS11" s="5">
        <f t="shared" si="106"/>
        <v>60141.717000000004</v>
      </c>
      <c r="DT11" s="5">
        <f t="shared" si="69"/>
        <v>13869.0801828</v>
      </c>
      <c r="DU11" s="35">
        <f t="shared" si="70"/>
        <v>74010.7971828</v>
      </c>
      <c r="DV11" s="35">
        <f t="shared" si="71"/>
        <v>838.1080044</v>
      </c>
      <c r="DX11" s="5">
        <f t="shared" si="107"/>
        <v>285099.729</v>
      </c>
      <c r="DY11" s="5">
        <f t="shared" si="72"/>
        <v>65745.89484359999</v>
      </c>
      <c r="DZ11" s="5">
        <f t="shared" si="73"/>
        <v>350845.6238436</v>
      </c>
      <c r="EA11" s="35">
        <f t="shared" si="74"/>
        <v>3973.0220028</v>
      </c>
      <c r="EC11" s="5">
        <f t="shared" si="108"/>
        <v>241159.566</v>
      </c>
      <c r="ED11" s="5">
        <f t="shared" si="75"/>
        <v>55613.000834399994</v>
      </c>
      <c r="EE11" s="5">
        <f t="shared" si="76"/>
        <v>296772.5668344</v>
      </c>
      <c r="EF11" s="35">
        <f t="shared" si="77"/>
        <v>3360.6915912</v>
      </c>
      <c r="EH11" s="5">
        <f t="shared" si="109"/>
        <v>1513.1499999999999</v>
      </c>
      <c r="EI11" s="5">
        <f t="shared" si="78"/>
        <v>348.94246</v>
      </c>
      <c r="EJ11" s="5">
        <f t="shared" si="79"/>
        <v>1862.0924599999998</v>
      </c>
      <c r="EK11" s="35">
        <f t="shared" si="80"/>
        <v>21.086579999999998</v>
      </c>
      <c r="EM11" s="5">
        <f t="shared" si="110"/>
        <v>4261.373</v>
      </c>
      <c r="EN11" s="5">
        <f t="shared" si="81"/>
        <v>982.7009732</v>
      </c>
      <c r="EO11" s="5">
        <f t="shared" si="82"/>
        <v>5244.073973199999</v>
      </c>
      <c r="EP11" s="35">
        <f t="shared" si="83"/>
        <v>59.3845836</v>
      </c>
    </row>
    <row r="12" spans="1:146" ht="12.75">
      <c r="A12" s="36">
        <v>43739</v>
      </c>
      <c r="C12" s="78"/>
      <c r="D12" s="78">
        <v>1247174</v>
      </c>
      <c r="E12" s="34">
        <f t="shared" si="0"/>
        <v>1247174</v>
      </c>
      <c r="F12" s="34">
        <v>79572</v>
      </c>
      <c r="H12" s="47"/>
      <c r="I12" s="35">
        <f t="shared" si="1"/>
        <v>278407.899194</v>
      </c>
      <c r="J12" s="35">
        <f t="shared" si="2"/>
        <v>278407.899194</v>
      </c>
      <c r="K12" s="35">
        <f t="shared" si="3"/>
        <v>17762.937132</v>
      </c>
      <c r="N12" s="5">
        <f t="shared" si="4"/>
        <v>58369.8633958</v>
      </c>
      <c r="O12" s="5">
        <f t="shared" si="5"/>
        <v>58369.8633958</v>
      </c>
      <c r="P12" s="35">
        <f t="shared" si="6"/>
        <v>3724.1048724</v>
      </c>
      <c r="S12" s="5">
        <f t="shared" si="7"/>
        <v>8123.7172838</v>
      </c>
      <c r="T12" s="35">
        <f t="shared" si="8"/>
        <v>8123.7172838</v>
      </c>
      <c r="U12" s="35">
        <f t="shared" si="9"/>
        <v>518.3081364</v>
      </c>
      <c r="V12" s="35"/>
      <c r="X12" s="5">
        <f t="shared" si="10"/>
        <v>1167.354864</v>
      </c>
      <c r="Y12" s="5">
        <f t="shared" si="11"/>
        <v>1167.354864</v>
      </c>
      <c r="Z12" s="35">
        <f t="shared" si="12"/>
        <v>74.479392</v>
      </c>
      <c r="AC12" s="5">
        <f t="shared" si="13"/>
        <v>6869.5591094</v>
      </c>
      <c r="AD12" s="5">
        <f t="shared" si="111"/>
        <v>6869.5591094</v>
      </c>
      <c r="AE12" s="35">
        <f t="shared" si="14"/>
        <v>438.2905332</v>
      </c>
      <c r="AH12" s="5">
        <f t="shared" si="15"/>
        <v>3052.2089302</v>
      </c>
      <c r="AI12" s="5">
        <f t="shared" si="16"/>
        <v>3052.2089302</v>
      </c>
      <c r="AJ12" s="35">
        <f t="shared" si="17"/>
        <v>194.7365556</v>
      </c>
      <c r="AM12" s="5">
        <f t="shared" si="18"/>
        <v>1940.4780266</v>
      </c>
      <c r="AN12" s="5">
        <f t="shared" si="19"/>
        <v>1940.4780266</v>
      </c>
      <c r="AO12" s="35">
        <f t="shared" si="20"/>
        <v>123.8060748</v>
      </c>
      <c r="AR12" s="5">
        <f t="shared" si="21"/>
        <v>5236.260039</v>
      </c>
      <c r="AS12" s="5">
        <f t="shared" si="22"/>
        <v>5236.260039</v>
      </c>
      <c r="AT12" s="35">
        <f t="shared" si="23"/>
        <v>334.083042</v>
      </c>
      <c r="AW12" s="5">
        <f t="shared" si="24"/>
        <v>0.9977391999999999</v>
      </c>
      <c r="AX12" s="5">
        <f t="shared" si="25"/>
        <v>0.9977391999999999</v>
      </c>
      <c r="AY12" s="35">
        <f t="shared" si="26"/>
        <v>0.0636576</v>
      </c>
      <c r="BB12" s="5">
        <f t="shared" si="27"/>
        <v>3239.2850301999997</v>
      </c>
      <c r="BC12" s="35">
        <f t="shared" si="28"/>
        <v>3239.2850301999997</v>
      </c>
      <c r="BD12" s="35">
        <f t="shared" si="29"/>
        <v>206.6723556</v>
      </c>
      <c r="BG12" s="5">
        <f t="shared" si="30"/>
        <v>5962.6141766</v>
      </c>
      <c r="BH12" s="5">
        <f t="shared" si="31"/>
        <v>5962.6141766</v>
      </c>
      <c r="BI12" s="35">
        <f t="shared" si="32"/>
        <v>380.4257748</v>
      </c>
      <c r="BL12" s="5">
        <f t="shared" si="33"/>
        <v>15520.3321256</v>
      </c>
      <c r="BM12" s="5">
        <f t="shared" si="34"/>
        <v>15520.3321256</v>
      </c>
      <c r="BN12" s="35">
        <f t="shared" si="35"/>
        <v>990.2257968</v>
      </c>
      <c r="BQ12" s="5">
        <f t="shared" si="36"/>
        <v>1578.7975666</v>
      </c>
      <c r="BR12" s="5">
        <f t="shared" si="37"/>
        <v>1578.7975666</v>
      </c>
      <c r="BS12" s="35">
        <f t="shared" si="38"/>
        <v>100.73019479999999</v>
      </c>
      <c r="BV12" s="5">
        <f t="shared" si="39"/>
        <v>197.3029268</v>
      </c>
      <c r="BW12" s="5">
        <f t="shared" si="40"/>
        <v>197.3029268</v>
      </c>
      <c r="BX12" s="35">
        <f t="shared" si="41"/>
        <v>12.5882904</v>
      </c>
      <c r="CA12" s="5">
        <f t="shared" si="42"/>
        <v>178.2211646</v>
      </c>
      <c r="CB12" s="5">
        <f t="shared" si="43"/>
        <v>178.2211646</v>
      </c>
      <c r="CC12" s="35">
        <f t="shared" si="44"/>
        <v>11.3708388</v>
      </c>
      <c r="CF12" s="5">
        <f t="shared" si="45"/>
        <v>4431.3339394</v>
      </c>
      <c r="CG12" s="5">
        <f t="shared" si="46"/>
        <v>4431.3339394</v>
      </c>
      <c r="CH12" s="35">
        <f t="shared" si="47"/>
        <v>282.7272732</v>
      </c>
      <c r="CK12" s="5">
        <f t="shared" si="48"/>
        <v>343.97058919999995</v>
      </c>
      <c r="CL12" s="5">
        <f t="shared" si="49"/>
        <v>343.97058919999995</v>
      </c>
      <c r="CM12" s="35">
        <f t="shared" si="50"/>
        <v>21.9459576</v>
      </c>
      <c r="CP12" s="5">
        <f t="shared" si="51"/>
        <v>2720.7100809999997</v>
      </c>
      <c r="CQ12" s="35">
        <f t="shared" si="52"/>
        <v>2720.7100809999997</v>
      </c>
      <c r="CR12" s="35">
        <f t="shared" si="53"/>
        <v>173.58631799999998</v>
      </c>
      <c r="CU12" s="5">
        <f t="shared" si="54"/>
        <v>14048.292653400002</v>
      </c>
      <c r="CV12" s="5">
        <f t="shared" si="55"/>
        <v>14048.292653400002</v>
      </c>
      <c r="CW12" s="35">
        <f t="shared" si="56"/>
        <v>896.3069652</v>
      </c>
      <c r="CZ12" s="5">
        <f t="shared" si="57"/>
        <v>1114.5994038</v>
      </c>
      <c r="DA12" s="5">
        <f t="shared" si="58"/>
        <v>1114.5994038</v>
      </c>
      <c r="DB12" s="35">
        <f t="shared" si="59"/>
        <v>71.1134964</v>
      </c>
      <c r="DE12" s="5">
        <f t="shared" si="60"/>
        <v>3026.1429936</v>
      </c>
      <c r="DF12" s="5">
        <f t="shared" si="61"/>
        <v>3026.1429936</v>
      </c>
      <c r="DG12" s="35">
        <f t="shared" si="62"/>
        <v>193.0735008</v>
      </c>
      <c r="DJ12" s="5">
        <f t="shared" si="63"/>
        <v>3393.3110192000004</v>
      </c>
      <c r="DK12" s="35">
        <f t="shared" si="64"/>
        <v>3393.3110192000004</v>
      </c>
      <c r="DL12" s="35">
        <f t="shared" si="65"/>
        <v>216.4994976</v>
      </c>
      <c r="DO12" s="5">
        <f t="shared" si="66"/>
        <v>8550.001357</v>
      </c>
      <c r="DP12" s="35">
        <f t="shared" si="67"/>
        <v>8550.001357</v>
      </c>
      <c r="DQ12" s="35">
        <f t="shared" si="68"/>
        <v>545.505846</v>
      </c>
      <c r="DT12" s="5">
        <f t="shared" si="69"/>
        <v>13136.1095898</v>
      </c>
      <c r="DU12" s="35">
        <f t="shared" si="70"/>
        <v>13136.1095898</v>
      </c>
      <c r="DV12" s="35">
        <f t="shared" si="71"/>
        <v>838.1080044</v>
      </c>
      <c r="DY12" s="5">
        <f t="shared" si="72"/>
        <v>62271.2731026</v>
      </c>
      <c r="DZ12" s="5">
        <f t="shared" si="73"/>
        <v>62271.2731026</v>
      </c>
      <c r="EA12" s="35">
        <f t="shared" si="74"/>
        <v>3973.0220028</v>
      </c>
      <c r="ED12" s="5">
        <f t="shared" si="75"/>
        <v>52673.8950204</v>
      </c>
      <c r="EE12" s="5">
        <f t="shared" si="76"/>
        <v>52673.8950204</v>
      </c>
      <c r="EF12" s="35">
        <f t="shared" si="77"/>
        <v>3360.6915912</v>
      </c>
      <c r="EI12" s="5">
        <f t="shared" si="78"/>
        <v>330.50111</v>
      </c>
      <c r="EJ12" s="5">
        <f t="shared" si="79"/>
        <v>330.50111</v>
      </c>
      <c r="EK12" s="35">
        <f t="shared" si="80"/>
        <v>21.086579999999998</v>
      </c>
      <c r="EN12" s="5">
        <f t="shared" si="81"/>
        <v>930.7659562</v>
      </c>
      <c r="EO12" s="5">
        <f t="shared" si="82"/>
        <v>930.7659562</v>
      </c>
      <c r="EP12" s="35">
        <f t="shared" si="83"/>
        <v>59.3845836</v>
      </c>
    </row>
    <row r="13" spans="1:146" ht="12.75">
      <c r="A13" s="36">
        <v>43922</v>
      </c>
      <c r="C13" s="78">
        <v>5850000</v>
      </c>
      <c r="D13" s="78">
        <v>1247174</v>
      </c>
      <c r="E13" s="34">
        <f t="shared" si="0"/>
        <v>7097174</v>
      </c>
      <c r="F13" s="34">
        <v>79572</v>
      </c>
      <c r="H13" s="47">
        <f>M13+R13+AB13+AG13+AL13+W13+AQ13+AV13+BA13+BF13+BK13+BP13+BU13+BZ13+CE13+CJ13+CO13+CT13+CY13+DD13+DI13+DN13+DS13+DX13+EC13+EH13+EM13</f>
        <v>1305901.35</v>
      </c>
      <c r="I13" s="35">
        <f t="shared" si="1"/>
        <v>278407.899194</v>
      </c>
      <c r="J13" s="35">
        <f t="shared" si="2"/>
        <v>1584309.2491940001</v>
      </c>
      <c r="K13" s="35">
        <f t="shared" si="3"/>
        <v>17762.937132</v>
      </c>
      <c r="M13" s="5">
        <f t="shared" si="84"/>
        <v>273789.945</v>
      </c>
      <c r="N13" s="5">
        <f t="shared" si="4"/>
        <v>58369.8633958</v>
      </c>
      <c r="O13" s="5">
        <f t="shared" si="5"/>
        <v>332159.8083958</v>
      </c>
      <c r="P13" s="35">
        <f t="shared" si="6"/>
        <v>3724.1048724</v>
      </c>
      <c r="R13" s="5">
        <f t="shared" si="85"/>
        <v>38105.145</v>
      </c>
      <c r="S13" s="5">
        <f t="shared" si="7"/>
        <v>8123.7172838</v>
      </c>
      <c r="T13" s="35">
        <f t="shared" si="8"/>
        <v>46228.862283799994</v>
      </c>
      <c r="U13" s="35">
        <f t="shared" si="9"/>
        <v>518.3081364</v>
      </c>
      <c r="V13" s="35"/>
      <c r="W13" s="5">
        <f t="shared" si="86"/>
        <v>5475.599999999999</v>
      </c>
      <c r="X13" s="5">
        <f t="shared" si="10"/>
        <v>1167.354864</v>
      </c>
      <c r="Y13" s="5">
        <f t="shared" si="11"/>
        <v>6642.954863999999</v>
      </c>
      <c r="Z13" s="35">
        <f t="shared" si="12"/>
        <v>74.479392</v>
      </c>
      <c r="AB13" s="5">
        <f t="shared" si="87"/>
        <v>32222.385000000002</v>
      </c>
      <c r="AC13" s="5">
        <f t="shared" si="13"/>
        <v>6869.5591094</v>
      </c>
      <c r="AD13" s="5">
        <f t="shared" si="111"/>
        <v>39091.9441094</v>
      </c>
      <c r="AE13" s="35">
        <f t="shared" si="14"/>
        <v>438.2905332</v>
      </c>
      <c r="AG13" s="5">
        <f t="shared" si="88"/>
        <v>14316.705</v>
      </c>
      <c r="AH13" s="5">
        <f t="shared" si="15"/>
        <v>3052.2089302</v>
      </c>
      <c r="AI13" s="5">
        <f t="shared" si="16"/>
        <v>17368.9139302</v>
      </c>
      <c r="AJ13" s="35">
        <f t="shared" si="17"/>
        <v>194.7365556</v>
      </c>
      <c r="AL13" s="5">
        <f t="shared" si="89"/>
        <v>9102.015</v>
      </c>
      <c r="AM13" s="5">
        <f t="shared" si="18"/>
        <v>1940.4780266</v>
      </c>
      <c r="AN13" s="5">
        <f t="shared" si="19"/>
        <v>11042.4930266</v>
      </c>
      <c r="AO13" s="35">
        <f t="shared" si="20"/>
        <v>123.8060748</v>
      </c>
      <c r="AQ13" s="5">
        <f t="shared" si="90"/>
        <v>24561.225</v>
      </c>
      <c r="AR13" s="5">
        <f t="shared" si="21"/>
        <v>5236.260039</v>
      </c>
      <c r="AS13" s="5">
        <f t="shared" si="22"/>
        <v>29797.485039</v>
      </c>
      <c r="AT13" s="35">
        <f t="shared" si="23"/>
        <v>334.083042</v>
      </c>
      <c r="AV13" s="5">
        <f t="shared" si="91"/>
        <v>4.68</v>
      </c>
      <c r="AW13" s="5">
        <f t="shared" si="24"/>
        <v>0.9977391999999999</v>
      </c>
      <c r="AX13" s="5">
        <f t="shared" si="25"/>
        <v>5.6777391999999995</v>
      </c>
      <c r="AY13" s="35">
        <f t="shared" si="26"/>
        <v>0.0636576</v>
      </c>
      <c r="BA13" s="5">
        <f t="shared" si="92"/>
        <v>15194.205</v>
      </c>
      <c r="BB13" s="5">
        <f t="shared" si="27"/>
        <v>3239.2850301999997</v>
      </c>
      <c r="BC13" s="35">
        <f t="shared" si="28"/>
        <v>18433.4900302</v>
      </c>
      <c r="BD13" s="35">
        <f t="shared" si="29"/>
        <v>206.6723556</v>
      </c>
      <c r="BF13" s="5">
        <f t="shared" si="93"/>
        <v>27968.265000000003</v>
      </c>
      <c r="BG13" s="5">
        <f t="shared" si="30"/>
        <v>5962.6141766</v>
      </c>
      <c r="BH13" s="5">
        <f t="shared" si="31"/>
        <v>33930.87917660001</v>
      </c>
      <c r="BI13" s="35">
        <f t="shared" si="32"/>
        <v>380.4257748</v>
      </c>
      <c r="BK13" s="5">
        <f t="shared" si="94"/>
        <v>72799.73999999999</v>
      </c>
      <c r="BL13" s="5">
        <f t="shared" si="33"/>
        <v>15520.3321256</v>
      </c>
      <c r="BM13" s="5">
        <f t="shared" si="34"/>
        <v>88320.0721256</v>
      </c>
      <c r="BN13" s="35">
        <f t="shared" si="35"/>
        <v>990.2257968</v>
      </c>
      <c r="BP13" s="5">
        <f t="shared" si="95"/>
        <v>7405.514999999999</v>
      </c>
      <c r="BQ13" s="5">
        <f t="shared" si="36"/>
        <v>1578.7975666</v>
      </c>
      <c r="BR13" s="5">
        <f t="shared" si="37"/>
        <v>8984.3125666</v>
      </c>
      <c r="BS13" s="35">
        <f t="shared" si="38"/>
        <v>100.73019479999999</v>
      </c>
      <c r="BU13" s="5">
        <f t="shared" si="96"/>
        <v>925.47</v>
      </c>
      <c r="BV13" s="5">
        <f t="shared" si="39"/>
        <v>197.3029268</v>
      </c>
      <c r="BW13" s="5">
        <f t="shared" si="40"/>
        <v>1122.7729268</v>
      </c>
      <c r="BX13" s="35">
        <f t="shared" si="41"/>
        <v>12.5882904</v>
      </c>
      <c r="BZ13" s="5">
        <f t="shared" si="97"/>
        <v>835.965</v>
      </c>
      <c r="CA13" s="5">
        <f t="shared" si="42"/>
        <v>178.2211646</v>
      </c>
      <c r="CB13" s="5">
        <f t="shared" si="43"/>
        <v>1014.1861646</v>
      </c>
      <c r="CC13" s="35">
        <f t="shared" si="44"/>
        <v>11.3708388</v>
      </c>
      <c r="CE13" s="5">
        <f t="shared" si="98"/>
        <v>20785.635</v>
      </c>
      <c r="CF13" s="5">
        <f t="shared" si="45"/>
        <v>4431.3339394</v>
      </c>
      <c r="CG13" s="5">
        <f t="shared" si="46"/>
        <v>25216.968939399998</v>
      </c>
      <c r="CH13" s="35">
        <f t="shared" si="47"/>
        <v>282.7272732</v>
      </c>
      <c r="CJ13" s="5">
        <f t="shared" si="99"/>
        <v>1613.4299999999998</v>
      </c>
      <c r="CK13" s="5">
        <f t="shared" si="48"/>
        <v>343.97058919999995</v>
      </c>
      <c r="CL13" s="5">
        <f t="shared" si="49"/>
        <v>1957.4005891999998</v>
      </c>
      <c r="CM13" s="35">
        <f t="shared" si="50"/>
        <v>21.9459576</v>
      </c>
      <c r="CO13" s="5">
        <f t="shared" si="100"/>
        <v>12761.775</v>
      </c>
      <c r="CP13" s="5">
        <f t="shared" si="51"/>
        <v>2720.7100809999997</v>
      </c>
      <c r="CQ13" s="35">
        <f t="shared" si="52"/>
        <v>15482.485080999999</v>
      </c>
      <c r="CR13" s="35">
        <f t="shared" si="53"/>
        <v>173.58631799999998</v>
      </c>
      <c r="CT13" s="5">
        <f t="shared" si="101"/>
        <v>65894.985</v>
      </c>
      <c r="CU13" s="5">
        <f t="shared" si="54"/>
        <v>14048.292653400002</v>
      </c>
      <c r="CV13" s="5">
        <f t="shared" si="55"/>
        <v>79943.2776534</v>
      </c>
      <c r="CW13" s="35">
        <f t="shared" si="56"/>
        <v>896.3069652</v>
      </c>
      <c r="CY13" s="5">
        <f t="shared" si="102"/>
        <v>5228.1449999999995</v>
      </c>
      <c r="CZ13" s="5">
        <f t="shared" si="57"/>
        <v>1114.5994038</v>
      </c>
      <c r="DA13" s="5">
        <f t="shared" si="58"/>
        <v>6342.744403799999</v>
      </c>
      <c r="DB13" s="35">
        <f t="shared" si="59"/>
        <v>71.1134964</v>
      </c>
      <c r="DD13" s="5">
        <f t="shared" si="103"/>
        <v>14194.44</v>
      </c>
      <c r="DE13" s="5">
        <f t="shared" si="60"/>
        <v>3026.1429936</v>
      </c>
      <c r="DF13" s="5">
        <f t="shared" si="61"/>
        <v>17220.5829936</v>
      </c>
      <c r="DG13" s="35">
        <f t="shared" si="62"/>
        <v>193.0735008</v>
      </c>
      <c r="DI13" s="5">
        <f t="shared" si="104"/>
        <v>15916.680000000002</v>
      </c>
      <c r="DJ13" s="5">
        <f t="shared" si="63"/>
        <v>3393.3110192000004</v>
      </c>
      <c r="DK13" s="35">
        <f t="shared" si="64"/>
        <v>19309.991019200002</v>
      </c>
      <c r="DL13" s="35">
        <f t="shared" si="65"/>
        <v>216.4994976</v>
      </c>
      <c r="DN13" s="5">
        <f t="shared" si="105"/>
        <v>40104.674999999996</v>
      </c>
      <c r="DO13" s="5">
        <f t="shared" si="66"/>
        <v>8550.001357</v>
      </c>
      <c r="DP13" s="35">
        <f t="shared" si="67"/>
        <v>48654.676357</v>
      </c>
      <c r="DQ13" s="35">
        <f t="shared" si="68"/>
        <v>545.505846</v>
      </c>
      <c r="DS13" s="5">
        <f t="shared" si="106"/>
        <v>61616.295000000006</v>
      </c>
      <c r="DT13" s="5">
        <f t="shared" si="69"/>
        <v>13136.1095898</v>
      </c>
      <c r="DU13" s="35">
        <f t="shared" si="70"/>
        <v>74752.4045898</v>
      </c>
      <c r="DV13" s="35">
        <f t="shared" si="71"/>
        <v>838.1080044</v>
      </c>
      <c r="DX13" s="5">
        <f t="shared" si="107"/>
        <v>292089.915</v>
      </c>
      <c r="DY13" s="5">
        <f t="shared" si="72"/>
        <v>62271.2731026</v>
      </c>
      <c r="DZ13" s="5">
        <f t="shared" si="73"/>
        <v>354361.1881026</v>
      </c>
      <c r="EA13" s="35">
        <f t="shared" si="74"/>
        <v>3973.0220028</v>
      </c>
      <c r="EC13" s="5">
        <f t="shared" si="108"/>
        <v>247072.40999999997</v>
      </c>
      <c r="ED13" s="5">
        <f t="shared" si="75"/>
        <v>52673.8950204</v>
      </c>
      <c r="EE13" s="5">
        <f t="shared" si="76"/>
        <v>299746.3050204</v>
      </c>
      <c r="EF13" s="35">
        <f t="shared" si="77"/>
        <v>3360.6915912</v>
      </c>
      <c r="EH13" s="5">
        <f t="shared" si="109"/>
        <v>1550.25</v>
      </c>
      <c r="EI13" s="5">
        <f t="shared" si="78"/>
        <v>330.50111</v>
      </c>
      <c r="EJ13" s="5">
        <f t="shared" si="79"/>
        <v>1880.75111</v>
      </c>
      <c r="EK13" s="35">
        <f t="shared" si="80"/>
        <v>21.086579999999998</v>
      </c>
      <c r="EM13" s="5">
        <f t="shared" si="110"/>
        <v>4365.855</v>
      </c>
      <c r="EN13" s="5">
        <f t="shared" si="81"/>
        <v>930.7659562</v>
      </c>
      <c r="EO13" s="5">
        <f t="shared" si="82"/>
        <v>5296.6209561999995</v>
      </c>
      <c r="EP13" s="35">
        <f t="shared" si="83"/>
        <v>59.3845836</v>
      </c>
    </row>
    <row r="14" spans="1:146" ht="12.75">
      <c r="A14" s="36">
        <v>44105</v>
      </c>
      <c r="C14" s="78"/>
      <c r="D14" s="78">
        <v>1171124</v>
      </c>
      <c r="E14" s="34">
        <f t="shared" si="0"/>
        <v>1171124</v>
      </c>
      <c r="F14" s="34">
        <v>79572</v>
      </c>
      <c r="H14" s="47"/>
      <c r="I14" s="35">
        <f t="shared" si="1"/>
        <v>261431.181644</v>
      </c>
      <c r="J14" s="35">
        <f t="shared" si="2"/>
        <v>261431.181644</v>
      </c>
      <c r="K14" s="35">
        <f t="shared" si="3"/>
        <v>17762.937132</v>
      </c>
      <c r="N14" s="5">
        <f t="shared" si="4"/>
        <v>54810.594110800004</v>
      </c>
      <c r="O14" s="5">
        <f t="shared" si="5"/>
        <v>54810.594110800004</v>
      </c>
      <c r="P14" s="35">
        <f t="shared" si="6"/>
        <v>3724.1048724</v>
      </c>
      <c r="S14" s="5">
        <f t="shared" si="7"/>
        <v>7628.3503988</v>
      </c>
      <c r="T14" s="35">
        <f t="shared" si="8"/>
        <v>7628.3503988</v>
      </c>
      <c r="U14" s="35">
        <f t="shared" si="9"/>
        <v>518.3081364</v>
      </c>
      <c r="V14" s="35"/>
      <c r="X14" s="5">
        <f t="shared" si="10"/>
        <v>1096.172064</v>
      </c>
      <c r="Y14" s="5">
        <f t="shared" si="11"/>
        <v>1096.172064</v>
      </c>
      <c r="Z14" s="35">
        <f t="shared" si="12"/>
        <v>74.479392</v>
      </c>
      <c r="AC14" s="5">
        <f t="shared" si="13"/>
        <v>6450.6681044</v>
      </c>
      <c r="AD14" s="5">
        <f t="shared" si="111"/>
        <v>6450.6681044</v>
      </c>
      <c r="AE14" s="35">
        <f t="shared" si="14"/>
        <v>438.2905332</v>
      </c>
      <c r="AH14" s="5">
        <f t="shared" si="15"/>
        <v>2866.0917652</v>
      </c>
      <c r="AI14" s="5">
        <f t="shared" si="16"/>
        <v>2866.0917652</v>
      </c>
      <c r="AJ14" s="35">
        <f t="shared" si="17"/>
        <v>194.7365556</v>
      </c>
      <c r="AM14" s="5">
        <f t="shared" si="18"/>
        <v>1822.1518316000002</v>
      </c>
      <c r="AN14" s="5">
        <f t="shared" si="19"/>
        <v>1822.1518316000002</v>
      </c>
      <c r="AO14" s="35">
        <f t="shared" si="20"/>
        <v>123.8060748</v>
      </c>
      <c r="AR14" s="5">
        <f t="shared" si="21"/>
        <v>4916.964114</v>
      </c>
      <c r="AS14" s="5">
        <f t="shared" si="22"/>
        <v>4916.964114</v>
      </c>
      <c r="AT14" s="35">
        <f t="shared" si="23"/>
        <v>334.083042</v>
      </c>
      <c r="AW14" s="5">
        <f t="shared" si="24"/>
        <v>0.9368991999999999</v>
      </c>
      <c r="AX14" s="5">
        <f t="shared" si="25"/>
        <v>0.9368991999999999</v>
      </c>
      <c r="AY14" s="35">
        <f t="shared" si="26"/>
        <v>0.0636576</v>
      </c>
      <c r="BB14" s="5">
        <f t="shared" si="27"/>
        <v>3041.7603652</v>
      </c>
      <c r="BC14" s="35">
        <f t="shared" si="28"/>
        <v>3041.7603652</v>
      </c>
      <c r="BD14" s="35">
        <f t="shared" si="29"/>
        <v>206.6723556</v>
      </c>
      <c r="BG14" s="5">
        <f t="shared" si="30"/>
        <v>5599.0267316</v>
      </c>
      <c r="BH14" s="5">
        <f t="shared" si="31"/>
        <v>5599.0267316</v>
      </c>
      <c r="BI14" s="35">
        <f t="shared" si="32"/>
        <v>380.4257748</v>
      </c>
      <c r="BL14" s="5">
        <f t="shared" si="33"/>
        <v>14573.935505599999</v>
      </c>
      <c r="BM14" s="5">
        <f t="shared" si="34"/>
        <v>14573.935505599999</v>
      </c>
      <c r="BN14" s="35">
        <f t="shared" si="35"/>
        <v>990.2257968</v>
      </c>
      <c r="BQ14" s="5">
        <f t="shared" si="36"/>
        <v>1482.5258715999998</v>
      </c>
      <c r="BR14" s="5">
        <f t="shared" si="37"/>
        <v>1482.5258715999998</v>
      </c>
      <c r="BS14" s="35">
        <f t="shared" si="38"/>
        <v>100.73019479999999</v>
      </c>
      <c r="BV14" s="5">
        <f t="shared" si="39"/>
        <v>185.27181679999998</v>
      </c>
      <c r="BW14" s="5">
        <f t="shared" si="40"/>
        <v>185.27181679999998</v>
      </c>
      <c r="BX14" s="35">
        <f t="shared" si="41"/>
        <v>12.5882904</v>
      </c>
      <c r="CA14" s="5">
        <f t="shared" si="42"/>
        <v>167.3536196</v>
      </c>
      <c r="CB14" s="5">
        <f t="shared" si="43"/>
        <v>167.3536196</v>
      </c>
      <c r="CC14" s="35">
        <f t="shared" si="44"/>
        <v>11.3708388</v>
      </c>
      <c r="CF14" s="5">
        <f t="shared" si="45"/>
        <v>4161.1206844</v>
      </c>
      <c r="CG14" s="5">
        <f t="shared" si="46"/>
        <v>4161.1206844</v>
      </c>
      <c r="CH14" s="35">
        <f t="shared" si="47"/>
        <v>282.7272732</v>
      </c>
      <c r="CK14" s="5">
        <f t="shared" si="48"/>
        <v>322.99599919999997</v>
      </c>
      <c r="CL14" s="5">
        <f t="shared" si="49"/>
        <v>322.99599919999997</v>
      </c>
      <c r="CM14" s="35">
        <f t="shared" si="50"/>
        <v>21.9459576</v>
      </c>
      <c r="CP14" s="5">
        <f t="shared" si="51"/>
        <v>2554.807006</v>
      </c>
      <c r="CQ14" s="35">
        <f t="shared" si="52"/>
        <v>2554.807006</v>
      </c>
      <c r="CR14" s="35">
        <f t="shared" si="53"/>
        <v>173.58631799999998</v>
      </c>
      <c r="CU14" s="5">
        <f t="shared" si="54"/>
        <v>13191.6578484</v>
      </c>
      <c r="CV14" s="5">
        <f t="shared" si="55"/>
        <v>13191.6578484</v>
      </c>
      <c r="CW14" s="35">
        <f t="shared" si="56"/>
        <v>896.3069652</v>
      </c>
      <c r="CZ14" s="5">
        <f t="shared" si="57"/>
        <v>1046.6335188</v>
      </c>
      <c r="DA14" s="5">
        <f t="shared" si="58"/>
        <v>1046.6335188</v>
      </c>
      <c r="DB14" s="35">
        <f t="shared" si="59"/>
        <v>71.1134964</v>
      </c>
      <c r="DE14" s="5">
        <f t="shared" si="60"/>
        <v>2841.6152736</v>
      </c>
      <c r="DF14" s="5">
        <f t="shared" si="61"/>
        <v>2841.6152736</v>
      </c>
      <c r="DG14" s="35">
        <f t="shared" si="62"/>
        <v>193.0735008</v>
      </c>
      <c r="DJ14" s="5">
        <f t="shared" si="63"/>
        <v>3186.3941792</v>
      </c>
      <c r="DK14" s="35">
        <f t="shared" si="64"/>
        <v>3186.3941792</v>
      </c>
      <c r="DL14" s="35">
        <f t="shared" si="65"/>
        <v>216.4994976</v>
      </c>
      <c r="DO14" s="5">
        <f t="shared" si="66"/>
        <v>8028.640582</v>
      </c>
      <c r="DP14" s="35">
        <f t="shared" si="67"/>
        <v>8028.640582</v>
      </c>
      <c r="DQ14" s="35">
        <f t="shared" si="68"/>
        <v>545.505846</v>
      </c>
      <c r="DT14" s="5">
        <f t="shared" si="69"/>
        <v>12335.097754800001</v>
      </c>
      <c r="DU14" s="35">
        <f t="shared" si="70"/>
        <v>12335.097754800001</v>
      </c>
      <c r="DV14" s="35">
        <f t="shared" si="71"/>
        <v>838.1080044</v>
      </c>
      <c r="DY14" s="5">
        <f t="shared" si="72"/>
        <v>58474.1042076</v>
      </c>
      <c r="DZ14" s="5">
        <f t="shared" si="73"/>
        <v>58474.1042076</v>
      </c>
      <c r="EA14" s="35">
        <f t="shared" si="74"/>
        <v>3973.0220028</v>
      </c>
      <c r="ED14" s="5">
        <f t="shared" si="75"/>
        <v>49461.9536904</v>
      </c>
      <c r="EE14" s="5">
        <f t="shared" si="76"/>
        <v>49461.9536904</v>
      </c>
      <c r="EF14" s="35">
        <f t="shared" si="77"/>
        <v>3360.6915912</v>
      </c>
      <c r="EI14" s="5">
        <f t="shared" si="78"/>
        <v>310.34785999999997</v>
      </c>
      <c r="EJ14" s="5">
        <f t="shared" si="79"/>
        <v>310.34785999999997</v>
      </c>
      <c r="EK14" s="35">
        <f t="shared" si="80"/>
        <v>21.086579999999998</v>
      </c>
      <c r="EN14" s="5">
        <f t="shared" si="81"/>
        <v>874.0098412</v>
      </c>
      <c r="EO14" s="5">
        <f t="shared" si="82"/>
        <v>874.0098412</v>
      </c>
      <c r="EP14" s="35">
        <f t="shared" si="83"/>
        <v>59.3845836</v>
      </c>
    </row>
    <row r="15" spans="1:146" ht="12.75">
      <c r="A15" s="36">
        <v>44287</v>
      </c>
      <c r="C15" s="78">
        <v>6000000</v>
      </c>
      <c r="D15" s="78">
        <v>1171124</v>
      </c>
      <c r="E15" s="34">
        <f t="shared" si="0"/>
        <v>7171124</v>
      </c>
      <c r="F15" s="34">
        <v>79572</v>
      </c>
      <c r="H15" s="47">
        <f>M15+R15+AB15+AG15+AL15+W15+AQ15+AV15+BA15+BF15+BK15+BP15+BU15+BZ15+CE15+CJ15+CO15+CT15+CY15+DD15+DI15+DN15+DS15+DX15+EC15+EH15+EM15</f>
        <v>1339386.0000000002</v>
      </c>
      <c r="I15" s="35">
        <f t="shared" si="1"/>
        <v>261431.181644</v>
      </c>
      <c r="J15" s="35">
        <f t="shared" si="2"/>
        <v>1600817.181644</v>
      </c>
      <c r="K15" s="35">
        <f t="shared" si="3"/>
        <v>17762.937132</v>
      </c>
      <c r="M15" s="5">
        <f t="shared" si="84"/>
        <v>280810.2</v>
      </c>
      <c r="N15" s="5">
        <f t="shared" si="4"/>
        <v>54810.594110800004</v>
      </c>
      <c r="O15" s="5">
        <f t="shared" si="5"/>
        <v>335620.7941108</v>
      </c>
      <c r="P15" s="35">
        <f t="shared" si="6"/>
        <v>3724.1048724</v>
      </c>
      <c r="R15" s="5">
        <f t="shared" si="85"/>
        <v>39082.2</v>
      </c>
      <c r="S15" s="5">
        <f t="shared" si="7"/>
        <v>7628.3503988</v>
      </c>
      <c r="T15" s="35">
        <f t="shared" si="8"/>
        <v>46710.5503988</v>
      </c>
      <c r="U15" s="35">
        <f t="shared" si="9"/>
        <v>518.3081364</v>
      </c>
      <c r="V15" s="35"/>
      <c r="W15" s="5">
        <f t="shared" si="86"/>
        <v>5616</v>
      </c>
      <c r="X15" s="5">
        <f t="shared" si="10"/>
        <v>1096.172064</v>
      </c>
      <c r="Y15" s="5">
        <f t="shared" si="11"/>
        <v>6712.172064</v>
      </c>
      <c r="Z15" s="35">
        <f t="shared" si="12"/>
        <v>74.479392</v>
      </c>
      <c r="AB15" s="5">
        <f t="shared" si="87"/>
        <v>33048.6</v>
      </c>
      <c r="AC15" s="5">
        <f t="shared" si="13"/>
        <v>6450.6681044</v>
      </c>
      <c r="AD15" s="5">
        <f t="shared" si="111"/>
        <v>39499.2681044</v>
      </c>
      <c r="AE15" s="35">
        <f t="shared" si="14"/>
        <v>438.2905332</v>
      </c>
      <c r="AG15" s="5">
        <f t="shared" si="88"/>
        <v>14683.8</v>
      </c>
      <c r="AH15" s="5">
        <f t="shared" si="15"/>
        <v>2866.0917652</v>
      </c>
      <c r="AI15" s="5">
        <f t="shared" si="16"/>
        <v>17549.8917652</v>
      </c>
      <c r="AJ15" s="35">
        <f t="shared" si="17"/>
        <v>194.7365556</v>
      </c>
      <c r="AL15" s="5">
        <f t="shared" si="89"/>
        <v>9335.4</v>
      </c>
      <c r="AM15" s="5">
        <f t="shared" si="18"/>
        <v>1822.1518316000002</v>
      </c>
      <c r="AN15" s="5">
        <f t="shared" si="19"/>
        <v>11157.5518316</v>
      </c>
      <c r="AO15" s="35">
        <f t="shared" si="20"/>
        <v>123.8060748</v>
      </c>
      <c r="AQ15" s="5">
        <f t="shared" si="90"/>
        <v>25191</v>
      </c>
      <c r="AR15" s="5">
        <f t="shared" si="21"/>
        <v>4916.964114</v>
      </c>
      <c r="AS15" s="5">
        <f t="shared" si="22"/>
        <v>30107.964114000002</v>
      </c>
      <c r="AT15" s="35">
        <f t="shared" si="23"/>
        <v>334.083042</v>
      </c>
      <c r="AV15" s="5">
        <f t="shared" si="91"/>
        <v>4.8</v>
      </c>
      <c r="AW15" s="5">
        <f t="shared" si="24"/>
        <v>0.9368991999999999</v>
      </c>
      <c r="AX15" s="5">
        <f t="shared" si="25"/>
        <v>5.7368992</v>
      </c>
      <c r="AY15" s="35">
        <f t="shared" si="26"/>
        <v>0.0636576</v>
      </c>
      <c r="BA15" s="5">
        <f t="shared" si="92"/>
        <v>15583.8</v>
      </c>
      <c r="BB15" s="5">
        <f t="shared" si="27"/>
        <v>3041.7603652</v>
      </c>
      <c r="BC15" s="35">
        <f t="shared" si="28"/>
        <v>18625.5603652</v>
      </c>
      <c r="BD15" s="35">
        <f t="shared" si="29"/>
        <v>206.6723556</v>
      </c>
      <c r="BF15" s="5">
        <f t="shared" si="93"/>
        <v>28685.4</v>
      </c>
      <c r="BG15" s="5">
        <f t="shared" si="30"/>
        <v>5599.0267316</v>
      </c>
      <c r="BH15" s="5">
        <f t="shared" si="31"/>
        <v>34284.426731600004</v>
      </c>
      <c r="BI15" s="35">
        <f t="shared" si="32"/>
        <v>380.4257748</v>
      </c>
      <c r="BK15" s="5">
        <f t="shared" si="94"/>
        <v>74666.4</v>
      </c>
      <c r="BL15" s="5">
        <f t="shared" si="33"/>
        <v>14573.935505599999</v>
      </c>
      <c r="BM15" s="5">
        <f t="shared" si="34"/>
        <v>89240.3355056</v>
      </c>
      <c r="BN15" s="35">
        <f t="shared" si="35"/>
        <v>990.2257968</v>
      </c>
      <c r="BP15" s="5">
        <f t="shared" si="95"/>
        <v>7595.4</v>
      </c>
      <c r="BQ15" s="5">
        <f t="shared" si="36"/>
        <v>1482.5258715999998</v>
      </c>
      <c r="BR15" s="5">
        <f t="shared" si="37"/>
        <v>9077.9258716</v>
      </c>
      <c r="BS15" s="35">
        <f t="shared" si="38"/>
        <v>100.73019479999999</v>
      </c>
      <c r="BU15" s="5">
        <f t="shared" si="96"/>
        <v>949.1999999999999</v>
      </c>
      <c r="BV15" s="5">
        <f t="shared" si="39"/>
        <v>185.27181679999998</v>
      </c>
      <c r="BW15" s="5">
        <f t="shared" si="40"/>
        <v>1134.4718168</v>
      </c>
      <c r="BX15" s="35">
        <f t="shared" si="41"/>
        <v>12.5882904</v>
      </c>
      <c r="BZ15" s="5">
        <f t="shared" si="97"/>
        <v>857.4</v>
      </c>
      <c r="CA15" s="5">
        <f t="shared" si="42"/>
        <v>167.3536196</v>
      </c>
      <c r="CB15" s="5">
        <f t="shared" si="43"/>
        <v>1024.7536196</v>
      </c>
      <c r="CC15" s="35">
        <f t="shared" si="44"/>
        <v>11.3708388</v>
      </c>
      <c r="CE15" s="5">
        <f t="shared" si="98"/>
        <v>21318.6</v>
      </c>
      <c r="CF15" s="5">
        <f t="shared" si="45"/>
        <v>4161.1206844</v>
      </c>
      <c r="CG15" s="5">
        <f t="shared" si="46"/>
        <v>25479.7206844</v>
      </c>
      <c r="CH15" s="35">
        <f t="shared" si="47"/>
        <v>282.7272732</v>
      </c>
      <c r="CJ15" s="5">
        <f t="shared" si="99"/>
        <v>1654.8</v>
      </c>
      <c r="CK15" s="5">
        <f t="shared" si="48"/>
        <v>322.99599919999997</v>
      </c>
      <c r="CL15" s="5">
        <f t="shared" si="49"/>
        <v>1977.7959991999999</v>
      </c>
      <c r="CM15" s="35">
        <f t="shared" si="50"/>
        <v>21.9459576</v>
      </c>
      <c r="CO15" s="5">
        <f t="shared" si="100"/>
        <v>13088.999999999998</v>
      </c>
      <c r="CP15" s="5">
        <f t="shared" si="51"/>
        <v>2554.807006</v>
      </c>
      <c r="CQ15" s="35">
        <f t="shared" si="52"/>
        <v>15643.807006</v>
      </c>
      <c r="CR15" s="35">
        <f t="shared" si="53"/>
        <v>173.58631799999998</v>
      </c>
      <c r="CT15" s="5">
        <f t="shared" si="101"/>
        <v>67584.6</v>
      </c>
      <c r="CU15" s="5">
        <f t="shared" si="54"/>
        <v>13191.6578484</v>
      </c>
      <c r="CV15" s="5">
        <f t="shared" si="55"/>
        <v>80776.25784840001</v>
      </c>
      <c r="CW15" s="35">
        <f t="shared" si="56"/>
        <v>896.3069652</v>
      </c>
      <c r="CY15" s="5">
        <f t="shared" si="102"/>
        <v>5362.2</v>
      </c>
      <c r="CZ15" s="5">
        <f t="shared" si="57"/>
        <v>1046.6335188</v>
      </c>
      <c r="DA15" s="5">
        <f t="shared" si="58"/>
        <v>6408.8335188</v>
      </c>
      <c r="DB15" s="35">
        <f t="shared" si="59"/>
        <v>71.1134964</v>
      </c>
      <c r="DD15" s="5">
        <f t="shared" si="103"/>
        <v>14558.4</v>
      </c>
      <c r="DE15" s="5">
        <f t="shared" si="60"/>
        <v>2841.6152736</v>
      </c>
      <c r="DF15" s="5">
        <f t="shared" si="61"/>
        <v>17400.0152736</v>
      </c>
      <c r="DG15" s="35">
        <f t="shared" si="62"/>
        <v>193.0735008</v>
      </c>
      <c r="DI15" s="5">
        <f t="shared" si="104"/>
        <v>16324.800000000001</v>
      </c>
      <c r="DJ15" s="5">
        <f t="shared" si="63"/>
        <v>3186.3941792</v>
      </c>
      <c r="DK15" s="35">
        <f t="shared" si="64"/>
        <v>19511.1941792</v>
      </c>
      <c r="DL15" s="35">
        <f t="shared" si="65"/>
        <v>216.4994976</v>
      </c>
      <c r="DN15" s="5">
        <f t="shared" si="105"/>
        <v>41133</v>
      </c>
      <c r="DO15" s="5">
        <f t="shared" si="66"/>
        <v>8028.640582</v>
      </c>
      <c r="DP15" s="35">
        <f t="shared" si="67"/>
        <v>49161.640582</v>
      </c>
      <c r="DQ15" s="35">
        <f t="shared" si="68"/>
        <v>545.505846</v>
      </c>
      <c r="DS15" s="5">
        <f t="shared" si="106"/>
        <v>63196.200000000004</v>
      </c>
      <c r="DT15" s="5">
        <f t="shared" si="69"/>
        <v>12335.097754800001</v>
      </c>
      <c r="DU15" s="35">
        <f t="shared" si="70"/>
        <v>75531.2977548</v>
      </c>
      <c r="DV15" s="35">
        <f t="shared" si="71"/>
        <v>838.1080044</v>
      </c>
      <c r="DX15" s="5">
        <f t="shared" si="107"/>
        <v>299579.4</v>
      </c>
      <c r="DY15" s="5">
        <f t="shared" si="72"/>
        <v>58474.1042076</v>
      </c>
      <c r="DZ15" s="5">
        <f t="shared" si="73"/>
        <v>358053.5042076</v>
      </c>
      <c r="EA15" s="35">
        <f t="shared" si="74"/>
        <v>3973.0220028</v>
      </c>
      <c r="EC15" s="5">
        <f t="shared" si="108"/>
        <v>253407.59999999998</v>
      </c>
      <c r="ED15" s="5">
        <f t="shared" si="75"/>
        <v>49461.9536904</v>
      </c>
      <c r="EE15" s="5">
        <f t="shared" si="76"/>
        <v>302869.5536904</v>
      </c>
      <c r="EF15" s="35">
        <f t="shared" si="77"/>
        <v>3360.6915912</v>
      </c>
      <c r="EH15" s="5">
        <f t="shared" si="109"/>
        <v>1590</v>
      </c>
      <c r="EI15" s="5">
        <f t="shared" si="78"/>
        <v>310.34785999999997</v>
      </c>
      <c r="EJ15" s="5">
        <f t="shared" si="79"/>
        <v>1900.3478599999999</v>
      </c>
      <c r="EK15" s="35">
        <f t="shared" si="80"/>
        <v>21.086579999999998</v>
      </c>
      <c r="EM15" s="5">
        <f t="shared" si="110"/>
        <v>4477.8</v>
      </c>
      <c r="EN15" s="5">
        <f t="shared" si="81"/>
        <v>874.0098412</v>
      </c>
      <c r="EO15" s="5">
        <f t="shared" si="82"/>
        <v>5351.8098412</v>
      </c>
      <c r="EP15" s="35">
        <f t="shared" si="83"/>
        <v>59.3845836</v>
      </c>
    </row>
    <row r="16" spans="1:146" ht="12.75">
      <c r="A16" s="36">
        <v>44470</v>
      </c>
      <c r="C16" s="78"/>
      <c r="D16" s="78">
        <v>1089224</v>
      </c>
      <c r="E16" s="34">
        <f t="shared" si="0"/>
        <v>1089224</v>
      </c>
      <c r="F16" s="34">
        <v>79572</v>
      </c>
      <c r="H16" s="47"/>
      <c r="I16" s="35">
        <f t="shared" si="1"/>
        <v>243148.56274400002</v>
      </c>
      <c r="J16" s="35">
        <f t="shared" si="2"/>
        <v>243148.56274400002</v>
      </c>
      <c r="K16" s="35">
        <f t="shared" si="3"/>
        <v>17762.937132</v>
      </c>
      <c r="N16" s="5">
        <f t="shared" si="4"/>
        <v>50977.534880800005</v>
      </c>
      <c r="O16" s="5">
        <f t="shared" si="5"/>
        <v>50977.534880800005</v>
      </c>
      <c r="P16" s="35">
        <f t="shared" si="6"/>
        <v>3724.1048724</v>
      </c>
      <c r="S16" s="5">
        <f t="shared" si="7"/>
        <v>7094.878368799999</v>
      </c>
      <c r="T16" s="35">
        <f t="shared" si="8"/>
        <v>7094.878368799999</v>
      </c>
      <c r="U16" s="35">
        <f t="shared" si="9"/>
        <v>518.3081364</v>
      </c>
      <c r="V16" s="35"/>
      <c r="X16" s="5">
        <f t="shared" si="10"/>
        <v>1019.513664</v>
      </c>
      <c r="Y16" s="5">
        <f t="shared" si="11"/>
        <v>1019.513664</v>
      </c>
      <c r="Z16" s="35">
        <f t="shared" si="12"/>
        <v>74.479392</v>
      </c>
      <c r="AC16" s="5">
        <f t="shared" si="13"/>
        <v>5999.5547144</v>
      </c>
      <c r="AD16" s="5">
        <f t="shared" si="111"/>
        <v>5999.5547144</v>
      </c>
      <c r="AE16" s="35">
        <f t="shared" si="14"/>
        <v>438.2905332</v>
      </c>
      <c r="AH16" s="5">
        <f t="shared" si="15"/>
        <v>2665.6578952</v>
      </c>
      <c r="AI16" s="5">
        <f t="shared" si="16"/>
        <v>2665.6578952</v>
      </c>
      <c r="AJ16" s="35">
        <f t="shared" si="17"/>
        <v>194.7365556</v>
      </c>
      <c r="AM16" s="5">
        <f t="shared" si="18"/>
        <v>1694.7236216000001</v>
      </c>
      <c r="AN16" s="5">
        <f t="shared" si="19"/>
        <v>1694.7236216000001</v>
      </c>
      <c r="AO16" s="35">
        <f t="shared" si="20"/>
        <v>123.8060748</v>
      </c>
      <c r="AR16" s="5">
        <f t="shared" si="21"/>
        <v>4573.106964</v>
      </c>
      <c r="AS16" s="5">
        <f t="shared" si="22"/>
        <v>4573.106964</v>
      </c>
      <c r="AT16" s="35">
        <f t="shared" si="23"/>
        <v>334.083042</v>
      </c>
      <c r="AW16" s="5">
        <f t="shared" si="24"/>
        <v>0.8713791999999999</v>
      </c>
      <c r="AX16" s="5">
        <f t="shared" si="25"/>
        <v>0.8713791999999999</v>
      </c>
      <c r="AY16" s="35">
        <f t="shared" si="26"/>
        <v>0.0636576</v>
      </c>
      <c r="BB16" s="5">
        <f t="shared" si="27"/>
        <v>2829.0414951999996</v>
      </c>
      <c r="BC16" s="35">
        <f t="shared" si="28"/>
        <v>2829.0414951999996</v>
      </c>
      <c r="BD16" s="35">
        <f t="shared" si="29"/>
        <v>206.6723556</v>
      </c>
      <c r="BG16" s="5">
        <f t="shared" si="30"/>
        <v>5207.4710216</v>
      </c>
      <c r="BH16" s="5">
        <f t="shared" si="31"/>
        <v>5207.4710216</v>
      </c>
      <c r="BI16" s="35">
        <f t="shared" si="32"/>
        <v>380.4257748</v>
      </c>
      <c r="BL16" s="5">
        <f t="shared" si="33"/>
        <v>13554.739145599999</v>
      </c>
      <c r="BM16" s="5">
        <f t="shared" si="34"/>
        <v>13554.739145599999</v>
      </c>
      <c r="BN16" s="35">
        <f t="shared" si="35"/>
        <v>990.2257968</v>
      </c>
      <c r="BQ16" s="5">
        <f t="shared" si="36"/>
        <v>1378.8486616</v>
      </c>
      <c r="BR16" s="5">
        <f t="shared" si="37"/>
        <v>1378.8486616</v>
      </c>
      <c r="BS16" s="35">
        <f t="shared" si="38"/>
        <v>100.73019479999999</v>
      </c>
      <c r="BV16" s="5">
        <f t="shared" si="39"/>
        <v>172.3152368</v>
      </c>
      <c r="BW16" s="5">
        <f t="shared" si="40"/>
        <v>172.3152368</v>
      </c>
      <c r="BX16" s="35">
        <f t="shared" si="41"/>
        <v>12.5882904</v>
      </c>
      <c r="CA16" s="5">
        <f t="shared" si="42"/>
        <v>155.6501096</v>
      </c>
      <c r="CB16" s="5">
        <f t="shared" si="43"/>
        <v>155.6501096</v>
      </c>
      <c r="CC16" s="35">
        <f t="shared" si="44"/>
        <v>11.3708388</v>
      </c>
      <c r="CF16" s="5">
        <f t="shared" si="45"/>
        <v>3870.1217944</v>
      </c>
      <c r="CG16" s="5">
        <f t="shared" si="46"/>
        <v>3870.1217944</v>
      </c>
      <c r="CH16" s="35">
        <f t="shared" si="47"/>
        <v>282.7272732</v>
      </c>
      <c r="CK16" s="5">
        <f t="shared" si="48"/>
        <v>300.4079792</v>
      </c>
      <c r="CL16" s="5">
        <f t="shared" si="49"/>
        <v>300.4079792</v>
      </c>
      <c r="CM16" s="35">
        <f t="shared" si="50"/>
        <v>21.9459576</v>
      </c>
      <c r="CP16" s="5">
        <f t="shared" si="51"/>
        <v>2376.142156</v>
      </c>
      <c r="CQ16" s="35">
        <f t="shared" si="52"/>
        <v>2376.142156</v>
      </c>
      <c r="CR16" s="35">
        <f t="shared" si="53"/>
        <v>173.58631799999998</v>
      </c>
      <c r="CU16" s="5">
        <f t="shared" si="54"/>
        <v>12269.128058400001</v>
      </c>
      <c r="CV16" s="5">
        <f t="shared" si="55"/>
        <v>12269.128058400001</v>
      </c>
      <c r="CW16" s="35">
        <f t="shared" si="56"/>
        <v>896.3069652</v>
      </c>
      <c r="CZ16" s="5">
        <f t="shared" si="57"/>
        <v>973.4394887999999</v>
      </c>
      <c r="DA16" s="5">
        <f t="shared" si="58"/>
        <v>973.4394887999999</v>
      </c>
      <c r="DB16" s="35">
        <f t="shared" si="59"/>
        <v>71.1134964</v>
      </c>
      <c r="DE16" s="5">
        <f t="shared" si="60"/>
        <v>2642.8931136</v>
      </c>
      <c r="DF16" s="5">
        <f t="shared" si="61"/>
        <v>2642.8931136</v>
      </c>
      <c r="DG16" s="35">
        <f t="shared" si="62"/>
        <v>193.0735008</v>
      </c>
      <c r="DJ16" s="5">
        <f t="shared" si="63"/>
        <v>2963.5606592000004</v>
      </c>
      <c r="DK16" s="35">
        <f t="shared" si="64"/>
        <v>2963.5606592000004</v>
      </c>
      <c r="DL16" s="35">
        <f t="shared" si="65"/>
        <v>216.4994976</v>
      </c>
      <c r="DO16" s="5">
        <f t="shared" si="66"/>
        <v>7467.175131999999</v>
      </c>
      <c r="DP16" s="35">
        <f t="shared" si="67"/>
        <v>7467.175131999999</v>
      </c>
      <c r="DQ16" s="35">
        <f t="shared" si="68"/>
        <v>545.505846</v>
      </c>
      <c r="DT16" s="5">
        <f t="shared" si="69"/>
        <v>11472.4696248</v>
      </c>
      <c r="DU16" s="35">
        <f t="shared" si="70"/>
        <v>11472.4696248</v>
      </c>
      <c r="DV16" s="35">
        <f t="shared" si="71"/>
        <v>838.1080044</v>
      </c>
      <c r="DY16" s="5">
        <f t="shared" si="72"/>
        <v>54384.8453976</v>
      </c>
      <c r="DZ16" s="5">
        <f t="shared" si="73"/>
        <v>54384.8453976</v>
      </c>
      <c r="EA16" s="35">
        <f t="shared" si="74"/>
        <v>3973.0220028</v>
      </c>
      <c r="ED16" s="5">
        <f t="shared" si="75"/>
        <v>46002.939950399996</v>
      </c>
      <c r="EE16" s="5">
        <f t="shared" si="76"/>
        <v>46002.939950399996</v>
      </c>
      <c r="EF16" s="35">
        <f t="shared" si="77"/>
        <v>3360.6915912</v>
      </c>
      <c r="EI16" s="5">
        <f t="shared" si="78"/>
        <v>288.64436</v>
      </c>
      <c r="EJ16" s="5">
        <f t="shared" si="79"/>
        <v>288.64436</v>
      </c>
      <c r="EK16" s="35">
        <f t="shared" si="80"/>
        <v>21.086579999999998</v>
      </c>
      <c r="EN16" s="5">
        <f t="shared" si="81"/>
        <v>812.8878712</v>
      </c>
      <c r="EO16" s="5">
        <f t="shared" si="82"/>
        <v>812.8878712</v>
      </c>
      <c r="EP16" s="35">
        <f t="shared" si="83"/>
        <v>59.3845836</v>
      </c>
    </row>
    <row r="17" spans="1:146" ht="12.75">
      <c r="A17" s="36">
        <v>44652</v>
      </c>
      <c r="C17" s="78">
        <v>6165000</v>
      </c>
      <c r="D17" s="78">
        <v>1089224</v>
      </c>
      <c r="E17" s="34">
        <f t="shared" si="0"/>
        <v>7254224</v>
      </c>
      <c r="F17" s="34">
        <v>79572</v>
      </c>
      <c r="H17" s="47">
        <f>M17+R17+AB17+AG17+AL17+W17+AQ17+AV17+BA17+BF17+BK17+BP17+BU17+BZ17+CE17+CJ17+CO17+CT17+CY17+DD17+DI17+DN17+DS17+DX17+EC17+EH17+EM17</f>
        <v>1376219.1150000002</v>
      </c>
      <c r="I17" s="35">
        <f t="shared" si="1"/>
        <v>243148.56274400002</v>
      </c>
      <c r="J17" s="35">
        <f t="shared" si="2"/>
        <v>1619367.6777440002</v>
      </c>
      <c r="K17" s="35">
        <f t="shared" si="3"/>
        <v>17762.937132</v>
      </c>
      <c r="M17" s="5">
        <f t="shared" si="84"/>
        <v>288532.4805</v>
      </c>
      <c r="N17" s="5">
        <f t="shared" si="4"/>
        <v>50977.534880800005</v>
      </c>
      <c r="O17" s="5">
        <f t="shared" si="5"/>
        <v>339510.0153808</v>
      </c>
      <c r="P17" s="35">
        <f t="shared" si="6"/>
        <v>3724.1048724</v>
      </c>
      <c r="R17" s="5">
        <f t="shared" si="85"/>
        <v>40156.9605</v>
      </c>
      <c r="S17" s="5">
        <f t="shared" si="7"/>
        <v>7094.878368799999</v>
      </c>
      <c r="T17" s="35">
        <f t="shared" si="8"/>
        <v>47251.8388688</v>
      </c>
      <c r="U17" s="35">
        <f t="shared" si="9"/>
        <v>518.3081364</v>
      </c>
      <c r="V17" s="35"/>
      <c r="W17" s="5">
        <f t="shared" si="86"/>
        <v>5770.44</v>
      </c>
      <c r="X17" s="5">
        <f t="shared" si="10"/>
        <v>1019.513664</v>
      </c>
      <c r="Y17" s="5">
        <f t="shared" si="11"/>
        <v>6789.953664</v>
      </c>
      <c r="Z17" s="35">
        <f t="shared" si="12"/>
        <v>74.479392</v>
      </c>
      <c r="AB17" s="5">
        <f t="shared" si="87"/>
        <v>33957.4365</v>
      </c>
      <c r="AC17" s="5">
        <f t="shared" si="13"/>
        <v>5999.5547144</v>
      </c>
      <c r="AD17" s="5">
        <f t="shared" si="111"/>
        <v>39956.991214400005</v>
      </c>
      <c r="AE17" s="35">
        <f t="shared" si="14"/>
        <v>438.2905332</v>
      </c>
      <c r="AG17" s="5">
        <f t="shared" si="88"/>
        <v>15087.6045</v>
      </c>
      <c r="AH17" s="5">
        <f t="shared" si="15"/>
        <v>2665.6578952</v>
      </c>
      <c r="AI17" s="5">
        <f t="shared" si="16"/>
        <v>17753.2623952</v>
      </c>
      <c r="AJ17" s="35">
        <f t="shared" si="17"/>
        <v>194.7365556</v>
      </c>
      <c r="AL17" s="5">
        <f t="shared" si="89"/>
        <v>9592.1235</v>
      </c>
      <c r="AM17" s="5">
        <f t="shared" si="18"/>
        <v>1694.7236216000001</v>
      </c>
      <c r="AN17" s="5">
        <f t="shared" si="19"/>
        <v>11286.8471216</v>
      </c>
      <c r="AO17" s="35">
        <f t="shared" si="20"/>
        <v>123.8060748</v>
      </c>
      <c r="AQ17" s="5">
        <f t="shared" si="90"/>
        <v>25883.7525</v>
      </c>
      <c r="AR17" s="5">
        <f t="shared" si="21"/>
        <v>4573.106964</v>
      </c>
      <c r="AS17" s="5">
        <f t="shared" si="22"/>
        <v>30456.859463999997</v>
      </c>
      <c r="AT17" s="35">
        <f t="shared" si="23"/>
        <v>334.083042</v>
      </c>
      <c r="AV17" s="5">
        <f t="shared" si="91"/>
        <v>4.9319999999999995</v>
      </c>
      <c r="AW17" s="5">
        <f t="shared" si="24"/>
        <v>0.8713791999999999</v>
      </c>
      <c r="AX17" s="5">
        <f t="shared" si="25"/>
        <v>5.803379199999999</v>
      </c>
      <c r="AY17" s="35">
        <f t="shared" si="26"/>
        <v>0.0636576</v>
      </c>
      <c r="BA17" s="5">
        <f t="shared" si="92"/>
        <v>16012.3545</v>
      </c>
      <c r="BB17" s="5">
        <f t="shared" si="27"/>
        <v>2829.0414951999996</v>
      </c>
      <c r="BC17" s="35">
        <f t="shared" si="28"/>
        <v>18841.3959952</v>
      </c>
      <c r="BD17" s="35">
        <f t="shared" si="29"/>
        <v>206.6723556</v>
      </c>
      <c r="BF17" s="5">
        <f t="shared" si="93"/>
        <v>29474.2485</v>
      </c>
      <c r="BG17" s="5">
        <f t="shared" si="30"/>
        <v>5207.4710216</v>
      </c>
      <c r="BH17" s="5">
        <f t="shared" si="31"/>
        <v>34681.719521600004</v>
      </c>
      <c r="BI17" s="35">
        <f t="shared" si="32"/>
        <v>380.4257748</v>
      </c>
      <c r="BK17" s="5">
        <f t="shared" si="94"/>
        <v>76719.726</v>
      </c>
      <c r="BL17" s="5">
        <f t="shared" si="33"/>
        <v>13554.739145599999</v>
      </c>
      <c r="BM17" s="5">
        <f t="shared" si="34"/>
        <v>90274.4651456</v>
      </c>
      <c r="BN17" s="35">
        <f t="shared" si="35"/>
        <v>990.2257968</v>
      </c>
      <c r="BP17" s="5">
        <f t="shared" si="95"/>
        <v>7804.273499999999</v>
      </c>
      <c r="BQ17" s="5">
        <f t="shared" si="36"/>
        <v>1378.8486616</v>
      </c>
      <c r="BR17" s="5">
        <f t="shared" si="37"/>
        <v>9183.1221616</v>
      </c>
      <c r="BS17" s="35">
        <f t="shared" si="38"/>
        <v>100.73019479999999</v>
      </c>
      <c r="BU17" s="5">
        <f t="shared" si="96"/>
        <v>975.303</v>
      </c>
      <c r="BV17" s="5">
        <f t="shared" si="39"/>
        <v>172.3152368</v>
      </c>
      <c r="BW17" s="5">
        <f t="shared" si="40"/>
        <v>1147.6182368</v>
      </c>
      <c r="BX17" s="35">
        <f t="shared" si="41"/>
        <v>12.5882904</v>
      </c>
      <c r="BZ17" s="5">
        <f t="shared" si="97"/>
        <v>880.9785</v>
      </c>
      <c r="CA17" s="5">
        <f t="shared" si="42"/>
        <v>155.6501096</v>
      </c>
      <c r="CB17" s="5">
        <f t="shared" si="43"/>
        <v>1036.6286096000001</v>
      </c>
      <c r="CC17" s="35">
        <f t="shared" si="44"/>
        <v>11.3708388</v>
      </c>
      <c r="CE17" s="5">
        <f t="shared" si="98"/>
        <v>21904.8615</v>
      </c>
      <c r="CF17" s="5">
        <f t="shared" si="45"/>
        <v>3870.1217944</v>
      </c>
      <c r="CG17" s="5">
        <f t="shared" si="46"/>
        <v>25774.9832944</v>
      </c>
      <c r="CH17" s="35">
        <f t="shared" si="47"/>
        <v>282.7272732</v>
      </c>
      <c r="CJ17" s="5">
        <f t="shared" si="99"/>
        <v>1700.3069999999998</v>
      </c>
      <c r="CK17" s="5">
        <f t="shared" si="48"/>
        <v>300.4079792</v>
      </c>
      <c r="CL17" s="5">
        <f t="shared" si="49"/>
        <v>2000.7149791999998</v>
      </c>
      <c r="CM17" s="35">
        <f t="shared" si="50"/>
        <v>21.9459576</v>
      </c>
      <c r="CO17" s="5">
        <f t="shared" si="100"/>
        <v>13448.947499999998</v>
      </c>
      <c r="CP17" s="5">
        <f t="shared" si="51"/>
        <v>2376.142156</v>
      </c>
      <c r="CQ17" s="35">
        <f t="shared" si="52"/>
        <v>15825.089655999998</v>
      </c>
      <c r="CR17" s="35">
        <f t="shared" si="53"/>
        <v>173.58631799999998</v>
      </c>
      <c r="CT17" s="5">
        <f t="shared" si="101"/>
        <v>69443.1765</v>
      </c>
      <c r="CU17" s="5">
        <f t="shared" si="54"/>
        <v>12269.128058400001</v>
      </c>
      <c r="CV17" s="5">
        <f t="shared" si="55"/>
        <v>81712.3045584</v>
      </c>
      <c r="CW17" s="35">
        <f t="shared" si="56"/>
        <v>896.3069652</v>
      </c>
      <c r="CY17" s="5">
        <f t="shared" si="102"/>
        <v>5509.6605</v>
      </c>
      <c r="CZ17" s="5">
        <f t="shared" si="57"/>
        <v>973.4394887999999</v>
      </c>
      <c r="DA17" s="5">
        <f t="shared" si="58"/>
        <v>6483.0999888</v>
      </c>
      <c r="DB17" s="35">
        <f t="shared" si="59"/>
        <v>71.1134964</v>
      </c>
      <c r="DD17" s="5">
        <f t="shared" si="103"/>
        <v>14958.756</v>
      </c>
      <c r="DE17" s="5">
        <f t="shared" si="60"/>
        <v>2642.8931136</v>
      </c>
      <c r="DF17" s="5">
        <f t="shared" si="61"/>
        <v>17601.6491136</v>
      </c>
      <c r="DG17" s="35">
        <f t="shared" si="62"/>
        <v>193.0735008</v>
      </c>
      <c r="DI17" s="5">
        <f t="shared" si="104"/>
        <v>16773.732</v>
      </c>
      <c r="DJ17" s="5">
        <f t="shared" si="63"/>
        <v>2963.5606592000004</v>
      </c>
      <c r="DK17" s="35">
        <f t="shared" si="64"/>
        <v>19737.2926592</v>
      </c>
      <c r="DL17" s="35">
        <f t="shared" si="65"/>
        <v>216.4994976</v>
      </c>
      <c r="DN17" s="5">
        <f t="shared" si="105"/>
        <v>42264.1575</v>
      </c>
      <c r="DO17" s="5">
        <f t="shared" si="66"/>
        <v>7467.175131999999</v>
      </c>
      <c r="DP17" s="35">
        <f t="shared" si="67"/>
        <v>49731.332632</v>
      </c>
      <c r="DQ17" s="35">
        <f t="shared" si="68"/>
        <v>545.505846</v>
      </c>
      <c r="DS17" s="5">
        <f t="shared" si="106"/>
        <v>64934.0955</v>
      </c>
      <c r="DT17" s="5">
        <f t="shared" si="69"/>
        <v>11472.4696248</v>
      </c>
      <c r="DU17" s="35">
        <f t="shared" si="70"/>
        <v>76406.5651248</v>
      </c>
      <c r="DV17" s="35">
        <f t="shared" si="71"/>
        <v>838.1080044</v>
      </c>
      <c r="DX17" s="5">
        <f t="shared" si="107"/>
        <v>307817.8335</v>
      </c>
      <c r="DY17" s="5">
        <f t="shared" si="72"/>
        <v>54384.8453976</v>
      </c>
      <c r="DZ17" s="5">
        <f t="shared" si="73"/>
        <v>362202.67889760004</v>
      </c>
      <c r="EA17" s="35">
        <f t="shared" si="74"/>
        <v>3973.0220028</v>
      </c>
      <c r="EC17" s="5">
        <f t="shared" si="108"/>
        <v>260376.30899999998</v>
      </c>
      <c r="ED17" s="5">
        <f t="shared" si="75"/>
        <v>46002.939950399996</v>
      </c>
      <c r="EE17" s="5">
        <f t="shared" si="76"/>
        <v>306379.2489504</v>
      </c>
      <c r="EF17" s="35">
        <f t="shared" si="77"/>
        <v>3360.6915912</v>
      </c>
      <c r="EH17" s="5">
        <f t="shared" si="109"/>
        <v>1633.725</v>
      </c>
      <c r="EI17" s="5">
        <f t="shared" si="78"/>
        <v>288.64436</v>
      </c>
      <c r="EJ17" s="5">
        <f t="shared" si="79"/>
        <v>1922.36936</v>
      </c>
      <c r="EK17" s="35">
        <f t="shared" si="80"/>
        <v>21.086579999999998</v>
      </c>
      <c r="EM17" s="5">
        <f t="shared" si="110"/>
        <v>4600.9394999999995</v>
      </c>
      <c r="EN17" s="5">
        <f t="shared" si="81"/>
        <v>812.8878712</v>
      </c>
      <c r="EO17" s="5">
        <f t="shared" si="82"/>
        <v>5413.827371199999</v>
      </c>
      <c r="EP17" s="35">
        <f t="shared" si="83"/>
        <v>59.3845836</v>
      </c>
    </row>
    <row r="18" spans="1:146" ht="12.75">
      <c r="A18" s="36">
        <v>44835</v>
      </c>
      <c r="C18" s="78"/>
      <c r="D18" s="78">
        <v>998059</v>
      </c>
      <c r="E18" s="34">
        <f t="shared" si="0"/>
        <v>998059</v>
      </c>
      <c r="F18" s="34">
        <v>79572</v>
      </c>
      <c r="H18" s="47"/>
      <c r="I18" s="35">
        <f t="shared" si="1"/>
        <v>222797.708629</v>
      </c>
      <c r="J18" s="35">
        <f t="shared" si="2"/>
        <v>222797.708629</v>
      </c>
      <c r="K18" s="35">
        <f t="shared" si="3"/>
        <v>17762.937132</v>
      </c>
      <c r="N18" s="5">
        <f t="shared" si="4"/>
        <v>46710.857900300005</v>
      </c>
      <c r="O18" s="5">
        <f t="shared" si="5"/>
        <v>46710.857900300005</v>
      </c>
      <c r="P18" s="35">
        <f t="shared" si="6"/>
        <v>3724.1048724</v>
      </c>
      <c r="S18" s="5">
        <f t="shared" si="7"/>
        <v>6501.0569083</v>
      </c>
      <c r="T18" s="35">
        <f t="shared" si="8"/>
        <v>6501.0569083</v>
      </c>
      <c r="U18" s="35">
        <f t="shared" si="9"/>
        <v>518.3081364</v>
      </c>
      <c r="V18" s="35"/>
      <c r="X18" s="5">
        <f t="shared" si="10"/>
        <v>934.183224</v>
      </c>
      <c r="Y18" s="5">
        <f t="shared" si="11"/>
        <v>934.183224</v>
      </c>
      <c r="Z18" s="35">
        <f t="shared" si="12"/>
        <v>74.479392</v>
      </c>
      <c r="AC18" s="5">
        <f t="shared" si="13"/>
        <v>5497.4087779</v>
      </c>
      <c r="AD18" s="5">
        <f t="shared" si="111"/>
        <v>5497.4087779</v>
      </c>
      <c r="AE18" s="35">
        <f t="shared" si="14"/>
        <v>438.2905332</v>
      </c>
      <c r="AH18" s="5">
        <f t="shared" si="15"/>
        <v>2442.5497907</v>
      </c>
      <c r="AI18" s="5">
        <f t="shared" si="16"/>
        <v>2442.5497907</v>
      </c>
      <c r="AJ18" s="35">
        <f t="shared" si="17"/>
        <v>194.7365556</v>
      </c>
      <c r="AM18" s="5">
        <f t="shared" si="18"/>
        <v>1552.8799981</v>
      </c>
      <c r="AN18" s="5">
        <f t="shared" si="19"/>
        <v>1552.8799981</v>
      </c>
      <c r="AO18" s="35">
        <f t="shared" si="20"/>
        <v>123.8060748</v>
      </c>
      <c r="AR18" s="5">
        <f t="shared" si="21"/>
        <v>4190.3507115</v>
      </c>
      <c r="AS18" s="5">
        <f t="shared" si="22"/>
        <v>4190.3507115</v>
      </c>
      <c r="AT18" s="35">
        <f t="shared" si="23"/>
        <v>334.083042</v>
      </c>
      <c r="AW18" s="5">
        <f t="shared" si="24"/>
        <v>0.7984471999999999</v>
      </c>
      <c r="AX18" s="5">
        <f t="shared" si="25"/>
        <v>0.7984471999999999</v>
      </c>
      <c r="AY18" s="35">
        <f t="shared" si="26"/>
        <v>0.0636576</v>
      </c>
      <c r="BB18" s="5">
        <f t="shared" si="27"/>
        <v>2592.2586407</v>
      </c>
      <c r="BC18" s="35">
        <f t="shared" si="28"/>
        <v>2592.2586407</v>
      </c>
      <c r="BD18" s="35">
        <f t="shared" si="29"/>
        <v>206.6723556</v>
      </c>
      <c r="BG18" s="5">
        <f t="shared" si="30"/>
        <v>4771.6202731</v>
      </c>
      <c r="BH18" s="5">
        <f t="shared" si="31"/>
        <v>4771.6202731</v>
      </c>
      <c r="BI18" s="35">
        <f t="shared" si="32"/>
        <v>380.4257748</v>
      </c>
      <c r="BL18" s="5">
        <f t="shared" si="33"/>
        <v>12420.2454196</v>
      </c>
      <c r="BM18" s="5">
        <f t="shared" si="34"/>
        <v>12420.2454196</v>
      </c>
      <c r="BN18" s="35">
        <f t="shared" si="35"/>
        <v>990.2257968</v>
      </c>
      <c r="BQ18" s="5">
        <f t="shared" si="36"/>
        <v>1263.4428881</v>
      </c>
      <c r="BR18" s="5">
        <f t="shared" si="37"/>
        <v>1263.4428881</v>
      </c>
      <c r="BS18" s="35">
        <f t="shared" si="38"/>
        <v>100.73019479999999</v>
      </c>
      <c r="BV18" s="5">
        <f t="shared" si="39"/>
        <v>157.8929338</v>
      </c>
      <c r="BW18" s="5">
        <f t="shared" si="40"/>
        <v>157.8929338</v>
      </c>
      <c r="BX18" s="35">
        <f t="shared" si="41"/>
        <v>12.5882904</v>
      </c>
      <c r="CA18" s="5">
        <f t="shared" si="42"/>
        <v>142.6226311</v>
      </c>
      <c r="CB18" s="5">
        <f t="shared" si="43"/>
        <v>142.6226311</v>
      </c>
      <c r="CC18" s="35">
        <f t="shared" si="44"/>
        <v>11.3708388</v>
      </c>
      <c r="CF18" s="5">
        <f t="shared" si="45"/>
        <v>3546.2034329</v>
      </c>
      <c r="CG18" s="5">
        <f t="shared" si="46"/>
        <v>3546.2034329</v>
      </c>
      <c r="CH18" s="35">
        <f t="shared" si="47"/>
        <v>282.7272732</v>
      </c>
      <c r="CK18" s="5">
        <f t="shared" si="48"/>
        <v>275.2646722</v>
      </c>
      <c r="CL18" s="5">
        <f t="shared" si="49"/>
        <v>275.2646722</v>
      </c>
      <c r="CM18" s="35">
        <f t="shared" si="50"/>
        <v>21.9459576</v>
      </c>
      <c r="CP18" s="5">
        <f t="shared" si="51"/>
        <v>2177.2657084999996</v>
      </c>
      <c r="CQ18" s="35">
        <f t="shared" si="52"/>
        <v>2177.2657084999996</v>
      </c>
      <c r="CR18" s="35">
        <f t="shared" si="53"/>
        <v>173.58631799999998</v>
      </c>
      <c r="CU18" s="5">
        <f t="shared" si="54"/>
        <v>11242.2363819</v>
      </c>
      <c r="CV18" s="5">
        <f t="shared" si="55"/>
        <v>11242.2363819</v>
      </c>
      <c r="CW18" s="35">
        <f t="shared" si="56"/>
        <v>896.3069652</v>
      </c>
      <c r="CZ18" s="5">
        <f t="shared" si="57"/>
        <v>891.9653283</v>
      </c>
      <c r="DA18" s="5">
        <f t="shared" si="58"/>
        <v>891.9653283</v>
      </c>
      <c r="DB18" s="35">
        <f t="shared" si="59"/>
        <v>71.1134964</v>
      </c>
      <c r="DE18" s="5">
        <f t="shared" si="60"/>
        <v>2421.6903576</v>
      </c>
      <c r="DF18" s="5">
        <f t="shared" si="61"/>
        <v>2421.6903576</v>
      </c>
      <c r="DG18" s="35">
        <f t="shared" si="62"/>
        <v>193.0735008</v>
      </c>
      <c r="DJ18" s="5">
        <f t="shared" si="63"/>
        <v>2715.5189272000002</v>
      </c>
      <c r="DK18" s="35">
        <f t="shared" si="64"/>
        <v>2715.5189272000002</v>
      </c>
      <c r="DL18" s="35">
        <f t="shared" si="65"/>
        <v>216.4994976</v>
      </c>
      <c r="DO18" s="5">
        <f t="shared" si="66"/>
        <v>6842.1934745</v>
      </c>
      <c r="DP18" s="35">
        <f t="shared" si="67"/>
        <v>6842.1934745</v>
      </c>
      <c r="DQ18" s="35">
        <f t="shared" si="68"/>
        <v>545.505846</v>
      </c>
      <c r="DT18" s="5">
        <f t="shared" si="69"/>
        <v>10512.2560293</v>
      </c>
      <c r="DU18" s="35">
        <f t="shared" si="70"/>
        <v>10512.2560293</v>
      </c>
      <c r="DV18" s="35">
        <f t="shared" si="71"/>
        <v>838.1080044</v>
      </c>
      <c r="DY18" s="5">
        <f t="shared" si="72"/>
        <v>49832.9860641</v>
      </c>
      <c r="DZ18" s="5">
        <f t="shared" si="73"/>
        <v>49832.9860641</v>
      </c>
      <c r="EA18" s="35">
        <f t="shared" si="74"/>
        <v>3973.0220028</v>
      </c>
      <c r="ED18" s="5">
        <f t="shared" si="75"/>
        <v>42152.6226414</v>
      </c>
      <c r="EE18" s="5">
        <f t="shared" si="76"/>
        <v>42152.6226414</v>
      </c>
      <c r="EF18" s="35">
        <f t="shared" si="77"/>
        <v>3360.6915912</v>
      </c>
      <c r="EI18" s="5">
        <f t="shared" si="78"/>
        <v>264.485635</v>
      </c>
      <c r="EJ18" s="5">
        <f t="shared" si="79"/>
        <v>264.485635</v>
      </c>
      <c r="EK18" s="35">
        <f t="shared" si="80"/>
        <v>21.086579999999998</v>
      </c>
      <c r="EN18" s="5">
        <f t="shared" si="81"/>
        <v>744.8514317</v>
      </c>
      <c r="EO18" s="5">
        <f t="shared" si="82"/>
        <v>744.8514317</v>
      </c>
      <c r="EP18" s="35">
        <f t="shared" si="83"/>
        <v>59.3845836</v>
      </c>
    </row>
    <row r="19" spans="1:146" ht="12.75">
      <c r="A19" s="36">
        <v>45017</v>
      </c>
      <c r="C19" s="78">
        <v>6345000</v>
      </c>
      <c r="D19" s="78">
        <v>998059</v>
      </c>
      <c r="E19" s="34">
        <f t="shared" si="0"/>
        <v>7343059</v>
      </c>
      <c r="F19" s="34">
        <v>79572</v>
      </c>
      <c r="H19" s="47">
        <f>M19+R19+AB19+AG19+AL19+W19+AQ19+AV19+BA19+BF19+BK19+BP19+BU19+BZ19+CE19+CJ19+CO19+CT19+CY19+DD19+DI19+DN19+DS19+DX19+EC19+EH19+EM19</f>
        <v>1416400.695</v>
      </c>
      <c r="I19" s="35">
        <f t="shared" si="1"/>
        <v>222797.708629</v>
      </c>
      <c r="J19" s="35">
        <f t="shared" si="2"/>
        <v>1639198.403629</v>
      </c>
      <c r="K19" s="35">
        <f t="shared" si="3"/>
        <v>17762.937132</v>
      </c>
      <c r="M19" s="5">
        <f t="shared" si="84"/>
        <v>296956.7865</v>
      </c>
      <c r="N19" s="5">
        <f t="shared" si="4"/>
        <v>46710.857900300005</v>
      </c>
      <c r="O19" s="5">
        <f t="shared" si="5"/>
        <v>343667.6444003</v>
      </c>
      <c r="P19" s="35">
        <f t="shared" si="6"/>
        <v>3724.1048724</v>
      </c>
      <c r="R19" s="5">
        <f t="shared" si="85"/>
        <v>41329.4265</v>
      </c>
      <c r="S19" s="5">
        <f t="shared" si="7"/>
        <v>6501.0569083</v>
      </c>
      <c r="T19" s="35">
        <f t="shared" si="8"/>
        <v>47830.4834083</v>
      </c>
      <c r="U19" s="35">
        <f t="shared" si="9"/>
        <v>518.3081364</v>
      </c>
      <c r="V19" s="35"/>
      <c r="W19" s="5">
        <f t="shared" si="86"/>
        <v>5938.92</v>
      </c>
      <c r="X19" s="5">
        <f t="shared" si="10"/>
        <v>934.183224</v>
      </c>
      <c r="Y19" s="5">
        <f t="shared" si="11"/>
        <v>6873.103224</v>
      </c>
      <c r="Z19" s="35">
        <f t="shared" si="12"/>
        <v>74.479392</v>
      </c>
      <c r="AB19" s="5">
        <f t="shared" si="87"/>
        <v>34948.8945</v>
      </c>
      <c r="AC19" s="5">
        <f t="shared" si="13"/>
        <v>5497.4087779</v>
      </c>
      <c r="AD19" s="5">
        <f t="shared" si="111"/>
        <v>40446.303277900006</v>
      </c>
      <c r="AE19" s="35">
        <f t="shared" si="14"/>
        <v>438.2905332</v>
      </c>
      <c r="AG19" s="5">
        <f t="shared" si="88"/>
        <v>15528.118499999999</v>
      </c>
      <c r="AH19" s="5">
        <f t="shared" si="15"/>
        <v>2442.5497907</v>
      </c>
      <c r="AI19" s="5">
        <f t="shared" si="16"/>
        <v>17970.6682907</v>
      </c>
      <c r="AJ19" s="35">
        <f t="shared" si="17"/>
        <v>194.7365556</v>
      </c>
      <c r="AL19" s="5">
        <f t="shared" si="89"/>
        <v>9872.1855</v>
      </c>
      <c r="AM19" s="5">
        <f t="shared" si="18"/>
        <v>1552.8799981</v>
      </c>
      <c r="AN19" s="5">
        <f t="shared" si="19"/>
        <v>11425.065498099999</v>
      </c>
      <c r="AO19" s="35">
        <f t="shared" si="20"/>
        <v>123.8060748</v>
      </c>
      <c r="AQ19" s="5">
        <f t="shared" si="90"/>
        <v>26639.4825</v>
      </c>
      <c r="AR19" s="5">
        <f t="shared" si="21"/>
        <v>4190.3507115</v>
      </c>
      <c r="AS19" s="5">
        <f t="shared" si="22"/>
        <v>30829.833211499998</v>
      </c>
      <c r="AT19" s="35">
        <f t="shared" si="23"/>
        <v>334.083042</v>
      </c>
      <c r="AV19" s="5">
        <f t="shared" si="91"/>
        <v>5.076</v>
      </c>
      <c r="AW19" s="5">
        <f t="shared" si="24"/>
        <v>0.7984471999999999</v>
      </c>
      <c r="AX19" s="5">
        <f t="shared" si="25"/>
        <v>5.8744472</v>
      </c>
      <c r="AY19" s="35">
        <f t="shared" si="26"/>
        <v>0.0636576</v>
      </c>
      <c r="BA19" s="5">
        <f t="shared" si="92"/>
        <v>16479.8685</v>
      </c>
      <c r="BB19" s="5">
        <f t="shared" si="27"/>
        <v>2592.2586407</v>
      </c>
      <c r="BC19" s="35">
        <f t="shared" si="28"/>
        <v>19072.127140700002</v>
      </c>
      <c r="BD19" s="35">
        <f t="shared" si="29"/>
        <v>206.6723556</v>
      </c>
      <c r="BF19" s="5">
        <f t="shared" si="93"/>
        <v>30334.810500000003</v>
      </c>
      <c r="BG19" s="5">
        <f t="shared" si="30"/>
        <v>4771.6202731</v>
      </c>
      <c r="BH19" s="5">
        <f t="shared" si="31"/>
        <v>35106.4307731</v>
      </c>
      <c r="BI19" s="35">
        <f t="shared" si="32"/>
        <v>380.4257748</v>
      </c>
      <c r="BK19" s="5">
        <f t="shared" si="94"/>
        <v>78959.718</v>
      </c>
      <c r="BL19" s="5">
        <f t="shared" si="33"/>
        <v>12420.2454196</v>
      </c>
      <c r="BM19" s="5">
        <f t="shared" si="34"/>
        <v>91379.9634196</v>
      </c>
      <c r="BN19" s="35">
        <f t="shared" si="35"/>
        <v>990.2257968</v>
      </c>
      <c r="BP19" s="5">
        <f t="shared" si="95"/>
        <v>8032.135499999999</v>
      </c>
      <c r="BQ19" s="5">
        <f t="shared" si="36"/>
        <v>1263.4428881</v>
      </c>
      <c r="BR19" s="5">
        <f t="shared" si="37"/>
        <v>9295.578388099999</v>
      </c>
      <c r="BS19" s="35">
        <f t="shared" si="38"/>
        <v>100.73019479999999</v>
      </c>
      <c r="BU19" s="5">
        <f t="shared" si="96"/>
        <v>1003.779</v>
      </c>
      <c r="BV19" s="5">
        <f t="shared" si="39"/>
        <v>157.8929338</v>
      </c>
      <c r="BW19" s="5">
        <f t="shared" si="40"/>
        <v>1161.6719338</v>
      </c>
      <c r="BX19" s="35">
        <f t="shared" si="41"/>
        <v>12.5882904</v>
      </c>
      <c r="BZ19" s="5">
        <f t="shared" si="97"/>
        <v>906.7005</v>
      </c>
      <c r="CA19" s="5">
        <f t="shared" si="42"/>
        <v>142.6226311</v>
      </c>
      <c r="CB19" s="5">
        <f t="shared" si="43"/>
        <v>1049.3231311</v>
      </c>
      <c r="CC19" s="35">
        <f t="shared" si="44"/>
        <v>11.3708388</v>
      </c>
      <c r="CE19" s="5">
        <f t="shared" si="98"/>
        <v>22544.4195</v>
      </c>
      <c r="CF19" s="5">
        <f t="shared" si="45"/>
        <v>3546.2034329</v>
      </c>
      <c r="CG19" s="5">
        <f t="shared" si="46"/>
        <v>26090.622932899998</v>
      </c>
      <c r="CH19" s="35">
        <f t="shared" si="47"/>
        <v>282.7272732</v>
      </c>
      <c r="CJ19" s="5">
        <f t="shared" si="99"/>
        <v>1749.9509999999998</v>
      </c>
      <c r="CK19" s="5">
        <f t="shared" si="48"/>
        <v>275.2646722</v>
      </c>
      <c r="CL19" s="5">
        <f t="shared" si="49"/>
        <v>2025.2156721999997</v>
      </c>
      <c r="CM19" s="35">
        <f t="shared" si="50"/>
        <v>21.9459576</v>
      </c>
      <c r="CO19" s="5">
        <f t="shared" si="100"/>
        <v>13841.617499999998</v>
      </c>
      <c r="CP19" s="5">
        <f t="shared" si="51"/>
        <v>2177.2657084999996</v>
      </c>
      <c r="CQ19" s="35">
        <f t="shared" si="52"/>
        <v>16018.883208499998</v>
      </c>
      <c r="CR19" s="35">
        <f t="shared" si="53"/>
        <v>173.58631799999998</v>
      </c>
      <c r="CT19" s="5">
        <f t="shared" si="101"/>
        <v>71470.7145</v>
      </c>
      <c r="CU19" s="5">
        <f t="shared" si="54"/>
        <v>11242.2363819</v>
      </c>
      <c r="CV19" s="5">
        <f t="shared" si="55"/>
        <v>82712.9508819</v>
      </c>
      <c r="CW19" s="35">
        <f t="shared" si="56"/>
        <v>896.3069652</v>
      </c>
      <c r="CY19" s="5">
        <f t="shared" si="102"/>
        <v>5670.5265</v>
      </c>
      <c r="CZ19" s="5">
        <f t="shared" si="57"/>
        <v>891.9653283</v>
      </c>
      <c r="DA19" s="5">
        <f t="shared" si="58"/>
        <v>6562.4918283</v>
      </c>
      <c r="DB19" s="35">
        <f t="shared" si="59"/>
        <v>71.1134964</v>
      </c>
      <c r="DD19" s="5">
        <f t="shared" si="103"/>
        <v>15395.508</v>
      </c>
      <c r="DE19" s="5">
        <f t="shared" si="60"/>
        <v>2421.6903576</v>
      </c>
      <c r="DF19" s="5">
        <f t="shared" si="61"/>
        <v>17817.1983576</v>
      </c>
      <c r="DG19" s="35">
        <f t="shared" si="62"/>
        <v>193.0735008</v>
      </c>
      <c r="DI19" s="5">
        <f t="shared" si="104"/>
        <v>17263.476000000002</v>
      </c>
      <c r="DJ19" s="5">
        <f t="shared" si="63"/>
        <v>2715.5189272000002</v>
      </c>
      <c r="DK19" s="35">
        <f t="shared" si="64"/>
        <v>19978.9949272</v>
      </c>
      <c r="DL19" s="35">
        <f t="shared" si="65"/>
        <v>216.4994976</v>
      </c>
      <c r="DN19" s="5">
        <f t="shared" si="105"/>
        <v>43498.1475</v>
      </c>
      <c r="DO19" s="5">
        <f t="shared" si="66"/>
        <v>6842.1934745</v>
      </c>
      <c r="DP19" s="35">
        <f t="shared" si="67"/>
        <v>50340.340974499995</v>
      </c>
      <c r="DQ19" s="35">
        <f t="shared" si="68"/>
        <v>545.505846</v>
      </c>
      <c r="DS19" s="5">
        <f t="shared" si="106"/>
        <v>66829.98150000001</v>
      </c>
      <c r="DT19" s="5">
        <f t="shared" si="69"/>
        <v>10512.2560293</v>
      </c>
      <c r="DU19" s="35">
        <f t="shared" si="70"/>
        <v>77342.23752930001</v>
      </c>
      <c r="DV19" s="35">
        <f t="shared" si="71"/>
        <v>838.1080044</v>
      </c>
      <c r="DX19" s="5">
        <f t="shared" si="107"/>
        <v>316805.2155</v>
      </c>
      <c r="DY19" s="5">
        <f t="shared" si="72"/>
        <v>49832.9860641</v>
      </c>
      <c r="DZ19" s="5">
        <f t="shared" si="73"/>
        <v>366638.2015641</v>
      </c>
      <c r="EA19" s="35">
        <f t="shared" si="74"/>
        <v>3973.0220028</v>
      </c>
      <c r="EC19" s="5">
        <f t="shared" si="108"/>
        <v>267978.53699999995</v>
      </c>
      <c r="ED19" s="5">
        <f t="shared" si="75"/>
        <v>42152.6226414</v>
      </c>
      <c r="EE19" s="5">
        <f t="shared" si="76"/>
        <v>310131.1596414</v>
      </c>
      <c r="EF19" s="35">
        <f t="shared" si="77"/>
        <v>3360.6915912</v>
      </c>
      <c r="EH19" s="5">
        <f t="shared" si="109"/>
        <v>1681.425</v>
      </c>
      <c r="EI19" s="5">
        <f t="shared" si="78"/>
        <v>264.485635</v>
      </c>
      <c r="EJ19" s="5">
        <f t="shared" si="79"/>
        <v>1945.910635</v>
      </c>
      <c r="EK19" s="35">
        <f t="shared" si="80"/>
        <v>21.086579999999998</v>
      </c>
      <c r="EM19" s="5">
        <f t="shared" si="110"/>
        <v>4735.2735</v>
      </c>
      <c r="EN19" s="5">
        <f t="shared" si="81"/>
        <v>744.8514317</v>
      </c>
      <c r="EO19" s="5">
        <f t="shared" si="82"/>
        <v>5480.1249317</v>
      </c>
      <c r="EP19" s="35">
        <f t="shared" si="83"/>
        <v>59.3845836</v>
      </c>
    </row>
    <row r="20" spans="1:146" ht="12.75">
      <c r="A20" s="36">
        <v>45200</v>
      </c>
      <c r="C20" s="78"/>
      <c r="D20" s="78">
        <v>900108</v>
      </c>
      <c r="E20" s="34">
        <f t="shared" si="0"/>
        <v>900108</v>
      </c>
      <c r="F20" s="34">
        <v>79572</v>
      </c>
      <c r="H20" s="47"/>
      <c r="I20" s="35">
        <f t="shared" si="1"/>
        <v>200932.008948</v>
      </c>
      <c r="J20" s="35">
        <f t="shared" si="2"/>
        <v>200932.008948</v>
      </c>
      <c r="K20" s="35">
        <f t="shared" si="3"/>
        <v>17762.937132</v>
      </c>
      <c r="N20" s="5">
        <f t="shared" si="4"/>
        <v>42126.5845836</v>
      </c>
      <c r="O20" s="5">
        <f t="shared" si="5"/>
        <v>42126.5845836</v>
      </c>
      <c r="P20" s="35">
        <f t="shared" si="6"/>
        <v>3724.1048724</v>
      </c>
      <c r="S20" s="5">
        <f t="shared" si="7"/>
        <v>5863.0334796</v>
      </c>
      <c r="T20" s="35">
        <f t="shared" si="8"/>
        <v>5863.0334796</v>
      </c>
      <c r="U20" s="35">
        <f t="shared" si="9"/>
        <v>518.3081364</v>
      </c>
      <c r="V20" s="35"/>
      <c r="X20" s="5">
        <f t="shared" si="10"/>
        <v>842.501088</v>
      </c>
      <c r="Y20" s="5">
        <f t="shared" si="11"/>
        <v>842.501088</v>
      </c>
      <c r="Z20" s="35">
        <f t="shared" si="12"/>
        <v>74.479392</v>
      </c>
      <c r="AC20" s="5">
        <f t="shared" si="13"/>
        <v>4957.8848748</v>
      </c>
      <c r="AD20" s="5">
        <f t="shared" si="111"/>
        <v>4957.8848748</v>
      </c>
      <c r="AE20" s="35">
        <f t="shared" si="14"/>
        <v>438.2905332</v>
      </c>
      <c r="AH20" s="5">
        <f t="shared" si="15"/>
        <v>2202.8343084</v>
      </c>
      <c r="AI20" s="5">
        <f t="shared" si="16"/>
        <v>2202.8343084</v>
      </c>
      <c r="AJ20" s="35">
        <f t="shared" si="17"/>
        <v>194.7365556</v>
      </c>
      <c r="AM20" s="5">
        <f t="shared" si="18"/>
        <v>1400.4780372</v>
      </c>
      <c r="AN20" s="5">
        <f t="shared" si="19"/>
        <v>1400.4780372</v>
      </c>
      <c r="AO20" s="35">
        <f t="shared" si="20"/>
        <v>123.8060748</v>
      </c>
      <c r="AR20" s="5">
        <f t="shared" si="21"/>
        <v>3779.103438</v>
      </c>
      <c r="AS20" s="5">
        <f t="shared" si="22"/>
        <v>3779.103438</v>
      </c>
      <c r="AT20" s="35">
        <f t="shared" si="23"/>
        <v>334.083042</v>
      </c>
      <c r="AW20" s="5">
        <f t="shared" si="24"/>
        <v>0.7200864</v>
      </c>
      <c r="AX20" s="5">
        <f t="shared" si="25"/>
        <v>0.7200864</v>
      </c>
      <c r="AY20" s="35">
        <f t="shared" si="26"/>
        <v>0.0636576</v>
      </c>
      <c r="BB20" s="5">
        <f t="shared" si="27"/>
        <v>2337.8505084</v>
      </c>
      <c r="BC20" s="35">
        <f t="shared" si="28"/>
        <v>2337.8505084</v>
      </c>
      <c r="BD20" s="35">
        <f t="shared" si="29"/>
        <v>206.6723556</v>
      </c>
      <c r="BG20" s="5">
        <f t="shared" si="30"/>
        <v>4303.3263372</v>
      </c>
      <c r="BH20" s="5">
        <f t="shared" si="31"/>
        <v>4303.3263372</v>
      </c>
      <c r="BI20" s="35">
        <f t="shared" si="32"/>
        <v>380.4257748</v>
      </c>
      <c r="BL20" s="5">
        <f t="shared" si="33"/>
        <v>11201.3039952</v>
      </c>
      <c r="BM20" s="5">
        <f t="shared" si="34"/>
        <v>11201.3039952</v>
      </c>
      <c r="BN20" s="35">
        <f t="shared" si="35"/>
        <v>990.2257968</v>
      </c>
      <c r="BQ20" s="5">
        <f t="shared" si="36"/>
        <v>1139.4467172</v>
      </c>
      <c r="BR20" s="5">
        <f t="shared" si="37"/>
        <v>1139.4467172</v>
      </c>
      <c r="BS20" s="35">
        <f t="shared" si="38"/>
        <v>100.73019479999999</v>
      </c>
      <c r="BV20" s="5">
        <f t="shared" si="39"/>
        <v>142.3970856</v>
      </c>
      <c r="BW20" s="5">
        <f t="shared" si="40"/>
        <v>142.3970856</v>
      </c>
      <c r="BX20" s="35">
        <f t="shared" si="41"/>
        <v>12.5882904</v>
      </c>
      <c r="CA20" s="5">
        <f t="shared" si="42"/>
        <v>128.6254332</v>
      </c>
      <c r="CB20" s="5">
        <f t="shared" si="43"/>
        <v>128.6254332</v>
      </c>
      <c r="CC20" s="35">
        <f t="shared" si="44"/>
        <v>11.3708388</v>
      </c>
      <c r="CF20" s="5">
        <f t="shared" si="45"/>
        <v>3198.1737348</v>
      </c>
      <c r="CG20" s="5">
        <f t="shared" si="46"/>
        <v>3198.1737348</v>
      </c>
      <c r="CH20" s="35">
        <f t="shared" si="47"/>
        <v>282.7272732</v>
      </c>
      <c r="CK20" s="5">
        <f t="shared" si="48"/>
        <v>248.24978639999998</v>
      </c>
      <c r="CL20" s="5">
        <f t="shared" si="49"/>
        <v>248.24978639999998</v>
      </c>
      <c r="CM20" s="35">
        <f t="shared" si="50"/>
        <v>21.9459576</v>
      </c>
      <c r="CP20" s="5">
        <f t="shared" si="51"/>
        <v>1963.5856019999999</v>
      </c>
      <c r="CQ20" s="35">
        <f t="shared" si="52"/>
        <v>1963.5856019999999</v>
      </c>
      <c r="CR20" s="35">
        <f t="shared" si="53"/>
        <v>173.58631799999998</v>
      </c>
      <c r="CU20" s="5">
        <f t="shared" si="54"/>
        <v>10138.9065228</v>
      </c>
      <c r="CV20" s="5">
        <f t="shared" si="55"/>
        <v>10138.9065228</v>
      </c>
      <c r="CW20" s="35">
        <f t="shared" si="56"/>
        <v>896.3069652</v>
      </c>
      <c r="CZ20" s="5">
        <f t="shared" si="57"/>
        <v>804.4265196</v>
      </c>
      <c r="DA20" s="5">
        <f t="shared" si="58"/>
        <v>804.4265196</v>
      </c>
      <c r="DB20" s="35">
        <f t="shared" si="59"/>
        <v>71.1134964</v>
      </c>
      <c r="DE20" s="5">
        <f t="shared" si="60"/>
        <v>2184.0220512</v>
      </c>
      <c r="DF20" s="5">
        <f t="shared" si="61"/>
        <v>2184.0220512</v>
      </c>
      <c r="DG20" s="35">
        <f t="shared" si="62"/>
        <v>193.0735008</v>
      </c>
      <c r="DJ20" s="5">
        <f t="shared" si="63"/>
        <v>2449.0138464</v>
      </c>
      <c r="DK20" s="35">
        <f t="shared" si="64"/>
        <v>2449.0138464</v>
      </c>
      <c r="DL20" s="35">
        <f t="shared" si="65"/>
        <v>216.4994976</v>
      </c>
      <c r="DO20" s="5">
        <f t="shared" si="66"/>
        <v>6170.690393999999</v>
      </c>
      <c r="DP20" s="35">
        <f t="shared" si="67"/>
        <v>6170.690393999999</v>
      </c>
      <c r="DQ20" s="35">
        <f t="shared" si="68"/>
        <v>545.505846</v>
      </c>
      <c r="DT20" s="5">
        <f t="shared" si="69"/>
        <v>9480.567531600002</v>
      </c>
      <c r="DU20" s="35">
        <f t="shared" si="70"/>
        <v>9480.567531600002</v>
      </c>
      <c r="DV20" s="35">
        <f t="shared" si="71"/>
        <v>838.1080044</v>
      </c>
      <c r="DY20" s="5">
        <f t="shared" si="72"/>
        <v>44942.3024292</v>
      </c>
      <c r="DZ20" s="5">
        <f t="shared" si="73"/>
        <v>44942.3024292</v>
      </c>
      <c r="EA20" s="35">
        <f t="shared" si="74"/>
        <v>3973.0220028</v>
      </c>
      <c r="ED20" s="5">
        <f t="shared" si="75"/>
        <v>38015.7013368</v>
      </c>
      <c r="EE20" s="5">
        <f t="shared" si="76"/>
        <v>38015.7013368</v>
      </c>
      <c r="EF20" s="35">
        <f t="shared" si="77"/>
        <v>3360.6915912</v>
      </c>
      <c r="EI20" s="5">
        <f t="shared" si="78"/>
        <v>238.52862</v>
      </c>
      <c r="EJ20" s="5">
        <f t="shared" si="79"/>
        <v>238.52862</v>
      </c>
      <c r="EK20" s="35">
        <f t="shared" si="80"/>
        <v>21.086579999999998</v>
      </c>
      <c r="EN20" s="5">
        <f t="shared" si="81"/>
        <v>671.7506003999999</v>
      </c>
      <c r="EO20" s="5">
        <f t="shared" si="82"/>
        <v>671.7506003999999</v>
      </c>
      <c r="EP20" s="35">
        <f t="shared" si="83"/>
        <v>59.3845836</v>
      </c>
    </row>
    <row r="21" spans="1:146" ht="12.75">
      <c r="A21" s="36">
        <v>45383</v>
      </c>
      <c r="C21" s="78">
        <v>6545000</v>
      </c>
      <c r="D21" s="78">
        <v>900108</v>
      </c>
      <c r="E21" s="34">
        <f t="shared" si="0"/>
        <v>7445108</v>
      </c>
      <c r="F21" s="34">
        <v>79572</v>
      </c>
      <c r="H21" s="47">
        <f>M21+R21+AB21+AG21+AL21+W21+AQ21+AV21+BA21+BF21+BK21+BP21+BU21+BZ21+CE21+CJ21+CO21+CT21+CY21+DD21+DI21+DN21+DS21+DX21+EC21+EH21+EM21</f>
        <v>1461046.8949999998</v>
      </c>
      <c r="I21" s="35">
        <f t="shared" si="1"/>
        <v>200932.008948</v>
      </c>
      <c r="J21" s="35">
        <f t="shared" si="2"/>
        <v>1661978.9039479997</v>
      </c>
      <c r="K21" s="35">
        <f t="shared" si="3"/>
        <v>17762.937132</v>
      </c>
      <c r="M21" s="5">
        <f t="shared" si="84"/>
        <v>306317.1265</v>
      </c>
      <c r="N21" s="5">
        <f t="shared" si="4"/>
        <v>42126.5845836</v>
      </c>
      <c r="O21" s="5">
        <f t="shared" si="5"/>
        <v>348443.7110836</v>
      </c>
      <c r="P21" s="35">
        <f t="shared" si="6"/>
        <v>3724.1048724</v>
      </c>
      <c r="R21" s="5">
        <f t="shared" si="85"/>
        <v>42632.1665</v>
      </c>
      <c r="S21" s="5">
        <f t="shared" si="7"/>
        <v>5863.0334796</v>
      </c>
      <c r="T21" s="35">
        <f t="shared" si="8"/>
        <v>48495.1999796</v>
      </c>
      <c r="U21" s="35">
        <f t="shared" si="9"/>
        <v>518.3081364</v>
      </c>
      <c r="V21" s="35"/>
      <c r="W21" s="5">
        <f t="shared" si="86"/>
        <v>6126.12</v>
      </c>
      <c r="X21" s="5">
        <f t="shared" si="10"/>
        <v>842.501088</v>
      </c>
      <c r="Y21" s="5">
        <f t="shared" si="11"/>
        <v>6968.621088</v>
      </c>
      <c r="Z21" s="35">
        <f t="shared" si="12"/>
        <v>74.479392</v>
      </c>
      <c r="AB21" s="5">
        <f t="shared" si="87"/>
        <v>36050.5145</v>
      </c>
      <c r="AC21" s="5">
        <f t="shared" si="13"/>
        <v>4957.8848748</v>
      </c>
      <c r="AD21" s="5">
        <f t="shared" si="111"/>
        <v>41008.3993748</v>
      </c>
      <c r="AE21" s="35">
        <f t="shared" si="14"/>
        <v>438.2905332</v>
      </c>
      <c r="AG21" s="5">
        <f t="shared" si="88"/>
        <v>16017.5785</v>
      </c>
      <c r="AH21" s="5">
        <f t="shared" si="15"/>
        <v>2202.8343084</v>
      </c>
      <c r="AI21" s="5">
        <f t="shared" si="16"/>
        <v>18220.4128084</v>
      </c>
      <c r="AJ21" s="35">
        <f t="shared" si="17"/>
        <v>194.7365556</v>
      </c>
      <c r="AL21" s="5">
        <f t="shared" si="89"/>
        <v>10183.3655</v>
      </c>
      <c r="AM21" s="5">
        <f t="shared" si="18"/>
        <v>1400.4780372</v>
      </c>
      <c r="AN21" s="5">
        <f t="shared" si="19"/>
        <v>11583.8435372</v>
      </c>
      <c r="AO21" s="35">
        <f t="shared" si="20"/>
        <v>123.8060748</v>
      </c>
      <c r="AQ21" s="5">
        <f t="shared" si="90"/>
        <v>27479.1825</v>
      </c>
      <c r="AR21" s="5">
        <f t="shared" si="21"/>
        <v>3779.103438</v>
      </c>
      <c r="AS21" s="5">
        <f t="shared" si="22"/>
        <v>31258.285938</v>
      </c>
      <c r="AT21" s="35">
        <f t="shared" si="23"/>
        <v>334.083042</v>
      </c>
      <c r="AV21" s="5">
        <f t="shared" si="91"/>
        <v>5.236</v>
      </c>
      <c r="AW21" s="5">
        <f t="shared" si="24"/>
        <v>0.7200864</v>
      </c>
      <c r="AX21" s="5">
        <f t="shared" si="25"/>
        <v>5.9560864</v>
      </c>
      <c r="AY21" s="35">
        <f t="shared" si="26"/>
        <v>0.0636576</v>
      </c>
      <c r="BA21" s="5">
        <f t="shared" si="92"/>
        <v>16999.3285</v>
      </c>
      <c r="BB21" s="5">
        <f t="shared" si="27"/>
        <v>2337.8505084</v>
      </c>
      <c r="BC21" s="35">
        <f t="shared" si="28"/>
        <v>19337.1790084</v>
      </c>
      <c r="BD21" s="35">
        <f t="shared" si="29"/>
        <v>206.6723556</v>
      </c>
      <c r="BF21" s="5">
        <f t="shared" si="93"/>
        <v>31290.9905</v>
      </c>
      <c r="BG21" s="5">
        <f t="shared" si="30"/>
        <v>4303.3263372</v>
      </c>
      <c r="BH21" s="5">
        <f t="shared" si="31"/>
        <v>35594.3168372</v>
      </c>
      <c r="BI21" s="35">
        <f t="shared" si="32"/>
        <v>380.4257748</v>
      </c>
      <c r="BK21" s="5">
        <f t="shared" si="94"/>
        <v>81448.598</v>
      </c>
      <c r="BL21" s="5">
        <f t="shared" si="33"/>
        <v>11201.3039952</v>
      </c>
      <c r="BM21" s="5">
        <f t="shared" si="34"/>
        <v>92649.9019952</v>
      </c>
      <c r="BN21" s="35">
        <f t="shared" si="35"/>
        <v>990.2257968</v>
      </c>
      <c r="BP21" s="5">
        <f t="shared" si="95"/>
        <v>8285.315499999999</v>
      </c>
      <c r="BQ21" s="5">
        <f t="shared" si="36"/>
        <v>1139.4467172</v>
      </c>
      <c r="BR21" s="5">
        <f t="shared" si="37"/>
        <v>9424.7622172</v>
      </c>
      <c r="BS21" s="35">
        <f t="shared" si="38"/>
        <v>100.73019479999999</v>
      </c>
      <c r="BU21" s="5">
        <f t="shared" si="96"/>
        <v>1035.4189999999999</v>
      </c>
      <c r="BV21" s="5">
        <f t="shared" si="39"/>
        <v>142.3970856</v>
      </c>
      <c r="BW21" s="5">
        <f t="shared" si="40"/>
        <v>1177.8160856</v>
      </c>
      <c r="BX21" s="35">
        <f t="shared" si="41"/>
        <v>12.5882904</v>
      </c>
      <c r="BZ21" s="5">
        <f t="shared" si="97"/>
        <v>935.2805000000001</v>
      </c>
      <c r="CA21" s="5">
        <f t="shared" si="42"/>
        <v>128.6254332</v>
      </c>
      <c r="CB21" s="5">
        <f t="shared" si="43"/>
        <v>1063.9059332000002</v>
      </c>
      <c r="CC21" s="35">
        <f t="shared" si="44"/>
        <v>11.3708388</v>
      </c>
      <c r="CE21" s="5">
        <f t="shared" si="98"/>
        <v>23255.0395</v>
      </c>
      <c r="CF21" s="5">
        <f t="shared" si="45"/>
        <v>3198.1737348</v>
      </c>
      <c r="CG21" s="5">
        <f t="shared" si="46"/>
        <v>26453.213234799998</v>
      </c>
      <c r="CH21" s="35">
        <f t="shared" si="47"/>
        <v>282.7272732</v>
      </c>
      <c r="CJ21" s="5">
        <f t="shared" si="99"/>
        <v>1805.1109999999999</v>
      </c>
      <c r="CK21" s="5">
        <f t="shared" si="48"/>
        <v>248.24978639999998</v>
      </c>
      <c r="CL21" s="5">
        <f t="shared" si="49"/>
        <v>2053.3607864</v>
      </c>
      <c r="CM21" s="35">
        <f t="shared" si="50"/>
        <v>21.9459576</v>
      </c>
      <c r="CO21" s="5">
        <f t="shared" si="100"/>
        <v>14277.9175</v>
      </c>
      <c r="CP21" s="5">
        <f t="shared" si="51"/>
        <v>1963.5856019999999</v>
      </c>
      <c r="CQ21" s="35">
        <f t="shared" si="52"/>
        <v>16241.503101999999</v>
      </c>
      <c r="CR21" s="35">
        <f t="shared" si="53"/>
        <v>173.58631799999998</v>
      </c>
      <c r="CT21" s="5">
        <f t="shared" si="101"/>
        <v>73723.53450000001</v>
      </c>
      <c r="CU21" s="5">
        <f t="shared" si="54"/>
        <v>10138.9065228</v>
      </c>
      <c r="CV21" s="5">
        <f t="shared" si="55"/>
        <v>83862.4410228</v>
      </c>
      <c r="CW21" s="35">
        <f t="shared" si="56"/>
        <v>896.3069652</v>
      </c>
      <c r="CY21" s="5">
        <f t="shared" si="102"/>
        <v>5849.2665</v>
      </c>
      <c r="CZ21" s="5">
        <f t="shared" si="57"/>
        <v>804.4265196</v>
      </c>
      <c r="DA21" s="5">
        <f t="shared" si="58"/>
        <v>6653.693019599999</v>
      </c>
      <c r="DB21" s="35">
        <f t="shared" si="59"/>
        <v>71.1134964</v>
      </c>
      <c r="DD21" s="5">
        <f t="shared" si="103"/>
        <v>15880.788</v>
      </c>
      <c r="DE21" s="5">
        <f t="shared" si="60"/>
        <v>2184.0220512</v>
      </c>
      <c r="DF21" s="5">
        <f t="shared" si="61"/>
        <v>18064.810051200002</v>
      </c>
      <c r="DG21" s="35">
        <f t="shared" si="62"/>
        <v>193.0735008</v>
      </c>
      <c r="DI21" s="5">
        <f t="shared" si="104"/>
        <v>17807.636000000002</v>
      </c>
      <c r="DJ21" s="5">
        <f t="shared" si="63"/>
        <v>2449.0138464</v>
      </c>
      <c r="DK21" s="35">
        <f t="shared" si="64"/>
        <v>20256.649846400003</v>
      </c>
      <c r="DL21" s="35">
        <f t="shared" si="65"/>
        <v>216.4994976</v>
      </c>
      <c r="DN21" s="5">
        <f t="shared" si="105"/>
        <v>44869.2475</v>
      </c>
      <c r="DO21" s="5">
        <f t="shared" si="66"/>
        <v>6170.690393999999</v>
      </c>
      <c r="DP21" s="35">
        <f t="shared" si="67"/>
        <v>51039.937893999995</v>
      </c>
      <c r="DQ21" s="35">
        <f t="shared" si="68"/>
        <v>545.505846</v>
      </c>
      <c r="DS21" s="5">
        <f t="shared" si="106"/>
        <v>68936.5215</v>
      </c>
      <c r="DT21" s="5">
        <f t="shared" si="69"/>
        <v>9480.567531600002</v>
      </c>
      <c r="DU21" s="35">
        <f t="shared" si="70"/>
        <v>78417.0890316</v>
      </c>
      <c r="DV21" s="35">
        <f t="shared" si="71"/>
        <v>838.1080044</v>
      </c>
      <c r="DX21" s="5">
        <f t="shared" si="107"/>
        <v>326791.1955</v>
      </c>
      <c r="DY21" s="5">
        <f t="shared" si="72"/>
        <v>44942.3024292</v>
      </c>
      <c r="DZ21" s="5">
        <f t="shared" si="73"/>
        <v>371733.49792919995</v>
      </c>
      <c r="EA21" s="35">
        <f t="shared" si="74"/>
        <v>3973.0220028</v>
      </c>
      <c r="EC21" s="5">
        <f t="shared" si="108"/>
        <v>276425.457</v>
      </c>
      <c r="ED21" s="5">
        <f t="shared" si="75"/>
        <v>38015.7013368</v>
      </c>
      <c r="EE21" s="5">
        <f t="shared" si="76"/>
        <v>314441.1583368</v>
      </c>
      <c r="EF21" s="35">
        <f t="shared" si="77"/>
        <v>3360.6915912</v>
      </c>
      <c r="EH21" s="5">
        <f t="shared" si="109"/>
        <v>1734.425</v>
      </c>
      <c r="EI21" s="5">
        <f t="shared" si="78"/>
        <v>238.52862</v>
      </c>
      <c r="EJ21" s="5">
        <f t="shared" si="79"/>
        <v>1972.95362</v>
      </c>
      <c r="EK21" s="35">
        <f t="shared" si="80"/>
        <v>21.086579999999998</v>
      </c>
      <c r="EM21" s="5">
        <f t="shared" si="110"/>
        <v>4884.5335</v>
      </c>
      <c r="EN21" s="5">
        <f t="shared" si="81"/>
        <v>671.7506003999999</v>
      </c>
      <c r="EO21" s="5">
        <f t="shared" si="82"/>
        <v>5556.284100399999</v>
      </c>
      <c r="EP21" s="35">
        <f t="shared" si="83"/>
        <v>59.3845836</v>
      </c>
    </row>
    <row r="22" spans="1:146" ht="12.75">
      <c r="A22" s="36">
        <v>45566</v>
      </c>
      <c r="C22" s="78"/>
      <c r="D22" s="78">
        <v>794816</v>
      </c>
      <c r="E22" s="34">
        <f t="shared" si="0"/>
        <v>794816</v>
      </c>
      <c r="F22" s="34">
        <v>79572</v>
      </c>
      <c r="H22" s="47"/>
      <c r="I22" s="35">
        <f t="shared" si="1"/>
        <v>177427.570496</v>
      </c>
      <c r="J22" s="35">
        <f t="shared" si="2"/>
        <v>177427.570496</v>
      </c>
      <c r="K22" s="35">
        <f t="shared" si="3"/>
        <v>17762.937132</v>
      </c>
      <c r="L22"/>
      <c r="N22" s="5">
        <f t="shared" si="4"/>
        <v>37198.7399872</v>
      </c>
      <c r="O22" s="5">
        <f t="shared" si="5"/>
        <v>37198.7399872</v>
      </c>
      <c r="P22" s="35">
        <f t="shared" si="6"/>
        <v>3724.1048724</v>
      </c>
      <c r="Q22"/>
      <c r="S22" s="5">
        <f t="shared" si="7"/>
        <v>5177.1929792</v>
      </c>
      <c r="T22" s="35">
        <f t="shared" si="8"/>
        <v>5177.1929792</v>
      </c>
      <c r="U22" s="35">
        <f t="shared" si="9"/>
        <v>518.3081364</v>
      </c>
      <c r="V22" s="35"/>
      <c r="X22" s="5">
        <f t="shared" si="10"/>
        <v>743.947776</v>
      </c>
      <c r="Y22" s="5">
        <f t="shared" si="11"/>
        <v>743.947776</v>
      </c>
      <c r="Z22" s="35">
        <f t="shared" si="12"/>
        <v>74.479392</v>
      </c>
      <c r="AA22"/>
      <c r="AC22" s="5">
        <f t="shared" si="13"/>
        <v>4377.9260096</v>
      </c>
      <c r="AD22" s="5">
        <f t="shared" si="111"/>
        <v>4377.9260096</v>
      </c>
      <c r="AE22" s="35">
        <f t="shared" si="14"/>
        <v>438.2905332</v>
      </c>
      <c r="AF22"/>
      <c r="AH22" s="5">
        <f t="shared" si="15"/>
        <v>1945.1531968</v>
      </c>
      <c r="AI22" s="5">
        <f t="shared" si="16"/>
        <v>1945.1531968</v>
      </c>
      <c r="AJ22" s="35">
        <f t="shared" si="17"/>
        <v>194.7365556</v>
      </c>
      <c r="AK22"/>
      <c r="AM22" s="5">
        <f t="shared" si="18"/>
        <v>1236.6542144</v>
      </c>
      <c r="AN22" s="5">
        <f t="shared" si="19"/>
        <v>1236.6542144</v>
      </c>
      <c r="AO22" s="35">
        <f t="shared" si="20"/>
        <v>123.8060748</v>
      </c>
      <c r="AP22"/>
      <c r="AR22" s="5">
        <f t="shared" si="21"/>
        <v>3337.034976</v>
      </c>
      <c r="AS22" s="5">
        <f t="shared" si="22"/>
        <v>3337.034976</v>
      </c>
      <c r="AT22" s="35">
        <f t="shared" si="23"/>
        <v>334.083042</v>
      </c>
      <c r="AU22"/>
      <c r="AW22" s="5">
        <f t="shared" si="24"/>
        <v>0.6358528</v>
      </c>
      <c r="AX22" s="5">
        <f t="shared" si="25"/>
        <v>0.6358528</v>
      </c>
      <c r="AY22" s="35">
        <f t="shared" si="26"/>
        <v>0.0636576</v>
      </c>
      <c r="AZ22"/>
      <c r="BB22" s="5">
        <f t="shared" si="27"/>
        <v>2064.3755968</v>
      </c>
      <c r="BC22" s="35">
        <f t="shared" si="28"/>
        <v>2064.3755968</v>
      </c>
      <c r="BD22" s="35">
        <f t="shared" si="29"/>
        <v>206.6723556</v>
      </c>
      <c r="BE22"/>
      <c r="BG22" s="5">
        <f t="shared" si="30"/>
        <v>3799.9358144000003</v>
      </c>
      <c r="BH22" s="5">
        <f t="shared" si="31"/>
        <v>3799.9358144000003</v>
      </c>
      <c r="BI22" s="35">
        <f t="shared" si="32"/>
        <v>380.4257748</v>
      </c>
      <c r="BJ22"/>
      <c r="BL22" s="5">
        <f t="shared" si="33"/>
        <v>9891.008230399999</v>
      </c>
      <c r="BM22" s="5">
        <f t="shared" si="34"/>
        <v>9891.008230399999</v>
      </c>
      <c r="BN22" s="35">
        <f t="shared" si="35"/>
        <v>990.2257968</v>
      </c>
      <c r="BO22"/>
      <c r="BQ22" s="5">
        <f t="shared" si="36"/>
        <v>1006.1575743999999</v>
      </c>
      <c r="BR22" s="5">
        <f t="shared" si="37"/>
        <v>1006.1575743999999</v>
      </c>
      <c r="BS22" s="35">
        <f t="shared" si="38"/>
        <v>100.73019479999999</v>
      </c>
      <c r="BT22"/>
      <c r="BV22" s="5">
        <f t="shared" si="39"/>
        <v>125.7398912</v>
      </c>
      <c r="BW22" s="5">
        <f t="shared" si="40"/>
        <v>125.7398912</v>
      </c>
      <c r="BX22" s="35">
        <f t="shared" si="41"/>
        <v>12.5882904</v>
      </c>
      <c r="BY22"/>
      <c r="CA22" s="5">
        <f t="shared" si="42"/>
        <v>113.5792064</v>
      </c>
      <c r="CB22" s="5">
        <f t="shared" si="43"/>
        <v>113.5792064</v>
      </c>
      <c r="CC22" s="35">
        <f t="shared" si="44"/>
        <v>11.3708388</v>
      </c>
      <c r="CD22"/>
      <c r="CF22" s="5">
        <f t="shared" si="45"/>
        <v>2824.0607296</v>
      </c>
      <c r="CG22" s="5">
        <f t="shared" si="46"/>
        <v>2824.0607296</v>
      </c>
      <c r="CH22" s="35">
        <f t="shared" si="47"/>
        <v>282.7272732</v>
      </c>
      <c r="CI22"/>
      <c r="CK22" s="5">
        <f t="shared" si="48"/>
        <v>219.21025279999998</v>
      </c>
      <c r="CL22" s="5">
        <f t="shared" si="49"/>
        <v>219.21025279999998</v>
      </c>
      <c r="CM22" s="35">
        <f t="shared" si="50"/>
        <v>21.9459576</v>
      </c>
      <c r="CN22"/>
      <c r="CP22" s="5">
        <f t="shared" si="51"/>
        <v>1733.8911039999998</v>
      </c>
      <c r="CQ22" s="35">
        <f t="shared" si="52"/>
        <v>1733.8911039999998</v>
      </c>
      <c r="CR22" s="35">
        <f t="shared" si="53"/>
        <v>173.58631799999998</v>
      </c>
      <c r="CU22" s="5">
        <f t="shared" si="54"/>
        <v>8952.8869056</v>
      </c>
      <c r="CV22" s="5">
        <f t="shared" si="55"/>
        <v>8952.8869056</v>
      </c>
      <c r="CW22" s="35">
        <f t="shared" si="56"/>
        <v>896.3069652</v>
      </c>
      <c r="CZ22" s="5">
        <f t="shared" si="57"/>
        <v>710.3270592</v>
      </c>
      <c r="DA22" s="5">
        <f t="shared" si="58"/>
        <v>710.3270592</v>
      </c>
      <c r="DB22" s="35">
        <f t="shared" si="59"/>
        <v>71.1134964</v>
      </c>
      <c r="DE22" s="5">
        <f t="shared" si="60"/>
        <v>1928.5415424</v>
      </c>
      <c r="DF22" s="5">
        <f t="shared" si="61"/>
        <v>1928.5415424</v>
      </c>
      <c r="DG22" s="35">
        <f t="shared" si="62"/>
        <v>193.0735008</v>
      </c>
      <c r="DJ22" s="5">
        <f t="shared" si="63"/>
        <v>2162.5353728</v>
      </c>
      <c r="DK22" s="35">
        <f t="shared" si="64"/>
        <v>2162.5353728</v>
      </c>
      <c r="DL22" s="35">
        <f t="shared" si="65"/>
        <v>216.4994976</v>
      </c>
      <c r="DO22" s="5">
        <f t="shared" si="66"/>
        <v>5448.861088</v>
      </c>
      <c r="DP22" s="35">
        <f t="shared" si="67"/>
        <v>5448.861088</v>
      </c>
      <c r="DQ22" s="35">
        <f t="shared" si="68"/>
        <v>545.505846</v>
      </c>
      <c r="DT22" s="5">
        <f t="shared" si="69"/>
        <v>8371.5584832</v>
      </c>
      <c r="DU22" s="35">
        <f t="shared" si="70"/>
        <v>8371.5584832</v>
      </c>
      <c r="DV22" s="35">
        <f t="shared" si="71"/>
        <v>838.1080044</v>
      </c>
      <c r="DY22" s="5">
        <f t="shared" si="72"/>
        <v>39685.0833984</v>
      </c>
      <c r="DZ22" s="5">
        <f t="shared" si="73"/>
        <v>39685.0833984</v>
      </c>
      <c r="EA22" s="35">
        <f t="shared" si="74"/>
        <v>3973.0220028</v>
      </c>
      <c r="ED22" s="5">
        <f t="shared" si="75"/>
        <v>33568.735833599996</v>
      </c>
      <c r="EE22" s="5">
        <f t="shared" si="76"/>
        <v>33568.735833599996</v>
      </c>
      <c r="EF22" s="35">
        <f t="shared" si="77"/>
        <v>3360.6915912</v>
      </c>
      <c r="EI22" s="5">
        <f t="shared" si="78"/>
        <v>210.62624</v>
      </c>
      <c r="EJ22" s="5">
        <f t="shared" si="79"/>
        <v>210.62624</v>
      </c>
      <c r="EK22" s="35">
        <f t="shared" si="80"/>
        <v>21.086579999999998</v>
      </c>
      <c r="EN22" s="5">
        <f t="shared" si="81"/>
        <v>593.1711808</v>
      </c>
      <c r="EO22" s="5">
        <f t="shared" si="82"/>
        <v>593.1711808</v>
      </c>
      <c r="EP22" s="35">
        <f t="shared" si="83"/>
        <v>59.3845836</v>
      </c>
    </row>
    <row r="23" spans="1:146" ht="12.75">
      <c r="A23" s="36">
        <v>45748</v>
      </c>
      <c r="C23" s="78">
        <v>6755000</v>
      </c>
      <c r="D23" s="78">
        <v>794816</v>
      </c>
      <c r="E23" s="34">
        <f t="shared" si="0"/>
        <v>7549816</v>
      </c>
      <c r="F23" s="34">
        <v>79572</v>
      </c>
      <c r="H23" s="47">
        <f>M23+R23+AB23+AG23+AL23+W23+AQ23+AV23+BA23+BF23+BK23+BP23+BU23+BZ23+CE23+CJ23+CO23+CT23+CY23+DD23+DI23+DN23+DS23+DX23+EC23+EH23+EM23</f>
        <v>1507925.4049999996</v>
      </c>
      <c r="I23" s="35">
        <f t="shared" si="1"/>
        <v>177427.570496</v>
      </c>
      <c r="J23" s="35">
        <f t="shared" si="2"/>
        <v>1685352.9754959997</v>
      </c>
      <c r="K23" s="35">
        <f t="shared" si="3"/>
        <v>17762.937132</v>
      </c>
      <c r="L23"/>
      <c r="M23" s="5">
        <f t="shared" si="84"/>
        <v>316145.48350000003</v>
      </c>
      <c r="N23" s="5">
        <f t="shared" si="4"/>
        <v>37198.7399872</v>
      </c>
      <c r="O23" s="5">
        <f t="shared" si="5"/>
        <v>353344.22348720004</v>
      </c>
      <c r="P23" s="35">
        <f t="shared" si="6"/>
        <v>3724.1048724</v>
      </c>
      <c r="Q23"/>
      <c r="R23" s="5">
        <f t="shared" si="85"/>
        <v>44000.0435</v>
      </c>
      <c r="S23" s="5">
        <f t="shared" si="7"/>
        <v>5177.1929792</v>
      </c>
      <c r="T23" s="35">
        <f t="shared" si="8"/>
        <v>49177.2364792</v>
      </c>
      <c r="U23" s="35">
        <f t="shared" si="9"/>
        <v>518.3081364</v>
      </c>
      <c r="V23" s="35"/>
      <c r="W23" s="5">
        <f t="shared" si="86"/>
        <v>6322.68</v>
      </c>
      <c r="X23" s="5">
        <f t="shared" si="10"/>
        <v>743.947776</v>
      </c>
      <c r="Y23" s="5">
        <f t="shared" si="11"/>
        <v>7066.627776</v>
      </c>
      <c r="Z23" s="35">
        <f t="shared" si="12"/>
        <v>74.479392</v>
      </c>
      <c r="AA23"/>
      <c r="AB23" s="5">
        <f t="shared" si="87"/>
        <v>37207.2155</v>
      </c>
      <c r="AC23" s="5">
        <f t="shared" si="13"/>
        <v>4377.9260096</v>
      </c>
      <c r="AD23" s="5">
        <f t="shared" si="111"/>
        <v>41585.1415096</v>
      </c>
      <c r="AE23" s="35">
        <f t="shared" si="14"/>
        <v>438.2905332</v>
      </c>
      <c r="AF23"/>
      <c r="AG23" s="5">
        <f t="shared" si="88"/>
        <v>16531.5115</v>
      </c>
      <c r="AH23" s="5">
        <f t="shared" si="15"/>
        <v>1945.1531968</v>
      </c>
      <c r="AI23" s="5">
        <f t="shared" si="16"/>
        <v>18476.6646968</v>
      </c>
      <c r="AJ23" s="35">
        <f t="shared" si="17"/>
        <v>194.7365556</v>
      </c>
      <c r="AK23"/>
      <c r="AL23" s="5">
        <f t="shared" si="89"/>
        <v>10510.1045</v>
      </c>
      <c r="AM23" s="5">
        <f t="shared" si="18"/>
        <v>1236.6542144</v>
      </c>
      <c r="AN23" s="5">
        <f t="shared" si="19"/>
        <v>11746.758714399999</v>
      </c>
      <c r="AO23" s="35">
        <f t="shared" si="20"/>
        <v>123.8060748</v>
      </c>
      <c r="AP23"/>
      <c r="AQ23" s="5">
        <f t="shared" si="90"/>
        <v>28360.8675</v>
      </c>
      <c r="AR23" s="5">
        <f t="shared" si="21"/>
        <v>3337.034976</v>
      </c>
      <c r="AS23" s="5">
        <f t="shared" si="22"/>
        <v>31697.902476</v>
      </c>
      <c r="AT23" s="35">
        <f t="shared" si="23"/>
        <v>334.083042</v>
      </c>
      <c r="AU23"/>
      <c r="AV23" s="5">
        <f t="shared" si="91"/>
        <v>5.404</v>
      </c>
      <c r="AW23" s="5">
        <f t="shared" si="24"/>
        <v>0.6358528</v>
      </c>
      <c r="AX23" s="5">
        <f t="shared" si="25"/>
        <v>6.0398528</v>
      </c>
      <c r="AY23" s="35">
        <f t="shared" si="26"/>
        <v>0.0636576</v>
      </c>
      <c r="AZ23"/>
      <c r="BA23" s="5">
        <f t="shared" si="92"/>
        <v>17544.7615</v>
      </c>
      <c r="BB23" s="5">
        <f t="shared" si="27"/>
        <v>2064.3755968</v>
      </c>
      <c r="BC23" s="35">
        <f t="shared" si="28"/>
        <v>19609.1370968</v>
      </c>
      <c r="BD23" s="35">
        <f t="shared" si="29"/>
        <v>206.6723556</v>
      </c>
      <c r="BE23"/>
      <c r="BF23" s="5">
        <f t="shared" si="93"/>
        <v>32294.9795</v>
      </c>
      <c r="BG23" s="5">
        <f t="shared" si="30"/>
        <v>3799.9358144000003</v>
      </c>
      <c r="BH23" s="5">
        <f t="shared" si="31"/>
        <v>36094.9153144</v>
      </c>
      <c r="BI23" s="35">
        <f t="shared" si="32"/>
        <v>380.4257748</v>
      </c>
      <c r="BJ23"/>
      <c r="BK23" s="5">
        <f t="shared" si="94"/>
        <v>84061.92199999999</v>
      </c>
      <c r="BL23" s="5">
        <f t="shared" si="33"/>
        <v>9891.008230399999</v>
      </c>
      <c r="BM23" s="5">
        <f t="shared" si="34"/>
        <v>93952.93023039999</v>
      </c>
      <c r="BN23" s="35">
        <f t="shared" si="35"/>
        <v>990.2257968</v>
      </c>
      <c r="BO23"/>
      <c r="BP23" s="5">
        <f t="shared" si="95"/>
        <v>8551.154499999999</v>
      </c>
      <c r="BQ23" s="5">
        <f t="shared" si="36"/>
        <v>1006.1575743999999</v>
      </c>
      <c r="BR23" s="5">
        <f t="shared" si="37"/>
        <v>9557.312074399999</v>
      </c>
      <c r="BS23" s="35">
        <f t="shared" si="38"/>
        <v>100.73019479999999</v>
      </c>
      <c r="BT23"/>
      <c r="BU23" s="5">
        <f t="shared" si="96"/>
        <v>1068.641</v>
      </c>
      <c r="BV23" s="5">
        <f t="shared" si="39"/>
        <v>125.7398912</v>
      </c>
      <c r="BW23" s="5">
        <f t="shared" si="40"/>
        <v>1194.3808912000002</v>
      </c>
      <c r="BX23" s="35">
        <f t="shared" si="41"/>
        <v>12.5882904</v>
      </c>
      <c r="BY23"/>
      <c r="BZ23" s="5">
        <f t="shared" si="97"/>
        <v>965.2895</v>
      </c>
      <c r="CA23" s="5">
        <f t="shared" si="42"/>
        <v>113.5792064</v>
      </c>
      <c r="CB23" s="5">
        <f t="shared" si="43"/>
        <v>1078.8687064</v>
      </c>
      <c r="CC23" s="35">
        <f t="shared" si="44"/>
        <v>11.3708388</v>
      </c>
      <c r="CD23"/>
      <c r="CE23" s="5">
        <f t="shared" si="98"/>
        <v>24001.1905</v>
      </c>
      <c r="CF23" s="5">
        <f t="shared" si="45"/>
        <v>2824.0607296</v>
      </c>
      <c r="CG23" s="5">
        <f t="shared" si="46"/>
        <v>26825.2512296</v>
      </c>
      <c r="CH23" s="35">
        <f t="shared" si="47"/>
        <v>282.7272732</v>
      </c>
      <c r="CI23"/>
      <c r="CJ23" s="5">
        <f t="shared" si="99"/>
        <v>1863.0289999999998</v>
      </c>
      <c r="CK23" s="5">
        <f t="shared" si="48"/>
        <v>219.21025279999998</v>
      </c>
      <c r="CL23" s="5">
        <f t="shared" si="49"/>
        <v>2082.2392527999996</v>
      </c>
      <c r="CM23" s="35">
        <f t="shared" si="50"/>
        <v>21.9459576</v>
      </c>
      <c r="CN23"/>
      <c r="CO23" s="5">
        <f t="shared" si="100"/>
        <v>14736.0325</v>
      </c>
      <c r="CP23" s="5">
        <f t="shared" si="51"/>
        <v>1733.8911039999998</v>
      </c>
      <c r="CQ23" s="35">
        <f t="shared" si="52"/>
        <v>16469.923604</v>
      </c>
      <c r="CR23" s="35">
        <f t="shared" si="53"/>
        <v>173.58631799999998</v>
      </c>
      <c r="CT23" s="5">
        <f t="shared" si="101"/>
        <v>76088.9955</v>
      </c>
      <c r="CU23" s="5">
        <f t="shared" si="54"/>
        <v>8952.8869056</v>
      </c>
      <c r="CV23" s="5">
        <f t="shared" si="55"/>
        <v>85041.8824056</v>
      </c>
      <c r="CW23" s="35">
        <f t="shared" si="56"/>
        <v>896.3069652</v>
      </c>
      <c r="CY23" s="5">
        <f t="shared" si="102"/>
        <v>6036.9435</v>
      </c>
      <c r="CZ23" s="5">
        <f t="shared" si="57"/>
        <v>710.3270592</v>
      </c>
      <c r="DA23" s="5">
        <f t="shared" si="58"/>
        <v>6747.2705592</v>
      </c>
      <c r="DB23" s="35">
        <f t="shared" si="59"/>
        <v>71.1134964</v>
      </c>
      <c r="DD23" s="5">
        <f t="shared" si="103"/>
        <v>16390.332</v>
      </c>
      <c r="DE23" s="5">
        <f t="shared" si="60"/>
        <v>1928.5415424</v>
      </c>
      <c r="DF23" s="5">
        <f t="shared" si="61"/>
        <v>18318.873542399997</v>
      </c>
      <c r="DG23" s="35">
        <f t="shared" si="62"/>
        <v>193.0735008</v>
      </c>
      <c r="DI23" s="5">
        <f t="shared" si="104"/>
        <v>18379.004</v>
      </c>
      <c r="DJ23" s="5">
        <f t="shared" si="63"/>
        <v>2162.5353728</v>
      </c>
      <c r="DK23" s="35">
        <f t="shared" si="64"/>
        <v>20541.5393728</v>
      </c>
      <c r="DL23" s="35">
        <f t="shared" si="65"/>
        <v>216.4994976</v>
      </c>
      <c r="DN23" s="5">
        <f t="shared" si="105"/>
        <v>46308.9025</v>
      </c>
      <c r="DO23" s="5">
        <f t="shared" si="66"/>
        <v>5448.861088</v>
      </c>
      <c r="DP23" s="35">
        <f t="shared" si="67"/>
        <v>51757.763587999994</v>
      </c>
      <c r="DQ23" s="35">
        <f t="shared" si="68"/>
        <v>545.505846</v>
      </c>
      <c r="DS23" s="5">
        <f t="shared" si="106"/>
        <v>71148.3885</v>
      </c>
      <c r="DT23" s="5">
        <f t="shared" si="69"/>
        <v>8371.5584832</v>
      </c>
      <c r="DU23" s="35">
        <f t="shared" si="70"/>
        <v>79519.9469832</v>
      </c>
      <c r="DV23" s="35">
        <f t="shared" si="71"/>
        <v>838.1080044</v>
      </c>
      <c r="DX23" s="5">
        <f t="shared" si="107"/>
        <v>337276.4745</v>
      </c>
      <c r="DY23" s="5">
        <f t="shared" si="72"/>
        <v>39685.0833984</v>
      </c>
      <c r="DZ23" s="5">
        <f t="shared" si="73"/>
        <v>376961.5578984</v>
      </c>
      <c r="EA23" s="35">
        <f t="shared" si="74"/>
        <v>3973.0220028</v>
      </c>
      <c r="EC23" s="5">
        <f t="shared" si="108"/>
        <v>285294.723</v>
      </c>
      <c r="ED23" s="5">
        <f t="shared" si="75"/>
        <v>33568.735833599996</v>
      </c>
      <c r="EE23" s="5">
        <f t="shared" si="76"/>
        <v>318863.4588336</v>
      </c>
      <c r="EF23" s="35">
        <f t="shared" si="77"/>
        <v>3360.6915912</v>
      </c>
      <c r="EH23" s="5">
        <f t="shared" si="109"/>
        <v>1790.075</v>
      </c>
      <c r="EI23" s="5">
        <f t="shared" si="78"/>
        <v>210.62624</v>
      </c>
      <c r="EJ23" s="5">
        <f t="shared" si="79"/>
        <v>2000.70124</v>
      </c>
      <c r="EK23" s="35">
        <f t="shared" si="80"/>
        <v>21.086579999999998</v>
      </c>
      <c r="EM23" s="5">
        <f t="shared" si="110"/>
        <v>5041.2564999999995</v>
      </c>
      <c r="EN23" s="5">
        <f t="shared" si="81"/>
        <v>593.1711808</v>
      </c>
      <c r="EO23" s="5">
        <f t="shared" si="82"/>
        <v>5634.4276807999995</v>
      </c>
      <c r="EP23" s="35">
        <f t="shared" si="83"/>
        <v>59.3845836</v>
      </c>
    </row>
    <row r="24" spans="1:146" ht="12.75">
      <c r="A24" s="36">
        <v>45931</v>
      </c>
      <c r="C24" s="78"/>
      <c r="D24" s="78">
        <v>681753</v>
      </c>
      <c r="E24" s="34">
        <f t="shared" si="0"/>
        <v>681753</v>
      </c>
      <c r="F24" s="34">
        <v>79572</v>
      </c>
      <c r="H24" s="47"/>
      <c r="I24" s="35">
        <f t="shared" si="1"/>
        <v>152188.40394299998</v>
      </c>
      <c r="J24" s="35">
        <f t="shared" si="2"/>
        <v>152188.40394299998</v>
      </c>
      <c r="K24" s="35">
        <f t="shared" si="3"/>
        <v>17762.937132</v>
      </c>
      <c r="L24"/>
      <c r="N24" s="5">
        <f t="shared" si="4"/>
        <v>31907.199380100003</v>
      </c>
      <c r="O24" s="5">
        <f t="shared" si="5"/>
        <v>31907.199380100003</v>
      </c>
      <c r="P24" s="35">
        <f t="shared" si="6"/>
        <v>3724.1048724</v>
      </c>
      <c r="Q24"/>
      <c r="S24" s="5">
        <f t="shared" si="7"/>
        <v>4440.7345161</v>
      </c>
      <c r="T24" s="35">
        <f t="shared" si="8"/>
        <v>4440.7345161</v>
      </c>
      <c r="U24" s="35">
        <f t="shared" si="9"/>
        <v>518.3081364</v>
      </c>
      <c r="V24" s="35"/>
      <c r="X24" s="5">
        <f t="shared" si="10"/>
        <v>638.120808</v>
      </c>
      <c r="Y24" s="5">
        <f t="shared" si="11"/>
        <v>638.120808</v>
      </c>
      <c r="Z24" s="35">
        <f t="shared" si="12"/>
        <v>74.479392</v>
      </c>
      <c r="AA24"/>
      <c r="AC24" s="5">
        <f t="shared" si="13"/>
        <v>3755.1636993</v>
      </c>
      <c r="AD24" s="5">
        <f t="shared" si="111"/>
        <v>3755.1636993</v>
      </c>
      <c r="AE24" s="35">
        <f t="shared" si="14"/>
        <v>438.2905332</v>
      </c>
      <c r="AF24"/>
      <c r="AH24" s="5">
        <f t="shared" si="15"/>
        <v>1668.4541169</v>
      </c>
      <c r="AI24" s="5">
        <f t="shared" si="16"/>
        <v>1668.4541169</v>
      </c>
      <c r="AJ24" s="35">
        <f t="shared" si="17"/>
        <v>194.7365556</v>
      </c>
      <c r="AK24"/>
      <c r="AM24" s="5">
        <f t="shared" si="18"/>
        <v>1060.7394927</v>
      </c>
      <c r="AN24" s="5">
        <f t="shared" si="19"/>
        <v>1060.7394927</v>
      </c>
      <c r="AO24" s="35">
        <f t="shared" si="20"/>
        <v>123.8060748</v>
      </c>
      <c r="AP24"/>
      <c r="AR24" s="5">
        <f t="shared" si="21"/>
        <v>2862.3399705</v>
      </c>
      <c r="AS24" s="5">
        <f t="shared" si="22"/>
        <v>2862.3399705</v>
      </c>
      <c r="AT24" s="35">
        <f t="shared" si="23"/>
        <v>334.083042</v>
      </c>
      <c r="AU24"/>
      <c r="AW24" s="5">
        <f t="shared" si="24"/>
        <v>0.5454024</v>
      </c>
      <c r="AX24" s="5">
        <f t="shared" si="25"/>
        <v>0.5454024</v>
      </c>
      <c r="AY24" s="35">
        <f t="shared" si="26"/>
        <v>0.0636576</v>
      </c>
      <c r="AZ24"/>
      <c r="BB24" s="5">
        <f t="shared" si="27"/>
        <v>1770.7170669</v>
      </c>
      <c r="BC24" s="35">
        <f t="shared" si="28"/>
        <v>1770.7170669</v>
      </c>
      <c r="BD24" s="35">
        <f t="shared" si="29"/>
        <v>206.6723556</v>
      </c>
      <c r="BE24"/>
      <c r="BG24" s="5">
        <f t="shared" si="30"/>
        <v>3259.3929177</v>
      </c>
      <c r="BH24" s="5">
        <f t="shared" si="31"/>
        <v>3259.3929177</v>
      </c>
      <c r="BI24" s="35">
        <f t="shared" si="32"/>
        <v>380.4257748</v>
      </c>
      <c r="BJ24"/>
      <c r="BL24" s="5">
        <f t="shared" si="33"/>
        <v>8484.0070332</v>
      </c>
      <c r="BM24" s="5">
        <f t="shared" si="34"/>
        <v>8484.0070332</v>
      </c>
      <c r="BN24" s="35">
        <f t="shared" si="35"/>
        <v>990.2257968</v>
      </c>
      <c r="BO24"/>
      <c r="BQ24" s="5">
        <f t="shared" si="36"/>
        <v>863.0311227</v>
      </c>
      <c r="BR24" s="5">
        <f t="shared" si="37"/>
        <v>863.0311227</v>
      </c>
      <c r="BS24" s="35">
        <f t="shared" si="38"/>
        <v>100.73019479999999</v>
      </c>
      <c r="BT24"/>
      <c r="BV24" s="5">
        <f t="shared" si="39"/>
        <v>107.8533246</v>
      </c>
      <c r="BW24" s="5">
        <f t="shared" si="40"/>
        <v>107.8533246</v>
      </c>
      <c r="BX24" s="35">
        <f t="shared" si="41"/>
        <v>12.5882904</v>
      </c>
      <c r="BY24"/>
      <c r="CA24" s="5">
        <f t="shared" si="42"/>
        <v>97.42250370000001</v>
      </c>
      <c r="CB24" s="5">
        <f t="shared" si="43"/>
        <v>97.42250370000001</v>
      </c>
      <c r="CC24" s="35">
        <f t="shared" si="44"/>
        <v>11.3708388</v>
      </c>
      <c r="CD24"/>
      <c r="CF24" s="5">
        <f t="shared" si="45"/>
        <v>2422.3365843</v>
      </c>
      <c r="CG24" s="5">
        <f t="shared" si="46"/>
        <v>2422.3365843</v>
      </c>
      <c r="CH24" s="35">
        <f t="shared" si="47"/>
        <v>282.7272732</v>
      </c>
      <c r="CI24"/>
      <c r="CK24" s="5">
        <f t="shared" si="48"/>
        <v>188.02747739999998</v>
      </c>
      <c r="CL24" s="5">
        <f t="shared" si="49"/>
        <v>188.02747739999998</v>
      </c>
      <c r="CM24" s="35">
        <f t="shared" si="50"/>
        <v>21.9459576</v>
      </c>
      <c r="CN24"/>
      <c r="CP24" s="5">
        <f t="shared" si="51"/>
        <v>1487.2441695</v>
      </c>
      <c r="CQ24" s="35">
        <f t="shared" si="52"/>
        <v>1487.2441695</v>
      </c>
      <c r="CR24" s="35">
        <f t="shared" si="53"/>
        <v>173.58631799999998</v>
      </c>
      <c r="CU24" s="5">
        <f t="shared" si="54"/>
        <v>7679.333967300001</v>
      </c>
      <c r="CV24" s="5">
        <f t="shared" si="55"/>
        <v>7679.333967300001</v>
      </c>
      <c r="CW24" s="35">
        <f t="shared" si="56"/>
        <v>896.3069652</v>
      </c>
      <c r="CZ24" s="5">
        <f t="shared" si="57"/>
        <v>609.2826560999999</v>
      </c>
      <c r="DA24" s="5">
        <f t="shared" si="58"/>
        <v>609.2826560999999</v>
      </c>
      <c r="DB24" s="35">
        <f t="shared" si="59"/>
        <v>71.1134964</v>
      </c>
      <c r="DE24" s="5">
        <f t="shared" si="60"/>
        <v>1654.2054792</v>
      </c>
      <c r="DF24" s="5">
        <f t="shared" si="61"/>
        <v>1654.2054792</v>
      </c>
      <c r="DG24" s="35">
        <f t="shared" si="62"/>
        <v>193.0735008</v>
      </c>
      <c r="DJ24" s="5">
        <f t="shared" si="63"/>
        <v>1854.9135624</v>
      </c>
      <c r="DK24" s="35">
        <f t="shared" si="64"/>
        <v>1854.9135624</v>
      </c>
      <c r="DL24" s="35">
        <f t="shared" si="65"/>
        <v>216.4994976</v>
      </c>
      <c r="DO24" s="5">
        <f t="shared" si="66"/>
        <v>4673.7576915</v>
      </c>
      <c r="DP24" s="35">
        <f t="shared" si="67"/>
        <v>4673.7576915</v>
      </c>
      <c r="DQ24" s="35">
        <f t="shared" si="68"/>
        <v>545.505846</v>
      </c>
      <c r="DT24" s="5">
        <f t="shared" si="69"/>
        <v>7180.699823100001</v>
      </c>
      <c r="DU24" s="35">
        <f t="shared" si="70"/>
        <v>7180.699823100001</v>
      </c>
      <c r="DV24" s="35">
        <f t="shared" si="71"/>
        <v>838.1080044</v>
      </c>
      <c r="DY24" s="5">
        <f t="shared" si="72"/>
        <v>34039.8591147</v>
      </c>
      <c r="DZ24" s="5">
        <f t="shared" si="73"/>
        <v>34039.8591147</v>
      </c>
      <c r="EA24" s="35">
        <f t="shared" si="74"/>
        <v>3973.0220028</v>
      </c>
      <c r="ED24" s="5">
        <f t="shared" si="75"/>
        <v>28793.5652538</v>
      </c>
      <c r="EE24" s="5">
        <f t="shared" si="76"/>
        <v>28793.5652538</v>
      </c>
      <c r="EF24" s="35">
        <f t="shared" si="77"/>
        <v>3360.6915912</v>
      </c>
      <c r="EI24" s="5">
        <f t="shared" si="78"/>
        <v>180.664545</v>
      </c>
      <c r="EJ24" s="5">
        <f t="shared" si="79"/>
        <v>180.664545</v>
      </c>
      <c r="EK24" s="35">
        <f t="shared" si="80"/>
        <v>21.086579999999998</v>
      </c>
      <c r="EN24" s="5">
        <f t="shared" si="81"/>
        <v>508.79226389999997</v>
      </c>
      <c r="EO24" s="5">
        <f t="shared" si="82"/>
        <v>508.79226389999997</v>
      </c>
      <c r="EP24" s="35">
        <f t="shared" si="83"/>
        <v>59.3845836</v>
      </c>
    </row>
    <row r="25" spans="1:146" ht="12.75">
      <c r="A25" s="36">
        <v>46113</v>
      </c>
      <c r="C25" s="78">
        <v>6980000</v>
      </c>
      <c r="D25" s="78">
        <v>681753</v>
      </c>
      <c r="E25" s="34">
        <f t="shared" si="0"/>
        <v>7661753</v>
      </c>
      <c r="F25" s="34">
        <v>79572</v>
      </c>
      <c r="H25" s="47">
        <f>M25+R25+AB25+AG25+AL25+W25+AQ25+AV25+BA25+BF25+BK25+BP25+BU25+BZ25+CE25+CJ25+CO25+CT25+CY25+DD25+DI25+DN25+DS25+DX25+EC25+EH25+EM25</f>
        <v>1558152.3800000001</v>
      </c>
      <c r="I25" s="35">
        <f t="shared" si="1"/>
        <v>152188.40394299998</v>
      </c>
      <c r="J25" s="35">
        <f t="shared" si="2"/>
        <v>1710340.783943</v>
      </c>
      <c r="K25" s="35">
        <f t="shared" si="3"/>
        <v>17762.937132</v>
      </c>
      <c r="L25"/>
      <c r="M25" s="5">
        <f t="shared" si="84"/>
        <v>326675.86600000004</v>
      </c>
      <c r="N25" s="5">
        <f t="shared" si="4"/>
        <v>31907.199380100003</v>
      </c>
      <c r="O25" s="5">
        <f t="shared" si="5"/>
        <v>358583.06538010004</v>
      </c>
      <c r="P25" s="35">
        <f t="shared" si="6"/>
        <v>3724.1048724</v>
      </c>
      <c r="Q25"/>
      <c r="R25" s="5">
        <f t="shared" si="85"/>
        <v>45465.626</v>
      </c>
      <c r="S25" s="5">
        <f t="shared" si="7"/>
        <v>4440.7345161</v>
      </c>
      <c r="T25" s="35">
        <f t="shared" si="8"/>
        <v>49906.360516099994</v>
      </c>
      <c r="U25" s="35">
        <f t="shared" si="9"/>
        <v>518.3081364</v>
      </c>
      <c r="V25" s="35"/>
      <c r="W25" s="5">
        <f t="shared" si="86"/>
        <v>6533.28</v>
      </c>
      <c r="X25" s="5">
        <f t="shared" si="10"/>
        <v>638.120808</v>
      </c>
      <c r="Y25" s="5">
        <f t="shared" si="11"/>
        <v>7171.400807999999</v>
      </c>
      <c r="Z25" s="35">
        <f t="shared" si="12"/>
        <v>74.479392</v>
      </c>
      <c r="AA25"/>
      <c r="AB25" s="5">
        <f t="shared" si="87"/>
        <v>38446.538</v>
      </c>
      <c r="AC25" s="5">
        <f t="shared" si="13"/>
        <v>3755.1636993</v>
      </c>
      <c r="AD25" s="5">
        <f t="shared" si="111"/>
        <v>42201.7016993</v>
      </c>
      <c r="AE25" s="35">
        <f t="shared" si="14"/>
        <v>438.2905332</v>
      </c>
      <c r="AF25"/>
      <c r="AG25" s="5">
        <f t="shared" si="88"/>
        <v>17082.154</v>
      </c>
      <c r="AH25" s="5">
        <f t="shared" si="15"/>
        <v>1668.4541169</v>
      </c>
      <c r="AI25" s="5">
        <f t="shared" si="16"/>
        <v>18750.6081169</v>
      </c>
      <c r="AJ25" s="35">
        <f t="shared" si="17"/>
        <v>194.7365556</v>
      </c>
      <c r="AK25"/>
      <c r="AL25" s="5">
        <f t="shared" si="89"/>
        <v>10860.182</v>
      </c>
      <c r="AM25" s="5">
        <f t="shared" si="18"/>
        <v>1060.7394927</v>
      </c>
      <c r="AN25" s="5">
        <f t="shared" si="19"/>
        <v>11920.921492700001</v>
      </c>
      <c r="AO25" s="35">
        <f t="shared" si="20"/>
        <v>123.8060748</v>
      </c>
      <c r="AP25"/>
      <c r="AQ25" s="5">
        <f t="shared" si="90"/>
        <v>29305.53</v>
      </c>
      <c r="AR25" s="5">
        <f t="shared" si="21"/>
        <v>2862.3399705</v>
      </c>
      <c r="AS25" s="5">
        <f t="shared" si="22"/>
        <v>32167.8699705</v>
      </c>
      <c r="AT25" s="35">
        <f t="shared" si="23"/>
        <v>334.083042</v>
      </c>
      <c r="AU25"/>
      <c r="AV25" s="5">
        <f t="shared" si="91"/>
        <v>5.584</v>
      </c>
      <c r="AW25" s="5">
        <f t="shared" si="24"/>
        <v>0.5454024</v>
      </c>
      <c r="AX25" s="5">
        <f t="shared" si="25"/>
        <v>6.1294024</v>
      </c>
      <c r="AY25" s="35">
        <f t="shared" si="26"/>
        <v>0.0636576</v>
      </c>
      <c r="AZ25"/>
      <c r="BA25" s="5">
        <f t="shared" si="92"/>
        <v>18129.154</v>
      </c>
      <c r="BB25" s="5">
        <f t="shared" si="27"/>
        <v>1770.7170669</v>
      </c>
      <c r="BC25" s="35">
        <f t="shared" si="28"/>
        <v>19899.8710669</v>
      </c>
      <c r="BD25" s="35">
        <f t="shared" si="29"/>
        <v>206.6723556</v>
      </c>
      <c r="BE25"/>
      <c r="BF25" s="5">
        <f t="shared" si="93"/>
        <v>33370.682</v>
      </c>
      <c r="BG25" s="5">
        <f t="shared" si="30"/>
        <v>3259.3929177</v>
      </c>
      <c r="BH25" s="5">
        <f t="shared" si="31"/>
        <v>36630.0749177</v>
      </c>
      <c r="BI25" s="35">
        <f t="shared" si="32"/>
        <v>380.4257748</v>
      </c>
      <c r="BJ25"/>
      <c r="BK25" s="5">
        <f t="shared" si="94"/>
        <v>86861.912</v>
      </c>
      <c r="BL25" s="5">
        <f t="shared" si="33"/>
        <v>8484.0070332</v>
      </c>
      <c r="BM25" s="5">
        <f t="shared" si="34"/>
        <v>95345.9190332</v>
      </c>
      <c r="BN25" s="35">
        <f t="shared" si="35"/>
        <v>990.2257968</v>
      </c>
      <c r="BO25"/>
      <c r="BP25" s="5">
        <f t="shared" si="95"/>
        <v>8835.982</v>
      </c>
      <c r="BQ25" s="5">
        <f t="shared" si="36"/>
        <v>863.0311227</v>
      </c>
      <c r="BR25" s="5">
        <f t="shared" si="37"/>
        <v>9699.0131227</v>
      </c>
      <c r="BS25" s="35">
        <f t="shared" si="38"/>
        <v>100.73019479999999</v>
      </c>
      <c r="BT25"/>
      <c r="BU25" s="5">
        <f t="shared" si="96"/>
        <v>1104.2359999999999</v>
      </c>
      <c r="BV25" s="5">
        <f t="shared" si="39"/>
        <v>107.8533246</v>
      </c>
      <c r="BW25" s="5">
        <f t="shared" si="40"/>
        <v>1212.0893245999998</v>
      </c>
      <c r="BX25" s="35">
        <f t="shared" si="41"/>
        <v>12.5882904</v>
      </c>
      <c r="BY25"/>
      <c r="BZ25" s="5">
        <f t="shared" si="97"/>
        <v>997.442</v>
      </c>
      <c r="CA25" s="5">
        <f t="shared" si="42"/>
        <v>97.42250370000001</v>
      </c>
      <c r="CB25" s="5">
        <f t="shared" si="43"/>
        <v>1094.8645037000001</v>
      </c>
      <c r="CC25" s="35">
        <f t="shared" si="44"/>
        <v>11.3708388</v>
      </c>
      <c r="CD25"/>
      <c r="CE25" s="5">
        <f t="shared" si="98"/>
        <v>24800.638</v>
      </c>
      <c r="CF25" s="5">
        <f t="shared" si="45"/>
        <v>2422.3365843</v>
      </c>
      <c r="CG25" s="5">
        <f t="shared" si="46"/>
        <v>27222.9745843</v>
      </c>
      <c r="CH25" s="35">
        <f t="shared" si="47"/>
        <v>282.7272732</v>
      </c>
      <c r="CI25"/>
      <c r="CJ25" s="5">
        <f t="shared" si="99"/>
        <v>1925.0839999999998</v>
      </c>
      <c r="CK25" s="5">
        <f t="shared" si="48"/>
        <v>188.02747739999998</v>
      </c>
      <c r="CL25" s="5">
        <f t="shared" si="49"/>
        <v>2113.1114774</v>
      </c>
      <c r="CM25" s="35">
        <f t="shared" si="50"/>
        <v>21.9459576</v>
      </c>
      <c r="CN25"/>
      <c r="CO25" s="5">
        <f t="shared" si="100"/>
        <v>15226.869999999999</v>
      </c>
      <c r="CP25" s="5">
        <f t="shared" si="51"/>
        <v>1487.2441695</v>
      </c>
      <c r="CQ25" s="35">
        <f t="shared" si="52"/>
        <v>16714.1141695</v>
      </c>
      <c r="CR25" s="35">
        <f t="shared" si="53"/>
        <v>173.58631799999998</v>
      </c>
      <c r="CT25" s="5">
        <f t="shared" si="101"/>
        <v>78623.418</v>
      </c>
      <c r="CU25" s="5">
        <f t="shared" si="54"/>
        <v>7679.333967300001</v>
      </c>
      <c r="CV25" s="5">
        <f t="shared" si="55"/>
        <v>86302.7519673</v>
      </c>
      <c r="CW25" s="35">
        <f t="shared" si="56"/>
        <v>896.3069652</v>
      </c>
      <c r="CY25" s="5">
        <f t="shared" si="102"/>
        <v>6238.026</v>
      </c>
      <c r="CZ25" s="5">
        <f t="shared" si="57"/>
        <v>609.2826560999999</v>
      </c>
      <c r="DA25" s="5">
        <f t="shared" si="58"/>
        <v>6847.3086561</v>
      </c>
      <c r="DB25" s="35">
        <f t="shared" si="59"/>
        <v>71.1134964</v>
      </c>
      <c r="DD25" s="5">
        <f t="shared" si="103"/>
        <v>16936.272</v>
      </c>
      <c r="DE25" s="5">
        <f t="shared" si="60"/>
        <v>1654.2054792</v>
      </c>
      <c r="DF25" s="5">
        <f t="shared" si="61"/>
        <v>18590.477479200003</v>
      </c>
      <c r="DG25" s="35">
        <f t="shared" si="62"/>
        <v>193.0735008</v>
      </c>
      <c r="DI25" s="5">
        <f t="shared" si="104"/>
        <v>18991.184</v>
      </c>
      <c r="DJ25" s="5">
        <f t="shared" si="63"/>
        <v>1854.9135624</v>
      </c>
      <c r="DK25" s="35">
        <f t="shared" si="64"/>
        <v>20846.097562400002</v>
      </c>
      <c r="DL25" s="35">
        <f t="shared" si="65"/>
        <v>216.4994976</v>
      </c>
      <c r="DN25" s="5">
        <f t="shared" si="105"/>
        <v>47851.39</v>
      </c>
      <c r="DO25" s="5">
        <f t="shared" si="66"/>
        <v>4673.7576915</v>
      </c>
      <c r="DP25" s="35">
        <f t="shared" si="67"/>
        <v>52525.1476915</v>
      </c>
      <c r="DQ25" s="35">
        <f t="shared" si="68"/>
        <v>545.505846</v>
      </c>
      <c r="DS25" s="5">
        <f t="shared" si="106"/>
        <v>73518.246</v>
      </c>
      <c r="DT25" s="5">
        <f t="shared" si="69"/>
        <v>7180.699823100001</v>
      </c>
      <c r="DU25" s="35">
        <f t="shared" si="70"/>
        <v>80698.9458231</v>
      </c>
      <c r="DV25" s="35">
        <f t="shared" si="71"/>
        <v>838.1080044</v>
      </c>
      <c r="DX25" s="5">
        <f t="shared" si="107"/>
        <v>348510.702</v>
      </c>
      <c r="DY25" s="5">
        <f t="shared" si="72"/>
        <v>34039.8591147</v>
      </c>
      <c r="DZ25" s="5">
        <f t="shared" si="73"/>
        <v>382550.5611147</v>
      </c>
      <c r="EA25" s="35">
        <f t="shared" si="74"/>
        <v>3973.0220028</v>
      </c>
      <c r="EC25" s="5">
        <f t="shared" si="108"/>
        <v>294797.508</v>
      </c>
      <c r="ED25" s="5">
        <f t="shared" si="75"/>
        <v>28793.5652538</v>
      </c>
      <c r="EE25" s="5">
        <f t="shared" si="76"/>
        <v>323591.0732538</v>
      </c>
      <c r="EF25" s="35">
        <f t="shared" si="77"/>
        <v>3360.6915912</v>
      </c>
      <c r="EH25" s="5">
        <f t="shared" si="109"/>
        <v>1849.7</v>
      </c>
      <c r="EI25" s="5">
        <f t="shared" si="78"/>
        <v>180.664545</v>
      </c>
      <c r="EJ25" s="5">
        <f t="shared" si="79"/>
        <v>2030.3645450000001</v>
      </c>
      <c r="EK25" s="35">
        <f t="shared" si="80"/>
        <v>21.086579999999998</v>
      </c>
      <c r="EM25" s="5">
        <f t="shared" si="110"/>
        <v>5209.174</v>
      </c>
      <c r="EN25" s="5">
        <f t="shared" si="81"/>
        <v>508.79226389999997</v>
      </c>
      <c r="EO25" s="5">
        <f t="shared" si="82"/>
        <v>5717.9662639</v>
      </c>
      <c r="EP25" s="35">
        <f t="shared" si="83"/>
        <v>59.3845836</v>
      </c>
    </row>
    <row r="26" spans="1:146" ht="12.75">
      <c r="A26" s="36">
        <v>46296</v>
      </c>
      <c r="C26" s="78"/>
      <c r="D26" s="78">
        <v>561523</v>
      </c>
      <c r="E26" s="34">
        <f t="shared" si="0"/>
        <v>561523</v>
      </c>
      <c r="F26" s="34">
        <v>79572</v>
      </c>
      <c r="H26" s="47"/>
      <c r="I26" s="35">
        <f t="shared" si="1"/>
        <v>125349.340813</v>
      </c>
      <c r="J26" s="35">
        <f t="shared" si="2"/>
        <v>125349.340813</v>
      </c>
      <c r="K26" s="35">
        <f t="shared" si="3"/>
        <v>17762.937132</v>
      </c>
      <c r="L26"/>
      <c r="N26" s="5">
        <f t="shared" si="4"/>
        <v>26280.2309891</v>
      </c>
      <c r="O26" s="5">
        <f t="shared" si="5"/>
        <v>26280.2309891</v>
      </c>
      <c r="P26" s="35">
        <f t="shared" si="6"/>
        <v>3724.1048724</v>
      </c>
      <c r="Q26"/>
      <c r="S26" s="5">
        <f t="shared" si="7"/>
        <v>3657.5923651</v>
      </c>
      <c r="T26" s="35">
        <f t="shared" si="8"/>
        <v>3657.5923651</v>
      </c>
      <c r="U26" s="35">
        <f t="shared" si="9"/>
        <v>518.3081364</v>
      </c>
      <c r="V26" s="35"/>
      <c r="X26" s="5">
        <f t="shared" si="10"/>
        <v>525.585528</v>
      </c>
      <c r="Y26" s="5">
        <f t="shared" si="11"/>
        <v>525.585528</v>
      </c>
      <c r="Z26" s="35">
        <f t="shared" si="12"/>
        <v>74.479392</v>
      </c>
      <c r="AA26"/>
      <c r="AC26" s="5">
        <f t="shared" si="13"/>
        <v>3092.9248363</v>
      </c>
      <c r="AD26" s="5">
        <f t="shared" si="111"/>
        <v>3092.9248363</v>
      </c>
      <c r="AE26" s="35">
        <f t="shared" si="14"/>
        <v>438.2905332</v>
      </c>
      <c r="AF26"/>
      <c r="AH26" s="5">
        <f t="shared" si="15"/>
        <v>1374.2152379</v>
      </c>
      <c r="AI26" s="5">
        <f t="shared" si="16"/>
        <v>1374.2152379</v>
      </c>
      <c r="AJ26" s="35">
        <f t="shared" si="17"/>
        <v>194.7365556</v>
      </c>
      <c r="AK26"/>
      <c r="AM26" s="5">
        <f t="shared" si="18"/>
        <v>873.6736357</v>
      </c>
      <c r="AN26" s="5">
        <f t="shared" si="19"/>
        <v>873.6736357</v>
      </c>
      <c r="AO26" s="35">
        <f t="shared" si="20"/>
        <v>123.8060748</v>
      </c>
      <c r="AP26"/>
      <c r="AR26" s="5">
        <f t="shared" si="21"/>
        <v>2357.5543155</v>
      </c>
      <c r="AS26" s="5">
        <f t="shared" si="22"/>
        <v>2357.5543155</v>
      </c>
      <c r="AT26" s="35">
        <f t="shared" si="23"/>
        <v>334.083042</v>
      </c>
      <c r="AU26"/>
      <c r="AW26" s="5">
        <f t="shared" si="24"/>
        <v>0.44921839999999996</v>
      </c>
      <c r="AX26" s="5">
        <f t="shared" si="25"/>
        <v>0.44921839999999996</v>
      </c>
      <c r="AY26" s="35">
        <f t="shared" si="26"/>
        <v>0.0636576</v>
      </c>
      <c r="AZ26"/>
      <c r="BB26" s="5">
        <f t="shared" si="27"/>
        <v>1458.4436879</v>
      </c>
      <c r="BC26" s="35">
        <f t="shared" si="28"/>
        <v>1458.4436879</v>
      </c>
      <c r="BD26" s="35">
        <f t="shared" si="29"/>
        <v>206.6723556</v>
      </c>
      <c r="BE26"/>
      <c r="BG26" s="5">
        <f t="shared" si="30"/>
        <v>2684.5853107000003</v>
      </c>
      <c r="BH26" s="5">
        <f t="shared" si="31"/>
        <v>2684.5853107000003</v>
      </c>
      <c r="BI26" s="35">
        <f t="shared" si="32"/>
        <v>380.4257748</v>
      </c>
      <c r="BJ26"/>
      <c r="BL26" s="5">
        <f t="shared" si="33"/>
        <v>6987.8168212</v>
      </c>
      <c r="BM26" s="5">
        <f t="shared" si="34"/>
        <v>6987.8168212</v>
      </c>
      <c r="BN26" s="35">
        <f t="shared" si="35"/>
        <v>990.2257968</v>
      </c>
      <c r="BO26"/>
      <c r="BQ26" s="5">
        <f t="shared" si="36"/>
        <v>710.8319657</v>
      </c>
      <c r="BR26" s="5">
        <f t="shared" si="37"/>
        <v>710.8319657</v>
      </c>
      <c r="BS26" s="35">
        <f t="shared" si="38"/>
        <v>100.73019479999999</v>
      </c>
      <c r="BT26"/>
      <c r="BV26" s="5">
        <f t="shared" si="39"/>
        <v>88.83293859999999</v>
      </c>
      <c r="BW26" s="5">
        <f t="shared" si="40"/>
        <v>88.83293859999999</v>
      </c>
      <c r="BX26" s="35">
        <f t="shared" si="41"/>
        <v>12.5882904</v>
      </c>
      <c r="BY26"/>
      <c r="CA26" s="5">
        <f t="shared" si="42"/>
        <v>80.2416367</v>
      </c>
      <c r="CB26" s="5">
        <f t="shared" si="43"/>
        <v>80.2416367</v>
      </c>
      <c r="CC26" s="35">
        <f t="shared" si="44"/>
        <v>11.3708388</v>
      </c>
      <c r="CD26"/>
      <c r="CF26" s="5">
        <f t="shared" si="45"/>
        <v>1995.1473713</v>
      </c>
      <c r="CG26" s="5">
        <f t="shared" si="46"/>
        <v>1995.1473713</v>
      </c>
      <c r="CH26" s="35">
        <f t="shared" si="47"/>
        <v>282.7272732</v>
      </c>
      <c r="CI26"/>
      <c r="CK26" s="5">
        <f t="shared" si="48"/>
        <v>154.86804339999998</v>
      </c>
      <c r="CL26" s="5">
        <f t="shared" si="49"/>
        <v>154.86804339999998</v>
      </c>
      <c r="CM26" s="35">
        <f t="shared" si="50"/>
        <v>21.9459576</v>
      </c>
      <c r="CN26"/>
      <c r="CP26" s="5">
        <f t="shared" si="51"/>
        <v>1224.9624245</v>
      </c>
      <c r="CQ26" s="35">
        <f t="shared" si="52"/>
        <v>1224.9624245</v>
      </c>
      <c r="CR26" s="35">
        <f t="shared" si="53"/>
        <v>173.58631799999998</v>
      </c>
      <c r="CU26" s="5">
        <f t="shared" si="54"/>
        <v>6325.0512243</v>
      </c>
      <c r="CV26" s="5">
        <f t="shared" si="55"/>
        <v>6325.0512243</v>
      </c>
      <c r="CW26" s="35">
        <f t="shared" si="56"/>
        <v>896.3069652</v>
      </c>
      <c r="CZ26" s="5">
        <f t="shared" si="57"/>
        <v>501.8331051</v>
      </c>
      <c r="DA26" s="5">
        <f t="shared" si="58"/>
        <v>501.8331051</v>
      </c>
      <c r="DB26" s="35">
        <f t="shared" si="59"/>
        <v>71.1134964</v>
      </c>
      <c r="DE26" s="5">
        <f t="shared" si="60"/>
        <v>1362.4794072</v>
      </c>
      <c r="DF26" s="5">
        <f t="shared" si="61"/>
        <v>1362.4794072</v>
      </c>
      <c r="DG26" s="35">
        <f t="shared" si="62"/>
        <v>193.0735008</v>
      </c>
      <c r="DJ26" s="5">
        <f t="shared" si="63"/>
        <v>1527.7917784</v>
      </c>
      <c r="DK26" s="35">
        <f t="shared" si="64"/>
        <v>1527.7917784</v>
      </c>
      <c r="DL26" s="35">
        <f t="shared" si="65"/>
        <v>216.4994976</v>
      </c>
      <c r="DO26" s="5">
        <f t="shared" si="66"/>
        <v>3849.5209265</v>
      </c>
      <c r="DP26" s="35">
        <f t="shared" si="67"/>
        <v>3849.5209265</v>
      </c>
      <c r="DQ26" s="35">
        <f t="shared" si="68"/>
        <v>545.505846</v>
      </c>
      <c r="DT26" s="5">
        <f t="shared" si="69"/>
        <v>5914.3533021</v>
      </c>
      <c r="DU26" s="35">
        <f t="shared" si="70"/>
        <v>5914.3533021</v>
      </c>
      <c r="DV26" s="35">
        <f t="shared" si="71"/>
        <v>838.1080044</v>
      </c>
      <c r="DY26" s="5">
        <f t="shared" si="72"/>
        <v>28036.7872377</v>
      </c>
      <c r="DZ26" s="5">
        <f t="shared" si="73"/>
        <v>28036.7872377</v>
      </c>
      <c r="EA26" s="35">
        <f t="shared" si="74"/>
        <v>3973.0220028</v>
      </c>
      <c r="ED26" s="5">
        <f t="shared" si="75"/>
        <v>23715.699295799997</v>
      </c>
      <c r="EE26" s="5">
        <f t="shared" si="76"/>
        <v>23715.699295799997</v>
      </c>
      <c r="EF26" s="35">
        <f t="shared" si="77"/>
        <v>3360.6915912</v>
      </c>
      <c r="EI26" s="5">
        <f t="shared" si="78"/>
        <v>148.803595</v>
      </c>
      <c r="EJ26" s="5">
        <f t="shared" si="79"/>
        <v>148.803595</v>
      </c>
      <c r="EK26" s="35">
        <f t="shared" si="80"/>
        <v>21.086579999999998</v>
      </c>
      <c r="EN26" s="5">
        <f t="shared" si="81"/>
        <v>419.0646149</v>
      </c>
      <c r="EO26" s="5">
        <f t="shared" si="82"/>
        <v>419.0646149</v>
      </c>
      <c r="EP26" s="35">
        <f t="shared" si="83"/>
        <v>59.3845836</v>
      </c>
    </row>
    <row r="27" spans="1:146" ht="12.75">
      <c r="A27" s="36">
        <v>46478</v>
      </c>
      <c r="C27" s="78">
        <v>7220000</v>
      </c>
      <c r="D27" s="78">
        <v>561523</v>
      </c>
      <c r="E27" s="34">
        <f t="shared" si="0"/>
        <v>7781523</v>
      </c>
      <c r="F27" s="34">
        <v>79572</v>
      </c>
      <c r="H27" s="47">
        <f>M27+R27+AB27+AG27+AL27+W27+AQ27+AV27+BA27+BF27+BK27+BP27+BU27+BZ27+CE27+CJ27+CO27+CT27+CY27+DD27+DI27+DN27+DS27+DX27+EC27+EH27+EM27</f>
        <v>1611727.82</v>
      </c>
      <c r="I27" s="35">
        <f t="shared" si="1"/>
        <v>125349.340813</v>
      </c>
      <c r="J27" s="35">
        <f t="shared" si="2"/>
        <v>1737077.160813</v>
      </c>
      <c r="K27" s="35">
        <f t="shared" si="3"/>
        <v>17762.937132</v>
      </c>
      <c r="L27"/>
      <c r="M27" s="5">
        <f t="shared" si="84"/>
        <v>337908.27400000003</v>
      </c>
      <c r="N27" s="5">
        <f t="shared" si="4"/>
        <v>26280.2309891</v>
      </c>
      <c r="O27" s="5">
        <f t="shared" si="5"/>
        <v>364188.50498910004</v>
      </c>
      <c r="P27" s="35">
        <f t="shared" si="6"/>
        <v>3724.1048724</v>
      </c>
      <c r="Q27"/>
      <c r="R27" s="5">
        <f t="shared" si="85"/>
        <v>47028.914</v>
      </c>
      <c r="S27" s="5">
        <f t="shared" si="7"/>
        <v>3657.5923651</v>
      </c>
      <c r="T27" s="35">
        <f t="shared" si="8"/>
        <v>50686.506365099995</v>
      </c>
      <c r="U27" s="35">
        <f t="shared" si="9"/>
        <v>518.3081364</v>
      </c>
      <c r="V27" s="35"/>
      <c r="W27" s="5">
        <f t="shared" si="86"/>
        <v>6757.92</v>
      </c>
      <c r="X27" s="5">
        <f t="shared" si="10"/>
        <v>525.585528</v>
      </c>
      <c r="Y27" s="5">
        <f t="shared" si="11"/>
        <v>7283.505528</v>
      </c>
      <c r="Z27" s="35">
        <f t="shared" si="12"/>
        <v>74.479392</v>
      </c>
      <c r="AA27"/>
      <c r="AB27" s="5">
        <f t="shared" si="87"/>
        <v>39768.482</v>
      </c>
      <c r="AC27" s="5">
        <f t="shared" si="13"/>
        <v>3092.9248363</v>
      </c>
      <c r="AD27" s="5">
        <f t="shared" si="111"/>
        <v>42861.406836300004</v>
      </c>
      <c r="AE27" s="35">
        <f t="shared" si="14"/>
        <v>438.2905332</v>
      </c>
      <c r="AF27"/>
      <c r="AG27" s="5">
        <f t="shared" si="88"/>
        <v>17669.505999999998</v>
      </c>
      <c r="AH27" s="5">
        <f t="shared" si="15"/>
        <v>1374.2152379</v>
      </c>
      <c r="AI27" s="5">
        <f t="shared" si="16"/>
        <v>19043.721237899998</v>
      </c>
      <c r="AJ27" s="35">
        <f t="shared" si="17"/>
        <v>194.7365556</v>
      </c>
      <c r="AK27"/>
      <c r="AL27" s="5">
        <f t="shared" si="89"/>
        <v>11233.598</v>
      </c>
      <c r="AM27" s="5">
        <f t="shared" si="18"/>
        <v>873.6736357</v>
      </c>
      <c r="AN27" s="5">
        <f t="shared" si="19"/>
        <v>12107.271635699999</v>
      </c>
      <c r="AO27" s="35">
        <f t="shared" si="20"/>
        <v>123.8060748</v>
      </c>
      <c r="AP27"/>
      <c r="AQ27" s="5">
        <f t="shared" si="90"/>
        <v>30313.17</v>
      </c>
      <c r="AR27" s="5">
        <f t="shared" si="21"/>
        <v>2357.5543155</v>
      </c>
      <c r="AS27" s="5">
        <f t="shared" si="22"/>
        <v>32670.7243155</v>
      </c>
      <c r="AT27" s="35">
        <f t="shared" si="23"/>
        <v>334.083042</v>
      </c>
      <c r="AU27"/>
      <c r="AV27" s="5">
        <f t="shared" si="91"/>
        <v>5.776</v>
      </c>
      <c r="AW27" s="5">
        <f t="shared" si="24"/>
        <v>0.44921839999999996</v>
      </c>
      <c r="AX27" s="5">
        <f t="shared" si="25"/>
        <v>6.2252184</v>
      </c>
      <c r="AY27" s="35">
        <f t="shared" si="26"/>
        <v>0.0636576</v>
      </c>
      <c r="AZ27"/>
      <c r="BA27" s="5">
        <f t="shared" si="92"/>
        <v>18752.505999999998</v>
      </c>
      <c r="BB27" s="5">
        <f t="shared" si="27"/>
        <v>1458.4436879</v>
      </c>
      <c r="BC27" s="35">
        <f t="shared" si="28"/>
        <v>20210.949687899996</v>
      </c>
      <c r="BD27" s="35">
        <f t="shared" si="29"/>
        <v>206.6723556</v>
      </c>
      <c r="BE27"/>
      <c r="BF27" s="5">
        <f t="shared" si="93"/>
        <v>34518.098000000005</v>
      </c>
      <c r="BG27" s="5">
        <f t="shared" si="30"/>
        <v>2684.5853107000003</v>
      </c>
      <c r="BH27" s="5">
        <f t="shared" si="31"/>
        <v>37202.683310700006</v>
      </c>
      <c r="BI27" s="35">
        <f t="shared" si="32"/>
        <v>380.4257748</v>
      </c>
      <c r="BJ27"/>
      <c r="BK27" s="5">
        <f t="shared" si="94"/>
        <v>89848.568</v>
      </c>
      <c r="BL27" s="5">
        <f t="shared" si="33"/>
        <v>6987.8168212</v>
      </c>
      <c r="BM27" s="5">
        <f t="shared" si="34"/>
        <v>96836.3848212</v>
      </c>
      <c r="BN27" s="35">
        <f t="shared" si="35"/>
        <v>990.2257968</v>
      </c>
      <c r="BO27"/>
      <c r="BP27" s="5">
        <f t="shared" si="95"/>
        <v>9139.797999999999</v>
      </c>
      <c r="BQ27" s="5">
        <f t="shared" si="36"/>
        <v>710.8319657</v>
      </c>
      <c r="BR27" s="5">
        <f t="shared" si="37"/>
        <v>9850.629965699998</v>
      </c>
      <c r="BS27" s="35">
        <f t="shared" si="38"/>
        <v>100.73019479999999</v>
      </c>
      <c r="BT27"/>
      <c r="BU27" s="5">
        <f t="shared" si="96"/>
        <v>1142.204</v>
      </c>
      <c r="BV27" s="5">
        <f t="shared" si="39"/>
        <v>88.83293859999999</v>
      </c>
      <c r="BW27" s="5">
        <f t="shared" si="40"/>
        <v>1231.0369386</v>
      </c>
      <c r="BX27" s="35">
        <f t="shared" si="41"/>
        <v>12.5882904</v>
      </c>
      <c r="BY27"/>
      <c r="BZ27" s="5">
        <f t="shared" si="97"/>
        <v>1031.738</v>
      </c>
      <c r="CA27" s="5">
        <f t="shared" si="42"/>
        <v>80.2416367</v>
      </c>
      <c r="CB27" s="5">
        <f t="shared" si="43"/>
        <v>1111.9796367000001</v>
      </c>
      <c r="CC27" s="35">
        <f t="shared" si="44"/>
        <v>11.3708388</v>
      </c>
      <c r="CD27"/>
      <c r="CE27" s="5">
        <f t="shared" si="98"/>
        <v>25653.382</v>
      </c>
      <c r="CF27" s="5">
        <f t="shared" si="45"/>
        <v>1995.1473713</v>
      </c>
      <c r="CG27" s="5">
        <f t="shared" si="46"/>
        <v>27648.529371300003</v>
      </c>
      <c r="CH27" s="35">
        <f t="shared" si="47"/>
        <v>282.7272732</v>
      </c>
      <c r="CI27"/>
      <c r="CJ27" s="5">
        <f t="shared" si="99"/>
        <v>1991.2759999999998</v>
      </c>
      <c r="CK27" s="5">
        <f t="shared" si="48"/>
        <v>154.86804339999998</v>
      </c>
      <c r="CL27" s="5">
        <f t="shared" si="49"/>
        <v>2146.1440433999996</v>
      </c>
      <c r="CM27" s="35">
        <f t="shared" si="50"/>
        <v>21.9459576</v>
      </c>
      <c r="CN27"/>
      <c r="CO27" s="5">
        <f t="shared" si="100"/>
        <v>15750.429999999998</v>
      </c>
      <c r="CP27" s="5">
        <f t="shared" si="51"/>
        <v>1224.9624245</v>
      </c>
      <c r="CQ27" s="35">
        <f t="shared" si="52"/>
        <v>16975.392424499998</v>
      </c>
      <c r="CR27" s="35">
        <f t="shared" si="53"/>
        <v>173.58631799999998</v>
      </c>
      <c r="CT27" s="5">
        <f t="shared" si="101"/>
        <v>81326.80200000001</v>
      </c>
      <c r="CU27" s="5">
        <f t="shared" si="54"/>
        <v>6325.0512243</v>
      </c>
      <c r="CV27" s="5">
        <f t="shared" si="55"/>
        <v>87651.85322430001</v>
      </c>
      <c r="CW27" s="35">
        <f t="shared" si="56"/>
        <v>896.3069652</v>
      </c>
      <c r="CY27" s="5">
        <f t="shared" si="102"/>
        <v>6452.514</v>
      </c>
      <c r="CZ27" s="5">
        <f t="shared" si="57"/>
        <v>501.8331051</v>
      </c>
      <c r="DA27" s="5">
        <f t="shared" si="58"/>
        <v>6954.3471051</v>
      </c>
      <c r="DB27" s="35">
        <f t="shared" si="59"/>
        <v>71.1134964</v>
      </c>
      <c r="DD27" s="5">
        <f t="shared" si="103"/>
        <v>17518.608</v>
      </c>
      <c r="DE27" s="5">
        <f t="shared" si="60"/>
        <v>1362.4794072</v>
      </c>
      <c r="DF27" s="5">
        <f t="shared" si="61"/>
        <v>18881.0874072</v>
      </c>
      <c r="DG27" s="35">
        <f t="shared" si="62"/>
        <v>193.0735008</v>
      </c>
      <c r="DI27" s="5">
        <f t="shared" si="104"/>
        <v>19644.176000000003</v>
      </c>
      <c r="DJ27" s="5">
        <f t="shared" si="63"/>
        <v>1527.7917784</v>
      </c>
      <c r="DK27" s="35">
        <f t="shared" si="64"/>
        <v>21171.9677784</v>
      </c>
      <c r="DL27" s="35">
        <f t="shared" si="65"/>
        <v>216.4994976</v>
      </c>
      <c r="DN27" s="5">
        <f t="shared" si="105"/>
        <v>49496.71</v>
      </c>
      <c r="DO27" s="5">
        <f t="shared" si="66"/>
        <v>3849.5209265</v>
      </c>
      <c r="DP27" s="35">
        <f t="shared" si="67"/>
        <v>53346.2309265</v>
      </c>
      <c r="DQ27" s="35">
        <f t="shared" si="68"/>
        <v>545.505846</v>
      </c>
      <c r="DS27" s="5">
        <f t="shared" si="106"/>
        <v>76046.09400000001</v>
      </c>
      <c r="DT27" s="5">
        <f t="shared" si="69"/>
        <v>5914.3533021</v>
      </c>
      <c r="DU27" s="35">
        <f t="shared" si="70"/>
        <v>81960.44730210002</v>
      </c>
      <c r="DV27" s="35">
        <f t="shared" si="71"/>
        <v>838.1080044</v>
      </c>
      <c r="DX27" s="5">
        <f t="shared" si="107"/>
        <v>360493.87799999997</v>
      </c>
      <c r="DY27" s="5">
        <f t="shared" si="72"/>
        <v>28036.7872377</v>
      </c>
      <c r="DZ27" s="5">
        <f t="shared" si="73"/>
        <v>388530.6652377</v>
      </c>
      <c r="EA27" s="35">
        <f t="shared" si="74"/>
        <v>3973.0220028</v>
      </c>
      <c r="EC27" s="5">
        <f t="shared" si="108"/>
        <v>304933.812</v>
      </c>
      <c r="ED27" s="5">
        <f t="shared" si="75"/>
        <v>23715.699295799997</v>
      </c>
      <c r="EE27" s="5">
        <f t="shared" si="76"/>
        <v>328649.5112958</v>
      </c>
      <c r="EF27" s="35">
        <f t="shared" si="77"/>
        <v>3360.6915912</v>
      </c>
      <c r="EH27" s="5">
        <f t="shared" si="109"/>
        <v>1913.3</v>
      </c>
      <c r="EI27" s="5">
        <f t="shared" si="78"/>
        <v>148.803595</v>
      </c>
      <c r="EJ27" s="5">
        <f t="shared" si="79"/>
        <v>2062.103595</v>
      </c>
      <c r="EK27" s="35">
        <f t="shared" si="80"/>
        <v>21.086579999999998</v>
      </c>
      <c r="EM27" s="5">
        <f t="shared" si="110"/>
        <v>5388.286</v>
      </c>
      <c r="EN27" s="5">
        <f t="shared" si="81"/>
        <v>419.0646149</v>
      </c>
      <c r="EO27" s="5">
        <f t="shared" si="82"/>
        <v>5807.3506149</v>
      </c>
      <c r="EP27" s="35">
        <f t="shared" si="83"/>
        <v>59.3845836</v>
      </c>
    </row>
    <row r="28" spans="1:146" ht="12.75">
      <c r="A28" s="36">
        <v>46661</v>
      </c>
      <c r="C28" s="78"/>
      <c r="D28" s="78">
        <v>433638</v>
      </c>
      <c r="E28" s="34">
        <f t="shared" si="0"/>
        <v>433638</v>
      </c>
      <c r="F28" s="34">
        <v>79572</v>
      </c>
      <c r="H28" s="47"/>
      <c r="I28" s="35">
        <f t="shared" si="1"/>
        <v>96801.444378</v>
      </c>
      <c r="J28" s="35">
        <f t="shared" si="2"/>
        <v>96801.444378</v>
      </c>
      <c r="K28" s="35">
        <f t="shared" si="3"/>
        <v>17762.937132</v>
      </c>
      <c r="L28"/>
      <c r="N28" s="5">
        <f t="shared" si="4"/>
        <v>20294.9955846</v>
      </c>
      <c r="O28" s="5">
        <f t="shared" si="5"/>
        <v>20294.9955846</v>
      </c>
      <c r="P28" s="35">
        <f t="shared" si="6"/>
        <v>3724.1048724</v>
      </c>
      <c r="Q28"/>
      <c r="S28" s="5">
        <f t="shared" si="7"/>
        <v>2824.5878406</v>
      </c>
      <c r="T28" s="35">
        <f t="shared" si="8"/>
        <v>2824.5878406</v>
      </c>
      <c r="U28" s="35">
        <f t="shared" si="9"/>
        <v>518.3081364</v>
      </c>
      <c r="V28" s="35"/>
      <c r="X28" s="5">
        <f t="shared" si="10"/>
        <v>405.88516799999996</v>
      </c>
      <c r="Y28" s="5">
        <f t="shared" si="11"/>
        <v>405.88516799999996</v>
      </c>
      <c r="Z28" s="35">
        <f t="shared" si="12"/>
        <v>74.479392</v>
      </c>
      <c r="AA28"/>
      <c r="AC28" s="5">
        <f t="shared" si="13"/>
        <v>2388.5214678</v>
      </c>
      <c r="AD28" s="5">
        <f t="shared" si="111"/>
        <v>2388.5214678</v>
      </c>
      <c r="AE28" s="35">
        <f t="shared" si="14"/>
        <v>438.2905332</v>
      </c>
      <c r="AF28"/>
      <c r="AH28" s="5">
        <f t="shared" si="15"/>
        <v>1061.2422774</v>
      </c>
      <c r="AI28" s="5">
        <f t="shared" si="16"/>
        <v>1061.2422774</v>
      </c>
      <c r="AJ28" s="35">
        <f t="shared" si="17"/>
        <v>194.7365556</v>
      </c>
      <c r="AK28"/>
      <c r="AM28" s="5">
        <f t="shared" si="18"/>
        <v>674.6973642</v>
      </c>
      <c r="AN28" s="5">
        <f t="shared" si="19"/>
        <v>674.6973642</v>
      </c>
      <c r="AO28" s="35">
        <f t="shared" si="20"/>
        <v>123.8060748</v>
      </c>
      <c r="AP28"/>
      <c r="AR28" s="5">
        <f t="shared" si="21"/>
        <v>1820.6291429999999</v>
      </c>
      <c r="AS28" s="5">
        <f t="shared" si="22"/>
        <v>1820.6291429999999</v>
      </c>
      <c r="AT28" s="35">
        <f t="shared" si="23"/>
        <v>334.083042</v>
      </c>
      <c r="AU28"/>
      <c r="AW28" s="5">
        <f t="shared" si="24"/>
        <v>0.3469104</v>
      </c>
      <c r="AX28" s="5">
        <f t="shared" si="25"/>
        <v>0.3469104</v>
      </c>
      <c r="AY28" s="35">
        <f t="shared" si="26"/>
        <v>0.0636576</v>
      </c>
      <c r="AZ28"/>
      <c r="BB28" s="5">
        <f t="shared" si="27"/>
        <v>1126.2879774</v>
      </c>
      <c r="BC28" s="35">
        <f t="shared" si="28"/>
        <v>1126.2879774</v>
      </c>
      <c r="BD28" s="35">
        <f t="shared" si="29"/>
        <v>206.6723556</v>
      </c>
      <c r="BE28"/>
      <c r="BG28" s="5">
        <f t="shared" si="30"/>
        <v>2073.1799142</v>
      </c>
      <c r="BH28" s="5">
        <f t="shared" si="31"/>
        <v>2073.1799142</v>
      </c>
      <c r="BI28" s="35">
        <f t="shared" si="32"/>
        <v>380.4257748</v>
      </c>
      <c r="BJ28"/>
      <c r="BL28" s="5">
        <f t="shared" si="33"/>
        <v>5396.3647272</v>
      </c>
      <c r="BM28" s="5">
        <f t="shared" si="34"/>
        <v>5396.3647272</v>
      </c>
      <c r="BN28" s="35">
        <f t="shared" si="35"/>
        <v>990.2257968</v>
      </c>
      <c r="BO28"/>
      <c r="BQ28" s="5">
        <f t="shared" si="36"/>
        <v>548.9423442</v>
      </c>
      <c r="BR28" s="5">
        <f t="shared" si="37"/>
        <v>548.9423442</v>
      </c>
      <c r="BS28" s="35">
        <f t="shared" si="38"/>
        <v>100.73019479999999</v>
      </c>
      <c r="BT28"/>
      <c r="BV28" s="5">
        <f t="shared" si="39"/>
        <v>68.6015316</v>
      </c>
      <c r="BW28" s="5">
        <f t="shared" si="40"/>
        <v>68.6015316</v>
      </c>
      <c r="BX28" s="35">
        <f t="shared" si="41"/>
        <v>12.5882904</v>
      </c>
      <c r="BY28"/>
      <c r="CA28" s="5">
        <f t="shared" si="42"/>
        <v>61.9668702</v>
      </c>
      <c r="CB28" s="5">
        <f t="shared" si="43"/>
        <v>61.9668702</v>
      </c>
      <c r="CC28" s="35">
        <f t="shared" si="44"/>
        <v>11.3708388</v>
      </c>
      <c r="CD28"/>
      <c r="CF28" s="5">
        <f t="shared" si="45"/>
        <v>1540.7591778</v>
      </c>
      <c r="CG28" s="5">
        <f t="shared" si="46"/>
        <v>1540.7591778</v>
      </c>
      <c r="CH28" s="35">
        <f t="shared" si="47"/>
        <v>282.7272732</v>
      </c>
      <c r="CI28"/>
      <c r="CK28" s="5">
        <f t="shared" si="48"/>
        <v>119.59736039999999</v>
      </c>
      <c r="CL28" s="5">
        <f t="shared" si="49"/>
        <v>119.59736039999999</v>
      </c>
      <c r="CM28" s="35">
        <f t="shared" si="50"/>
        <v>21.9459576</v>
      </c>
      <c r="CN28"/>
      <c r="CP28" s="5">
        <f t="shared" si="51"/>
        <v>945.9812969999999</v>
      </c>
      <c r="CQ28" s="35">
        <f t="shared" si="52"/>
        <v>945.9812969999999</v>
      </c>
      <c r="CR28" s="35">
        <f t="shared" si="53"/>
        <v>173.58631799999998</v>
      </c>
      <c r="CU28" s="5">
        <f t="shared" si="54"/>
        <v>4884.541795800001</v>
      </c>
      <c r="CV28" s="5">
        <f t="shared" si="55"/>
        <v>4884.541795800001</v>
      </c>
      <c r="CW28" s="35">
        <f t="shared" si="56"/>
        <v>896.3069652</v>
      </c>
      <c r="CZ28" s="5">
        <f t="shared" si="57"/>
        <v>387.54228059999997</v>
      </c>
      <c r="DA28" s="5">
        <f t="shared" si="58"/>
        <v>387.54228059999997</v>
      </c>
      <c r="DB28" s="35">
        <f t="shared" si="59"/>
        <v>71.1134964</v>
      </c>
      <c r="DE28" s="5">
        <f t="shared" si="60"/>
        <v>1052.1792432</v>
      </c>
      <c r="DF28" s="5">
        <f t="shared" si="61"/>
        <v>1052.1792432</v>
      </c>
      <c r="DG28" s="35">
        <f t="shared" si="62"/>
        <v>193.0735008</v>
      </c>
      <c r="DJ28" s="5">
        <f t="shared" si="63"/>
        <v>1179.8422704000002</v>
      </c>
      <c r="DK28" s="35">
        <f t="shared" si="64"/>
        <v>1179.8422704000002</v>
      </c>
      <c r="DL28" s="35">
        <f t="shared" si="65"/>
        <v>216.4994976</v>
      </c>
      <c r="DO28" s="5">
        <f t="shared" si="66"/>
        <v>2972.805309</v>
      </c>
      <c r="DP28" s="35">
        <f t="shared" si="67"/>
        <v>2972.805309</v>
      </c>
      <c r="DQ28" s="35">
        <f t="shared" si="68"/>
        <v>545.505846</v>
      </c>
      <c r="DT28" s="5">
        <f t="shared" si="69"/>
        <v>4567.378962600001</v>
      </c>
      <c r="DU28" s="35">
        <f t="shared" si="70"/>
        <v>4567.378962600001</v>
      </c>
      <c r="DV28" s="35">
        <f t="shared" si="71"/>
        <v>838.1080044</v>
      </c>
      <c r="DY28" s="5">
        <f t="shared" si="72"/>
        <v>21651.5019762</v>
      </c>
      <c r="DZ28" s="5">
        <f t="shared" si="73"/>
        <v>21651.5019762</v>
      </c>
      <c r="EA28" s="35">
        <f t="shared" si="74"/>
        <v>3973.0220028</v>
      </c>
      <c r="ED28" s="5">
        <f t="shared" si="75"/>
        <v>18314.527474799997</v>
      </c>
      <c r="EE28" s="5">
        <f t="shared" si="76"/>
        <v>18314.527474799997</v>
      </c>
      <c r="EF28" s="35">
        <f t="shared" si="77"/>
        <v>3360.6915912</v>
      </c>
      <c r="EI28" s="5">
        <f t="shared" si="78"/>
        <v>114.91407</v>
      </c>
      <c r="EJ28" s="5">
        <f t="shared" si="79"/>
        <v>114.91407</v>
      </c>
      <c r="EK28" s="35">
        <f t="shared" si="80"/>
        <v>21.086579999999998</v>
      </c>
      <c r="EN28" s="5">
        <f t="shared" si="81"/>
        <v>323.6240394</v>
      </c>
      <c r="EO28" s="5">
        <f t="shared" si="82"/>
        <v>323.6240394</v>
      </c>
      <c r="EP28" s="35">
        <f t="shared" si="83"/>
        <v>59.3845836</v>
      </c>
    </row>
    <row r="29" spans="1:146" ht="12.75">
      <c r="A29" s="36">
        <v>46844</v>
      </c>
      <c r="C29" s="78">
        <v>7475000</v>
      </c>
      <c r="D29" s="78">
        <v>433638</v>
      </c>
      <c r="E29" s="34">
        <f t="shared" si="0"/>
        <v>7908638</v>
      </c>
      <c r="F29" s="34">
        <v>79572</v>
      </c>
      <c r="H29" s="47">
        <f>M29+R29+AB29+AG29+AL29+W29+AQ29+AV29+BA29+BF29+BK29+BP29+BU29+BZ29+CE29+CJ29+CO29+CT29+CY29+DD29+DI29+DN29+DS29+DX29+EC29+EH29+EM29</f>
        <v>1668651.7249999999</v>
      </c>
      <c r="I29" s="35">
        <f t="shared" si="1"/>
        <v>96801.444378</v>
      </c>
      <c r="J29" s="35">
        <f t="shared" si="2"/>
        <v>1765453.1693779998</v>
      </c>
      <c r="K29" s="35">
        <f t="shared" si="3"/>
        <v>17762.937132</v>
      </c>
      <c r="L29"/>
      <c r="M29" s="5">
        <f t="shared" si="84"/>
        <v>349842.7075</v>
      </c>
      <c r="N29" s="5">
        <f t="shared" si="4"/>
        <v>20294.9955846</v>
      </c>
      <c r="O29" s="5">
        <f t="shared" si="5"/>
        <v>370137.70308460004</v>
      </c>
      <c r="P29" s="35">
        <f t="shared" si="6"/>
        <v>3724.1048724</v>
      </c>
      <c r="Q29"/>
      <c r="R29" s="5">
        <f t="shared" si="85"/>
        <v>48689.9075</v>
      </c>
      <c r="S29" s="5">
        <f t="shared" si="7"/>
        <v>2824.5878406</v>
      </c>
      <c r="T29" s="35">
        <f t="shared" si="8"/>
        <v>51514.4953406</v>
      </c>
      <c r="U29" s="35">
        <f t="shared" si="9"/>
        <v>518.3081364</v>
      </c>
      <c r="V29" s="35"/>
      <c r="W29" s="5">
        <f t="shared" si="86"/>
        <v>6996.599999999999</v>
      </c>
      <c r="X29" s="5">
        <f t="shared" si="10"/>
        <v>405.88516799999996</v>
      </c>
      <c r="Y29" s="5">
        <f t="shared" si="11"/>
        <v>7402.485167999999</v>
      </c>
      <c r="Z29" s="35">
        <f t="shared" si="12"/>
        <v>74.479392</v>
      </c>
      <c r="AA29"/>
      <c r="AB29" s="5">
        <f t="shared" si="87"/>
        <v>41173.0475</v>
      </c>
      <c r="AC29" s="5">
        <f t="shared" si="13"/>
        <v>2388.5214678</v>
      </c>
      <c r="AD29" s="5">
        <f t="shared" si="111"/>
        <v>43561.5689678</v>
      </c>
      <c r="AE29" s="35">
        <f t="shared" si="14"/>
        <v>438.2905332</v>
      </c>
      <c r="AF29"/>
      <c r="AG29" s="5">
        <f t="shared" si="88"/>
        <v>18293.5675</v>
      </c>
      <c r="AH29" s="5">
        <f t="shared" si="15"/>
        <v>1061.2422774</v>
      </c>
      <c r="AI29" s="5">
        <f t="shared" si="16"/>
        <v>19354.8097774</v>
      </c>
      <c r="AJ29" s="35">
        <f t="shared" si="17"/>
        <v>194.7365556</v>
      </c>
      <c r="AK29"/>
      <c r="AL29" s="5">
        <f t="shared" si="89"/>
        <v>11630.3525</v>
      </c>
      <c r="AM29" s="5">
        <f t="shared" si="18"/>
        <v>674.6973642</v>
      </c>
      <c r="AN29" s="5">
        <f t="shared" si="19"/>
        <v>12305.0498642</v>
      </c>
      <c r="AO29" s="35">
        <f t="shared" si="20"/>
        <v>123.8060748</v>
      </c>
      <c r="AP29"/>
      <c r="AQ29" s="5">
        <f t="shared" si="90"/>
        <v>31383.7875</v>
      </c>
      <c r="AR29" s="5">
        <f t="shared" si="21"/>
        <v>1820.6291429999999</v>
      </c>
      <c r="AS29" s="5">
        <f t="shared" si="22"/>
        <v>33204.416643</v>
      </c>
      <c r="AT29" s="35">
        <f t="shared" si="23"/>
        <v>334.083042</v>
      </c>
      <c r="AU29"/>
      <c r="AV29" s="5">
        <f t="shared" si="91"/>
        <v>5.9799999999999995</v>
      </c>
      <c r="AW29" s="5">
        <f t="shared" si="24"/>
        <v>0.3469104</v>
      </c>
      <c r="AX29" s="5">
        <f t="shared" si="25"/>
        <v>6.326910399999999</v>
      </c>
      <c r="AY29" s="35">
        <f t="shared" si="26"/>
        <v>0.0636576</v>
      </c>
      <c r="AZ29"/>
      <c r="BA29" s="5">
        <f t="shared" si="92"/>
        <v>19414.817499999997</v>
      </c>
      <c r="BB29" s="5">
        <f t="shared" si="27"/>
        <v>1126.2879774</v>
      </c>
      <c r="BC29" s="35">
        <f t="shared" si="28"/>
        <v>20541.105477399997</v>
      </c>
      <c r="BD29" s="35">
        <f t="shared" si="29"/>
        <v>206.6723556</v>
      </c>
      <c r="BE29"/>
      <c r="BF29" s="5">
        <f t="shared" si="93"/>
        <v>35737.2275</v>
      </c>
      <c r="BG29" s="5">
        <f t="shared" si="30"/>
        <v>2073.1799142</v>
      </c>
      <c r="BH29" s="5">
        <f t="shared" si="31"/>
        <v>37810.4074142</v>
      </c>
      <c r="BI29" s="35">
        <f t="shared" si="32"/>
        <v>380.4257748</v>
      </c>
      <c r="BJ29"/>
      <c r="BK29" s="5">
        <f t="shared" si="94"/>
        <v>93021.89</v>
      </c>
      <c r="BL29" s="5">
        <f t="shared" si="33"/>
        <v>5396.3647272</v>
      </c>
      <c r="BM29" s="5">
        <f t="shared" si="34"/>
        <v>98418.2547272</v>
      </c>
      <c r="BN29" s="35">
        <f t="shared" si="35"/>
        <v>990.2257968</v>
      </c>
      <c r="BO29"/>
      <c r="BP29" s="5">
        <f t="shared" si="95"/>
        <v>9462.602499999999</v>
      </c>
      <c r="BQ29" s="5">
        <f t="shared" si="36"/>
        <v>548.9423442</v>
      </c>
      <c r="BR29" s="5">
        <f t="shared" si="37"/>
        <v>10011.5448442</v>
      </c>
      <c r="BS29" s="35">
        <f t="shared" si="38"/>
        <v>100.73019479999999</v>
      </c>
      <c r="BT29"/>
      <c r="BU29" s="5">
        <f t="shared" si="96"/>
        <v>1182.545</v>
      </c>
      <c r="BV29" s="5">
        <f t="shared" si="39"/>
        <v>68.6015316</v>
      </c>
      <c r="BW29" s="5">
        <f t="shared" si="40"/>
        <v>1251.1465316000001</v>
      </c>
      <c r="BX29" s="35">
        <f t="shared" si="41"/>
        <v>12.5882904</v>
      </c>
      <c r="BY29"/>
      <c r="BZ29" s="5">
        <f t="shared" si="97"/>
        <v>1068.1775</v>
      </c>
      <c r="CA29" s="5">
        <f t="shared" si="42"/>
        <v>61.9668702</v>
      </c>
      <c r="CB29" s="5">
        <f t="shared" si="43"/>
        <v>1130.1443702</v>
      </c>
      <c r="CC29" s="35">
        <f t="shared" si="44"/>
        <v>11.3708388</v>
      </c>
      <c r="CD29"/>
      <c r="CE29" s="5">
        <f t="shared" si="98"/>
        <v>26559.4225</v>
      </c>
      <c r="CF29" s="5">
        <f t="shared" si="45"/>
        <v>1540.7591778</v>
      </c>
      <c r="CG29" s="5">
        <f t="shared" si="46"/>
        <v>28100.1816778</v>
      </c>
      <c r="CH29" s="35">
        <f t="shared" si="47"/>
        <v>282.7272732</v>
      </c>
      <c r="CI29"/>
      <c r="CJ29" s="5">
        <f t="shared" si="99"/>
        <v>2061.605</v>
      </c>
      <c r="CK29" s="5">
        <f t="shared" si="48"/>
        <v>119.59736039999999</v>
      </c>
      <c r="CL29" s="5">
        <f t="shared" si="49"/>
        <v>2181.2023604</v>
      </c>
      <c r="CM29" s="35">
        <f t="shared" si="50"/>
        <v>21.9459576</v>
      </c>
      <c r="CN29"/>
      <c r="CO29" s="5">
        <f t="shared" si="100"/>
        <v>16306.7125</v>
      </c>
      <c r="CP29" s="5">
        <f t="shared" si="51"/>
        <v>945.9812969999999</v>
      </c>
      <c r="CQ29" s="35">
        <f t="shared" si="52"/>
        <v>17252.693797</v>
      </c>
      <c r="CR29" s="35">
        <f t="shared" si="53"/>
        <v>173.58631799999998</v>
      </c>
      <c r="CT29" s="5">
        <f t="shared" si="101"/>
        <v>84199.1475</v>
      </c>
      <c r="CU29" s="5">
        <f t="shared" si="54"/>
        <v>4884.541795800001</v>
      </c>
      <c r="CV29" s="5">
        <f t="shared" si="55"/>
        <v>89083.68929580001</v>
      </c>
      <c r="CW29" s="35">
        <f t="shared" si="56"/>
        <v>896.3069652</v>
      </c>
      <c r="CY29" s="5">
        <f t="shared" si="102"/>
        <v>6680.4075</v>
      </c>
      <c r="CZ29" s="5">
        <f t="shared" si="57"/>
        <v>387.54228059999997</v>
      </c>
      <c r="DA29" s="5">
        <f t="shared" si="58"/>
        <v>7067.9497806</v>
      </c>
      <c r="DB29" s="35">
        <f t="shared" si="59"/>
        <v>71.1134964</v>
      </c>
      <c r="DD29" s="5">
        <f t="shared" si="103"/>
        <v>18137.34</v>
      </c>
      <c r="DE29" s="5">
        <f t="shared" si="60"/>
        <v>1052.1792432</v>
      </c>
      <c r="DF29" s="5">
        <f t="shared" si="61"/>
        <v>19189.5192432</v>
      </c>
      <c r="DG29" s="35">
        <f t="shared" si="62"/>
        <v>193.0735008</v>
      </c>
      <c r="DI29" s="5">
        <f t="shared" si="104"/>
        <v>20337.980000000003</v>
      </c>
      <c r="DJ29" s="5">
        <f t="shared" si="63"/>
        <v>1179.8422704000002</v>
      </c>
      <c r="DK29" s="35">
        <f t="shared" si="64"/>
        <v>21517.822270400004</v>
      </c>
      <c r="DL29" s="35">
        <f t="shared" si="65"/>
        <v>216.4994976</v>
      </c>
      <c r="DN29" s="5">
        <f t="shared" si="105"/>
        <v>51244.862499999996</v>
      </c>
      <c r="DO29" s="5">
        <f t="shared" si="66"/>
        <v>2972.805309</v>
      </c>
      <c r="DP29" s="35">
        <f t="shared" si="67"/>
        <v>54217.667809</v>
      </c>
      <c r="DQ29" s="35">
        <f t="shared" si="68"/>
        <v>545.505846</v>
      </c>
      <c r="DS29" s="5">
        <f t="shared" si="106"/>
        <v>78731.93250000001</v>
      </c>
      <c r="DT29" s="5">
        <f t="shared" si="69"/>
        <v>4567.378962600001</v>
      </c>
      <c r="DU29" s="35">
        <f t="shared" si="70"/>
        <v>83299.31146260002</v>
      </c>
      <c r="DV29" s="35">
        <f t="shared" si="71"/>
        <v>838.1080044</v>
      </c>
      <c r="DX29" s="5">
        <f t="shared" si="107"/>
        <v>373226.0025</v>
      </c>
      <c r="DY29" s="5">
        <f t="shared" si="72"/>
        <v>21651.5019762</v>
      </c>
      <c r="DZ29" s="5">
        <f t="shared" si="73"/>
        <v>394877.5044762</v>
      </c>
      <c r="EA29" s="35">
        <f t="shared" si="74"/>
        <v>3973.0220028</v>
      </c>
      <c r="EC29" s="5">
        <f t="shared" si="108"/>
        <v>315703.63499999995</v>
      </c>
      <c r="ED29" s="5">
        <f t="shared" si="75"/>
        <v>18314.527474799997</v>
      </c>
      <c r="EE29" s="5">
        <f t="shared" si="76"/>
        <v>334018.16247479996</v>
      </c>
      <c r="EF29" s="35">
        <f t="shared" si="77"/>
        <v>3360.6915912</v>
      </c>
      <c r="EH29" s="5">
        <f t="shared" si="109"/>
        <v>1980.875</v>
      </c>
      <c r="EI29" s="5">
        <f t="shared" si="78"/>
        <v>114.91407</v>
      </c>
      <c r="EJ29" s="5">
        <f t="shared" si="79"/>
        <v>2095.78907</v>
      </c>
      <c r="EK29" s="35">
        <f t="shared" si="80"/>
        <v>21.086579999999998</v>
      </c>
      <c r="EM29" s="5">
        <f t="shared" si="110"/>
        <v>5578.5925</v>
      </c>
      <c r="EN29" s="5">
        <f t="shared" si="81"/>
        <v>323.6240394</v>
      </c>
      <c r="EO29" s="5">
        <f t="shared" si="82"/>
        <v>5902.216539399999</v>
      </c>
      <c r="EP29" s="35">
        <f t="shared" si="83"/>
        <v>59.3845836</v>
      </c>
    </row>
    <row r="30" spans="1:146" ht="12.75">
      <c r="A30" s="36">
        <v>47027</v>
      </c>
      <c r="C30" s="78"/>
      <c r="D30" s="78">
        <v>297593</v>
      </c>
      <c r="E30" s="34">
        <f t="shared" si="0"/>
        <v>297593</v>
      </c>
      <c r="F30" s="34">
        <v>79572</v>
      </c>
      <c r="H30" s="47"/>
      <c r="I30" s="35">
        <f t="shared" si="1"/>
        <v>66431.98298300001</v>
      </c>
      <c r="J30" s="35">
        <f t="shared" si="2"/>
        <v>66431.98298300001</v>
      </c>
      <c r="K30" s="35">
        <f t="shared" si="3"/>
        <v>17762.937132</v>
      </c>
      <c r="L30"/>
      <c r="N30" s="5">
        <f t="shared" si="4"/>
        <v>13927.8583081</v>
      </c>
      <c r="O30" s="5">
        <f t="shared" si="5"/>
        <v>13927.8583081</v>
      </c>
      <c r="P30" s="35">
        <f t="shared" si="6"/>
        <v>3724.1048724</v>
      </c>
      <c r="Q30"/>
      <c r="S30" s="5">
        <f t="shared" si="7"/>
        <v>1938.4315241</v>
      </c>
      <c r="T30" s="35">
        <f t="shared" si="8"/>
        <v>1938.4315241</v>
      </c>
      <c r="U30" s="35">
        <f t="shared" si="9"/>
        <v>518.3081364</v>
      </c>
      <c r="V30" s="35"/>
      <c r="X30" s="5">
        <f t="shared" si="10"/>
        <v>278.547048</v>
      </c>
      <c r="Y30" s="5">
        <f t="shared" si="11"/>
        <v>278.547048</v>
      </c>
      <c r="Z30" s="35">
        <f t="shared" si="12"/>
        <v>74.479392</v>
      </c>
      <c r="AA30"/>
      <c r="AC30" s="5">
        <f t="shared" si="13"/>
        <v>1639.1720033000001</v>
      </c>
      <c r="AD30" s="5">
        <f t="shared" si="111"/>
        <v>1639.1720033000001</v>
      </c>
      <c r="AE30" s="35">
        <f t="shared" si="14"/>
        <v>438.2905332</v>
      </c>
      <c r="AF30"/>
      <c r="AH30" s="5">
        <f t="shared" si="15"/>
        <v>728.2993488999999</v>
      </c>
      <c r="AI30" s="5">
        <f t="shared" si="16"/>
        <v>728.2993488999999</v>
      </c>
      <c r="AJ30" s="35">
        <f t="shared" si="17"/>
        <v>194.7365556</v>
      </c>
      <c r="AK30"/>
      <c r="AM30" s="5">
        <f t="shared" si="18"/>
        <v>463.02494870000004</v>
      </c>
      <c r="AN30" s="5">
        <f t="shared" si="19"/>
        <v>463.02494870000004</v>
      </c>
      <c r="AO30" s="35">
        <f t="shared" si="20"/>
        <v>123.8060748</v>
      </c>
      <c r="AP30"/>
      <c r="AR30" s="5">
        <f t="shared" si="21"/>
        <v>1249.4442105</v>
      </c>
      <c r="AS30" s="5">
        <f t="shared" si="22"/>
        <v>1249.4442105</v>
      </c>
      <c r="AT30" s="35">
        <f t="shared" si="23"/>
        <v>334.083042</v>
      </c>
      <c r="AU30"/>
      <c r="AW30" s="5">
        <f t="shared" si="24"/>
        <v>0.2380744</v>
      </c>
      <c r="AX30" s="5">
        <f t="shared" si="25"/>
        <v>0.2380744</v>
      </c>
      <c r="AY30" s="35">
        <f t="shared" si="26"/>
        <v>0.0636576</v>
      </c>
      <c r="AZ30"/>
      <c r="BB30" s="5">
        <f t="shared" si="27"/>
        <v>772.9382989</v>
      </c>
      <c r="BC30" s="35">
        <f t="shared" si="28"/>
        <v>772.9382989</v>
      </c>
      <c r="BD30" s="35">
        <f t="shared" si="29"/>
        <v>206.6723556</v>
      </c>
      <c r="BE30"/>
      <c r="BG30" s="5">
        <f t="shared" si="30"/>
        <v>1422.7623737000001</v>
      </c>
      <c r="BH30" s="5">
        <f t="shared" si="31"/>
        <v>1422.7623737000001</v>
      </c>
      <c r="BI30" s="35">
        <f t="shared" si="32"/>
        <v>380.4257748</v>
      </c>
      <c r="BJ30"/>
      <c r="BL30" s="5">
        <f t="shared" si="33"/>
        <v>3703.3663291999997</v>
      </c>
      <c r="BM30" s="5">
        <f t="shared" si="34"/>
        <v>3703.3663291999997</v>
      </c>
      <c r="BN30" s="35">
        <f t="shared" si="35"/>
        <v>990.2257968</v>
      </c>
      <c r="BO30"/>
      <c r="BQ30" s="5">
        <f t="shared" si="36"/>
        <v>376.7229787</v>
      </c>
      <c r="BR30" s="5">
        <f t="shared" si="37"/>
        <v>376.7229787</v>
      </c>
      <c r="BS30" s="35">
        <f t="shared" si="38"/>
        <v>100.73019479999999</v>
      </c>
      <c r="BT30"/>
      <c r="BV30" s="5">
        <f t="shared" si="39"/>
        <v>47.0792126</v>
      </c>
      <c r="BW30" s="5">
        <f t="shared" si="40"/>
        <v>47.0792126</v>
      </c>
      <c r="BX30" s="35">
        <f t="shared" si="41"/>
        <v>12.5882904</v>
      </c>
      <c r="BY30"/>
      <c r="CA30" s="5">
        <f t="shared" si="42"/>
        <v>42.5260397</v>
      </c>
      <c r="CB30" s="5">
        <f t="shared" si="43"/>
        <v>42.5260397</v>
      </c>
      <c r="CC30" s="35">
        <f t="shared" si="44"/>
        <v>11.3708388</v>
      </c>
      <c r="CD30"/>
      <c r="CF30" s="5">
        <f t="shared" si="45"/>
        <v>1057.3776883</v>
      </c>
      <c r="CG30" s="5">
        <f t="shared" si="46"/>
        <v>1057.3776883</v>
      </c>
      <c r="CH30" s="35">
        <f t="shared" si="47"/>
        <v>282.7272732</v>
      </c>
      <c r="CI30"/>
      <c r="CK30" s="5">
        <f t="shared" si="48"/>
        <v>82.07614939999999</v>
      </c>
      <c r="CL30" s="5">
        <f t="shared" si="49"/>
        <v>82.07614939999999</v>
      </c>
      <c r="CM30" s="35">
        <f t="shared" si="50"/>
        <v>21.9459576</v>
      </c>
      <c r="CN30"/>
      <c r="CP30" s="5">
        <f t="shared" si="51"/>
        <v>649.1991294999999</v>
      </c>
      <c r="CQ30" s="35">
        <f t="shared" si="52"/>
        <v>649.1991294999999</v>
      </c>
      <c r="CR30" s="35">
        <f t="shared" si="53"/>
        <v>173.58631799999998</v>
      </c>
      <c r="CU30" s="5">
        <f t="shared" si="54"/>
        <v>3352.1173113000004</v>
      </c>
      <c r="CV30" s="5">
        <f t="shared" si="55"/>
        <v>3352.1173113000004</v>
      </c>
      <c r="CW30" s="35">
        <f t="shared" si="56"/>
        <v>896.3069652</v>
      </c>
      <c r="CZ30" s="5">
        <f t="shared" si="57"/>
        <v>265.95886409999997</v>
      </c>
      <c r="DA30" s="5">
        <f t="shared" si="58"/>
        <v>265.95886409999997</v>
      </c>
      <c r="DB30" s="35">
        <f t="shared" si="59"/>
        <v>71.1134964</v>
      </c>
      <c r="DE30" s="5">
        <f t="shared" si="60"/>
        <v>722.0796552</v>
      </c>
      <c r="DF30" s="5">
        <f t="shared" si="61"/>
        <v>722.0796552</v>
      </c>
      <c r="DG30" s="35">
        <f t="shared" si="62"/>
        <v>193.0735008</v>
      </c>
      <c r="DJ30" s="5">
        <f t="shared" si="63"/>
        <v>809.6910344</v>
      </c>
      <c r="DK30" s="35">
        <f t="shared" si="64"/>
        <v>809.6910344</v>
      </c>
      <c r="DL30" s="35">
        <f t="shared" si="65"/>
        <v>216.4994976</v>
      </c>
      <c r="DO30" s="5">
        <f t="shared" si="66"/>
        <v>2040.1488115</v>
      </c>
      <c r="DP30" s="35">
        <f t="shared" si="67"/>
        <v>2040.1488115</v>
      </c>
      <c r="DQ30" s="35">
        <f t="shared" si="68"/>
        <v>545.505846</v>
      </c>
      <c r="DT30" s="5">
        <f t="shared" si="69"/>
        <v>3134.4577911</v>
      </c>
      <c r="DU30" s="35">
        <f t="shared" si="70"/>
        <v>3134.4577911</v>
      </c>
      <c r="DV30" s="35">
        <f t="shared" si="71"/>
        <v>838.1080044</v>
      </c>
      <c r="DY30" s="5">
        <f t="shared" si="72"/>
        <v>14858.7887307</v>
      </c>
      <c r="DZ30" s="5">
        <f t="shared" si="73"/>
        <v>14858.7887307</v>
      </c>
      <c r="EA30" s="35">
        <f t="shared" si="74"/>
        <v>3973.0220028</v>
      </c>
      <c r="ED30" s="5">
        <f t="shared" si="75"/>
        <v>12568.721317799998</v>
      </c>
      <c r="EE30" s="5">
        <f t="shared" si="76"/>
        <v>12568.721317799998</v>
      </c>
      <c r="EF30" s="35">
        <f t="shared" si="77"/>
        <v>3360.6915912</v>
      </c>
      <c r="EI30" s="5">
        <f t="shared" si="78"/>
        <v>78.862145</v>
      </c>
      <c r="EJ30" s="5">
        <f t="shared" si="79"/>
        <v>78.862145</v>
      </c>
      <c r="EK30" s="35">
        <f t="shared" si="80"/>
        <v>21.086579999999998</v>
      </c>
      <c r="EN30" s="5">
        <f t="shared" si="81"/>
        <v>222.0936559</v>
      </c>
      <c r="EO30" s="5">
        <f t="shared" si="82"/>
        <v>222.0936559</v>
      </c>
      <c r="EP30" s="35">
        <f t="shared" si="83"/>
        <v>59.3845836</v>
      </c>
    </row>
    <row r="31" spans="1:146" ht="12.75">
      <c r="A31" s="36">
        <v>47209</v>
      </c>
      <c r="C31" s="78">
        <v>7750000</v>
      </c>
      <c r="D31" s="78">
        <v>297593</v>
      </c>
      <c r="E31" s="34">
        <f t="shared" si="0"/>
        <v>8047593</v>
      </c>
      <c r="F31" s="34">
        <v>79572</v>
      </c>
      <c r="H31" s="47">
        <f>M31+R31+AB31+AG31+AL31+W31+AQ31+AV31+BA31+BF31+BK31+BP31+BU31+BZ31+CE31+CJ31+CO31+CT31+CY31+DD31+DI31+DN31+DS31+DX31+EC31+EH31+EM31</f>
        <v>1730040.2499999998</v>
      </c>
      <c r="I31" s="35">
        <f t="shared" si="1"/>
        <v>66431.98298300001</v>
      </c>
      <c r="J31" s="35">
        <f t="shared" si="2"/>
        <v>1796472.2329829999</v>
      </c>
      <c r="K31" s="35">
        <f t="shared" si="3"/>
        <v>17762.937132</v>
      </c>
      <c r="L31"/>
      <c r="M31" s="5">
        <f t="shared" si="84"/>
        <v>362713.175</v>
      </c>
      <c r="N31" s="5">
        <f t="shared" si="4"/>
        <v>13927.8583081</v>
      </c>
      <c r="O31" s="5">
        <f t="shared" si="5"/>
        <v>376641.0333081</v>
      </c>
      <c r="P31" s="35">
        <f t="shared" si="6"/>
        <v>3724.1048724</v>
      </c>
      <c r="Q31"/>
      <c r="R31" s="5">
        <f t="shared" si="85"/>
        <v>50481.174999999996</v>
      </c>
      <c r="S31" s="5">
        <f t="shared" si="7"/>
        <v>1938.4315241</v>
      </c>
      <c r="T31" s="35">
        <f t="shared" si="8"/>
        <v>52419.606524099996</v>
      </c>
      <c r="U31" s="35">
        <f t="shared" si="9"/>
        <v>518.3081364</v>
      </c>
      <c r="V31" s="35"/>
      <c r="W31" s="5">
        <f t="shared" si="86"/>
        <v>7254</v>
      </c>
      <c r="X31" s="5">
        <f t="shared" si="10"/>
        <v>278.547048</v>
      </c>
      <c r="Y31" s="5">
        <f t="shared" si="11"/>
        <v>7532.547048</v>
      </c>
      <c r="Z31" s="35">
        <f t="shared" si="12"/>
        <v>74.479392</v>
      </c>
      <c r="AA31"/>
      <c r="AB31" s="5">
        <f t="shared" si="87"/>
        <v>42687.775</v>
      </c>
      <c r="AC31" s="5">
        <f t="shared" si="13"/>
        <v>1639.1720033000001</v>
      </c>
      <c r="AD31" s="5">
        <f t="shared" si="111"/>
        <v>44326.9470033</v>
      </c>
      <c r="AE31" s="35">
        <f t="shared" si="14"/>
        <v>438.2905332</v>
      </c>
      <c r="AF31"/>
      <c r="AG31" s="5">
        <f t="shared" si="88"/>
        <v>18966.575</v>
      </c>
      <c r="AH31" s="5">
        <f t="shared" si="15"/>
        <v>728.2993488999999</v>
      </c>
      <c r="AI31" s="5">
        <f t="shared" si="16"/>
        <v>19694.8743489</v>
      </c>
      <c r="AJ31" s="35">
        <f t="shared" si="17"/>
        <v>194.7365556</v>
      </c>
      <c r="AK31"/>
      <c r="AL31" s="5">
        <f t="shared" si="89"/>
        <v>12058.225</v>
      </c>
      <c r="AM31" s="5">
        <f t="shared" si="18"/>
        <v>463.02494870000004</v>
      </c>
      <c r="AN31" s="5">
        <f t="shared" si="19"/>
        <v>12521.2499487</v>
      </c>
      <c r="AO31" s="35">
        <f t="shared" si="20"/>
        <v>123.8060748</v>
      </c>
      <c r="AP31"/>
      <c r="AQ31" s="5">
        <f t="shared" si="90"/>
        <v>32538.375</v>
      </c>
      <c r="AR31" s="5">
        <f t="shared" si="21"/>
        <v>1249.4442105</v>
      </c>
      <c r="AS31" s="5">
        <f t="shared" si="22"/>
        <v>33787.8192105</v>
      </c>
      <c r="AT31" s="35">
        <f t="shared" si="23"/>
        <v>334.083042</v>
      </c>
      <c r="AU31"/>
      <c r="AV31" s="5">
        <f t="shared" si="91"/>
        <v>6.199999999999999</v>
      </c>
      <c r="AW31" s="5">
        <f t="shared" si="24"/>
        <v>0.2380744</v>
      </c>
      <c r="AX31" s="5">
        <f t="shared" si="25"/>
        <v>6.4380744</v>
      </c>
      <c r="AY31" s="35">
        <f t="shared" si="26"/>
        <v>0.0636576</v>
      </c>
      <c r="AZ31"/>
      <c r="BA31" s="5">
        <f t="shared" si="92"/>
        <v>20129.075</v>
      </c>
      <c r="BB31" s="5">
        <f t="shared" si="27"/>
        <v>772.9382989</v>
      </c>
      <c r="BC31" s="35">
        <f t="shared" si="28"/>
        <v>20902.0132989</v>
      </c>
      <c r="BD31" s="35">
        <f t="shared" si="29"/>
        <v>206.6723556</v>
      </c>
      <c r="BE31"/>
      <c r="BF31" s="5">
        <f t="shared" si="93"/>
        <v>37051.975</v>
      </c>
      <c r="BG31" s="5">
        <f t="shared" si="30"/>
        <v>1422.7623737000001</v>
      </c>
      <c r="BH31" s="5">
        <f t="shared" si="31"/>
        <v>38474.7373737</v>
      </c>
      <c r="BI31" s="35">
        <f t="shared" si="32"/>
        <v>380.4257748</v>
      </c>
      <c r="BJ31"/>
      <c r="BK31" s="5">
        <f t="shared" si="94"/>
        <v>96444.09999999999</v>
      </c>
      <c r="BL31" s="5">
        <f t="shared" si="33"/>
        <v>3703.3663291999997</v>
      </c>
      <c r="BM31" s="5">
        <f t="shared" si="34"/>
        <v>100147.46632919999</v>
      </c>
      <c r="BN31" s="35">
        <f t="shared" si="35"/>
        <v>990.2257968</v>
      </c>
      <c r="BO31"/>
      <c r="BP31" s="5">
        <f t="shared" si="95"/>
        <v>9810.724999999999</v>
      </c>
      <c r="BQ31" s="5">
        <f t="shared" si="36"/>
        <v>376.7229787</v>
      </c>
      <c r="BR31" s="5">
        <f t="shared" si="37"/>
        <v>10187.447978699998</v>
      </c>
      <c r="BS31" s="35">
        <f t="shared" si="38"/>
        <v>100.73019479999999</v>
      </c>
      <c r="BT31"/>
      <c r="BU31" s="5">
        <f t="shared" si="96"/>
        <v>1226.05</v>
      </c>
      <c r="BV31" s="5">
        <f t="shared" si="39"/>
        <v>47.0792126</v>
      </c>
      <c r="BW31" s="5">
        <f t="shared" si="40"/>
        <v>1273.1292125999998</v>
      </c>
      <c r="BX31" s="35">
        <f t="shared" si="41"/>
        <v>12.5882904</v>
      </c>
      <c r="BY31"/>
      <c r="BZ31" s="5">
        <f t="shared" si="97"/>
        <v>1107.4750000000001</v>
      </c>
      <c r="CA31" s="5">
        <f t="shared" si="42"/>
        <v>42.5260397</v>
      </c>
      <c r="CB31" s="5">
        <f t="shared" si="43"/>
        <v>1150.0010397</v>
      </c>
      <c r="CC31" s="35">
        <f t="shared" si="44"/>
        <v>11.3708388</v>
      </c>
      <c r="CD31"/>
      <c r="CE31" s="5">
        <f t="shared" si="98"/>
        <v>27536.525</v>
      </c>
      <c r="CF31" s="5">
        <f t="shared" si="45"/>
        <v>1057.3776883</v>
      </c>
      <c r="CG31" s="5">
        <f t="shared" si="46"/>
        <v>28593.9026883</v>
      </c>
      <c r="CH31" s="35">
        <f t="shared" si="47"/>
        <v>282.7272732</v>
      </c>
      <c r="CI31"/>
      <c r="CJ31" s="5">
        <f t="shared" si="99"/>
        <v>2137.45</v>
      </c>
      <c r="CK31" s="5">
        <f t="shared" si="48"/>
        <v>82.07614939999999</v>
      </c>
      <c r="CL31" s="5">
        <f t="shared" si="49"/>
        <v>2219.5261493999997</v>
      </c>
      <c r="CM31" s="35">
        <f t="shared" si="50"/>
        <v>21.9459576</v>
      </c>
      <c r="CN31"/>
      <c r="CO31" s="5">
        <f t="shared" si="100"/>
        <v>16906.625</v>
      </c>
      <c r="CP31" s="5">
        <f t="shared" si="51"/>
        <v>649.1991294999999</v>
      </c>
      <c r="CQ31" s="35">
        <f t="shared" si="52"/>
        <v>17555.8241295</v>
      </c>
      <c r="CR31" s="35">
        <f t="shared" si="53"/>
        <v>173.58631799999998</v>
      </c>
      <c r="CT31" s="5">
        <f t="shared" si="101"/>
        <v>87296.77500000001</v>
      </c>
      <c r="CU31" s="5">
        <f t="shared" si="54"/>
        <v>3352.1173113000004</v>
      </c>
      <c r="CV31" s="5">
        <f t="shared" si="55"/>
        <v>90648.8923113</v>
      </c>
      <c r="CW31" s="35">
        <f t="shared" si="56"/>
        <v>896.3069652</v>
      </c>
      <c r="CY31" s="5">
        <f t="shared" si="102"/>
        <v>6926.175</v>
      </c>
      <c r="CZ31" s="5">
        <f t="shared" si="57"/>
        <v>265.95886409999997</v>
      </c>
      <c r="DA31" s="5">
        <f t="shared" si="58"/>
        <v>7192.1338641</v>
      </c>
      <c r="DB31" s="35">
        <f t="shared" si="59"/>
        <v>71.1134964</v>
      </c>
      <c r="DD31" s="5">
        <f t="shared" si="103"/>
        <v>18804.6</v>
      </c>
      <c r="DE31" s="5">
        <f t="shared" si="60"/>
        <v>722.0796552</v>
      </c>
      <c r="DF31" s="5">
        <f t="shared" si="61"/>
        <v>19526.679655199998</v>
      </c>
      <c r="DG31" s="35">
        <f t="shared" si="62"/>
        <v>193.0735008</v>
      </c>
      <c r="DI31" s="5">
        <f t="shared" si="104"/>
        <v>21086.2</v>
      </c>
      <c r="DJ31" s="5">
        <f t="shared" si="63"/>
        <v>809.6910344</v>
      </c>
      <c r="DK31" s="35">
        <f t="shared" si="64"/>
        <v>21895.8910344</v>
      </c>
      <c r="DL31" s="35">
        <f t="shared" si="65"/>
        <v>216.4994976</v>
      </c>
      <c r="DN31" s="5">
        <f t="shared" si="105"/>
        <v>53130.125</v>
      </c>
      <c r="DO31" s="5">
        <f t="shared" si="66"/>
        <v>2040.1488115</v>
      </c>
      <c r="DP31" s="35">
        <f t="shared" si="67"/>
        <v>55170.2738115</v>
      </c>
      <c r="DQ31" s="35">
        <f t="shared" si="68"/>
        <v>545.505846</v>
      </c>
      <c r="DS31" s="5">
        <f t="shared" si="106"/>
        <v>81628.425</v>
      </c>
      <c r="DT31" s="5">
        <f t="shared" si="69"/>
        <v>3134.4577911</v>
      </c>
      <c r="DU31" s="35">
        <f t="shared" si="70"/>
        <v>84762.8827911</v>
      </c>
      <c r="DV31" s="35">
        <f t="shared" si="71"/>
        <v>838.1080044</v>
      </c>
      <c r="DX31" s="5">
        <f t="shared" si="107"/>
        <v>386956.725</v>
      </c>
      <c r="DY31" s="5">
        <f t="shared" si="72"/>
        <v>14858.7887307</v>
      </c>
      <c r="DZ31" s="5">
        <f t="shared" si="73"/>
        <v>401815.51373069995</v>
      </c>
      <c r="EA31" s="35">
        <f t="shared" si="74"/>
        <v>3973.0220028</v>
      </c>
      <c r="EC31" s="5">
        <f t="shared" si="108"/>
        <v>327318.14999999997</v>
      </c>
      <c r="ED31" s="5">
        <f t="shared" si="75"/>
        <v>12568.721317799998</v>
      </c>
      <c r="EE31" s="5">
        <f t="shared" si="76"/>
        <v>339886.87131779996</v>
      </c>
      <c r="EF31" s="35">
        <f t="shared" si="77"/>
        <v>3360.6915912</v>
      </c>
      <c r="EH31" s="5">
        <f t="shared" si="109"/>
        <v>2053.75</v>
      </c>
      <c r="EI31" s="5">
        <f t="shared" si="78"/>
        <v>78.862145</v>
      </c>
      <c r="EJ31" s="5">
        <f t="shared" si="79"/>
        <v>2132.612145</v>
      </c>
      <c r="EK31" s="35">
        <f t="shared" si="80"/>
        <v>21.086579999999998</v>
      </c>
      <c r="EM31" s="5">
        <f t="shared" si="110"/>
        <v>5783.825</v>
      </c>
      <c r="EN31" s="5">
        <f t="shared" si="81"/>
        <v>222.0936559</v>
      </c>
      <c r="EO31" s="5">
        <f t="shared" si="82"/>
        <v>6005.9186559</v>
      </c>
      <c r="EP31" s="35">
        <f t="shared" si="83"/>
        <v>59.3845836</v>
      </c>
    </row>
    <row r="32" spans="1:146" ht="12.75">
      <c r="A32" s="36">
        <v>47392</v>
      </c>
      <c r="C32" s="78"/>
      <c r="D32" s="78">
        <v>152766</v>
      </c>
      <c r="E32" s="34">
        <f t="shared" si="0"/>
        <v>152766</v>
      </c>
      <c r="F32" s="34">
        <v>79572</v>
      </c>
      <c r="H32" s="47"/>
      <c r="I32" s="35">
        <f t="shared" si="1"/>
        <v>34102.10694599999</v>
      </c>
      <c r="J32" s="35">
        <f t="shared" si="2"/>
        <v>34102.10694599999</v>
      </c>
      <c r="K32" s="35">
        <f t="shared" si="3"/>
        <v>17762.937132</v>
      </c>
      <c r="L32"/>
      <c r="N32" s="5">
        <f t="shared" si="4"/>
        <v>7149.7085022</v>
      </c>
      <c r="O32" s="5">
        <f t="shared" si="5"/>
        <v>7149.7085022</v>
      </c>
      <c r="P32" s="35">
        <f t="shared" si="6"/>
        <v>3724.1048724</v>
      </c>
      <c r="Q32"/>
      <c r="S32" s="5">
        <f t="shared" si="7"/>
        <v>995.0718942</v>
      </c>
      <c r="T32" s="35">
        <f t="shared" si="8"/>
        <v>995.0718942</v>
      </c>
      <c r="U32" s="35">
        <f t="shared" si="9"/>
        <v>518.3081364</v>
      </c>
      <c r="V32" s="35"/>
      <c r="X32" s="5">
        <f t="shared" si="10"/>
        <v>142.988976</v>
      </c>
      <c r="Y32" s="5">
        <f t="shared" si="11"/>
        <v>142.988976</v>
      </c>
      <c r="Z32" s="35">
        <f t="shared" si="12"/>
        <v>74.479392</v>
      </c>
      <c r="AA32"/>
      <c r="AC32" s="5">
        <f t="shared" si="13"/>
        <v>841.4504046000001</v>
      </c>
      <c r="AD32" s="5">
        <f t="shared" si="111"/>
        <v>841.4504046000001</v>
      </c>
      <c r="AE32" s="35">
        <f t="shared" si="14"/>
        <v>438.2905332</v>
      </c>
      <c r="AF32"/>
      <c r="AH32" s="5">
        <f t="shared" si="15"/>
        <v>373.86423179999997</v>
      </c>
      <c r="AI32" s="5">
        <f t="shared" si="16"/>
        <v>373.86423179999997</v>
      </c>
      <c r="AJ32" s="35">
        <f t="shared" si="17"/>
        <v>194.7365556</v>
      </c>
      <c r="AK32"/>
      <c r="AM32" s="5">
        <f t="shared" si="18"/>
        <v>237.6886194</v>
      </c>
      <c r="AN32" s="5">
        <f t="shared" si="19"/>
        <v>237.6886194</v>
      </c>
      <c r="AO32" s="35">
        <f t="shared" si="20"/>
        <v>123.8060748</v>
      </c>
      <c r="AP32"/>
      <c r="AR32" s="5">
        <f t="shared" si="21"/>
        <v>641.388051</v>
      </c>
      <c r="AS32" s="5">
        <f t="shared" si="22"/>
        <v>641.388051</v>
      </c>
      <c r="AT32" s="35">
        <f t="shared" si="23"/>
        <v>334.083042</v>
      </c>
      <c r="AU32"/>
      <c r="AW32" s="5">
        <f t="shared" si="24"/>
        <v>0.1222128</v>
      </c>
      <c r="AX32" s="5">
        <f t="shared" si="25"/>
        <v>0.1222128</v>
      </c>
      <c r="AY32" s="35">
        <f t="shared" si="26"/>
        <v>0.0636576</v>
      </c>
      <c r="AZ32"/>
      <c r="BB32" s="5">
        <f t="shared" si="27"/>
        <v>396.77913179999996</v>
      </c>
      <c r="BC32" s="35">
        <f t="shared" si="28"/>
        <v>396.77913179999996</v>
      </c>
      <c r="BD32" s="35">
        <f t="shared" si="29"/>
        <v>206.6723556</v>
      </c>
      <c r="BE32"/>
      <c r="BG32" s="5">
        <f t="shared" si="30"/>
        <v>730.3589694000001</v>
      </c>
      <c r="BH32" s="5">
        <f t="shared" si="31"/>
        <v>730.3589694000001</v>
      </c>
      <c r="BI32" s="35">
        <f t="shared" si="32"/>
        <v>380.4257748</v>
      </c>
      <c r="BJ32"/>
      <c r="BL32" s="5">
        <f t="shared" si="33"/>
        <v>1901.0812104</v>
      </c>
      <c r="BM32" s="5">
        <f t="shared" si="34"/>
        <v>1901.0812104</v>
      </c>
      <c r="BN32" s="35">
        <f t="shared" si="35"/>
        <v>990.2257968</v>
      </c>
      <c r="BO32"/>
      <c r="BQ32" s="5">
        <f t="shared" si="36"/>
        <v>193.38647939999998</v>
      </c>
      <c r="BR32" s="5">
        <f t="shared" si="37"/>
        <v>193.38647939999998</v>
      </c>
      <c r="BS32" s="35">
        <f t="shared" si="38"/>
        <v>100.73019479999999</v>
      </c>
      <c r="BT32"/>
      <c r="BV32" s="5">
        <f t="shared" si="39"/>
        <v>24.1675812</v>
      </c>
      <c r="BW32" s="5">
        <f t="shared" si="40"/>
        <v>24.1675812</v>
      </c>
      <c r="BX32" s="35">
        <f t="shared" si="41"/>
        <v>12.5882904</v>
      </c>
      <c r="BY32"/>
      <c r="CA32" s="5">
        <f t="shared" si="42"/>
        <v>21.8302614</v>
      </c>
      <c r="CB32" s="5">
        <f t="shared" si="43"/>
        <v>21.8302614</v>
      </c>
      <c r="CC32" s="35">
        <f t="shared" si="44"/>
        <v>11.3708388</v>
      </c>
      <c r="CD32"/>
      <c r="CF32" s="5">
        <f t="shared" si="45"/>
        <v>542.7928746</v>
      </c>
      <c r="CG32" s="5">
        <f t="shared" si="46"/>
        <v>542.7928746</v>
      </c>
      <c r="CH32" s="35">
        <f t="shared" si="47"/>
        <v>282.7272732</v>
      </c>
      <c r="CI32"/>
      <c r="CK32" s="5">
        <f t="shared" si="48"/>
        <v>42.1328628</v>
      </c>
      <c r="CL32" s="5">
        <f t="shared" si="49"/>
        <v>42.1328628</v>
      </c>
      <c r="CM32" s="35">
        <f t="shared" si="50"/>
        <v>21.9459576</v>
      </c>
      <c r="CN32"/>
      <c r="CP32" s="5">
        <f t="shared" si="51"/>
        <v>333.259029</v>
      </c>
      <c r="CQ32" s="35">
        <f t="shared" si="52"/>
        <v>333.259029</v>
      </c>
      <c r="CR32" s="35">
        <f t="shared" si="53"/>
        <v>173.58631799999998</v>
      </c>
      <c r="CU32" s="5">
        <f t="shared" si="54"/>
        <v>1720.7715006</v>
      </c>
      <c r="CV32" s="5">
        <f t="shared" si="55"/>
        <v>1720.7715006</v>
      </c>
      <c r="CW32" s="35">
        <f t="shared" si="56"/>
        <v>896.3069652</v>
      </c>
      <c r="CZ32" s="5">
        <f t="shared" si="57"/>
        <v>136.52697419999998</v>
      </c>
      <c r="DA32" s="5">
        <f t="shared" si="58"/>
        <v>136.52697419999998</v>
      </c>
      <c r="DB32" s="35">
        <f t="shared" si="59"/>
        <v>71.1134964</v>
      </c>
      <c r="DE32" s="5">
        <f t="shared" si="60"/>
        <v>370.6714224</v>
      </c>
      <c r="DF32" s="5">
        <f t="shared" si="61"/>
        <v>370.6714224</v>
      </c>
      <c r="DG32" s="35">
        <f t="shared" si="62"/>
        <v>193.0735008</v>
      </c>
      <c r="DJ32" s="5">
        <f t="shared" si="63"/>
        <v>415.6457328</v>
      </c>
      <c r="DK32" s="35">
        <f t="shared" si="64"/>
        <v>415.6457328</v>
      </c>
      <c r="DL32" s="35">
        <f t="shared" si="65"/>
        <v>216.4994976</v>
      </c>
      <c r="DO32" s="5">
        <f t="shared" si="66"/>
        <v>1047.287313</v>
      </c>
      <c r="DP32" s="35">
        <f t="shared" si="67"/>
        <v>1047.287313</v>
      </c>
      <c r="DQ32" s="35">
        <f t="shared" si="68"/>
        <v>545.505846</v>
      </c>
      <c r="DT32" s="5">
        <f t="shared" si="69"/>
        <v>1609.0384482000002</v>
      </c>
      <c r="DU32" s="35">
        <f t="shared" si="70"/>
        <v>1609.0384482000002</v>
      </c>
      <c r="DV32" s="35">
        <f t="shared" si="71"/>
        <v>838.1080044</v>
      </c>
      <c r="DY32" s="5">
        <f t="shared" si="72"/>
        <v>7627.5911034</v>
      </c>
      <c r="DZ32" s="5">
        <f t="shared" si="73"/>
        <v>7627.5911034</v>
      </c>
      <c r="EA32" s="35">
        <f t="shared" si="74"/>
        <v>3973.0220028</v>
      </c>
      <c r="ED32" s="5">
        <f t="shared" si="75"/>
        <v>6452.010903599999</v>
      </c>
      <c r="EE32" s="5">
        <f t="shared" si="76"/>
        <v>6452.010903599999</v>
      </c>
      <c r="EF32" s="35">
        <f t="shared" si="77"/>
        <v>3360.6915912</v>
      </c>
      <c r="EI32" s="5">
        <f t="shared" si="78"/>
        <v>40.48299</v>
      </c>
      <c r="EJ32" s="5">
        <f t="shared" si="79"/>
        <v>40.48299</v>
      </c>
      <c r="EK32" s="35">
        <f t="shared" si="80"/>
        <v>21.086579999999998</v>
      </c>
      <c r="EN32" s="5">
        <f t="shared" si="81"/>
        <v>114.0092658</v>
      </c>
      <c r="EO32" s="5">
        <f t="shared" si="82"/>
        <v>114.0092658</v>
      </c>
      <c r="EP32" s="35">
        <f t="shared" si="83"/>
        <v>59.3845836</v>
      </c>
    </row>
    <row r="33" spans="1:146" ht="12.75">
      <c r="A33" s="36">
        <v>11049</v>
      </c>
      <c r="C33" s="78">
        <v>8035000</v>
      </c>
      <c r="D33" s="78">
        <v>152766</v>
      </c>
      <c r="E33" s="34">
        <f t="shared" si="0"/>
        <v>8187766</v>
      </c>
      <c r="F33" s="34">
        <v>79572</v>
      </c>
      <c r="H33" s="47">
        <f>M33+R33+AB33+AG33+AL33+W33+AQ33+AV33+BA33+BF33+BK33+BP33+BU33+BZ33+CE33+CJ33+CO33+CT33+CY33+DD33+DI33+DN33+DS33+DX33+EC33+EH33+EM33</f>
        <v>1793661.085</v>
      </c>
      <c r="I33" s="35">
        <f t="shared" si="1"/>
        <v>34102.10694599999</v>
      </c>
      <c r="J33" s="35">
        <f t="shared" si="2"/>
        <v>1827763.1919459999</v>
      </c>
      <c r="K33" s="35">
        <f t="shared" si="3"/>
        <v>17762.937132</v>
      </c>
      <c r="L33"/>
      <c r="M33" s="5">
        <f t="shared" si="84"/>
        <v>376051.6595</v>
      </c>
      <c r="N33" s="5">
        <f t="shared" si="4"/>
        <v>7149.7085022</v>
      </c>
      <c r="O33" s="5">
        <f t="shared" si="5"/>
        <v>383201.36800220003</v>
      </c>
      <c r="P33" s="35">
        <f t="shared" si="6"/>
        <v>3724.1048724</v>
      </c>
      <c r="Q33"/>
      <c r="R33" s="5">
        <f t="shared" si="85"/>
        <v>52337.5795</v>
      </c>
      <c r="S33" s="5">
        <f t="shared" si="7"/>
        <v>995.0718942</v>
      </c>
      <c r="T33" s="35">
        <f t="shared" si="8"/>
        <v>53332.6513942</v>
      </c>
      <c r="U33" s="35">
        <f t="shared" si="9"/>
        <v>518.3081364</v>
      </c>
      <c r="V33" s="35"/>
      <c r="W33" s="5">
        <f t="shared" si="86"/>
        <v>7520.76</v>
      </c>
      <c r="X33" s="5">
        <f t="shared" si="10"/>
        <v>142.988976</v>
      </c>
      <c r="Y33" s="5">
        <f t="shared" si="11"/>
        <v>7663.748976</v>
      </c>
      <c r="Z33" s="35">
        <f t="shared" si="12"/>
        <v>74.479392</v>
      </c>
      <c r="AA33"/>
      <c r="AB33" s="5">
        <f t="shared" si="87"/>
        <v>44257.5835</v>
      </c>
      <c r="AC33" s="5">
        <f t="shared" si="13"/>
        <v>841.4504046000001</v>
      </c>
      <c r="AD33" s="5">
        <f t="shared" si="111"/>
        <v>45099.0339046</v>
      </c>
      <c r="AE33" s="35">
        <f t="shared" si="14"/>
        <v>438.2905332</v>
      </c>
      <c r="AF33"/>
      <c r="AG33" s="5">
        <f t="shared" si="88"/>
        <v>19664.0555</v>
      </c>
      <c r="AH33" s="5">
        <f t="shared" si="15"/>
        <v>373.86423179999997</v>
      </c>
      <c r="AI33" s="5">
        <f t="shared" si="16"/>
        <v>20037.919731799997</v>
      </c>
      <c r="AJ33" s="35">
        <f t="shared" si="17"/>
        <v>194.7365556</v>
      </c>
      <c r="AK33"/>
      <c r="AL33" s="5">
        <f t="shared" si="89"/>
        <v>12501.656500000001</v>
      </c>
      <c r="AM33" s="5">
        <f t="shared" si="18"/>
        <v>237.6886194</v>
      </c>
      <c r="AN33" s="5">
        <f t="shared" si="19"/>
        <v>12739.3451194</v>
      </c>
      <c r="AO33" s="35">
        <f t="shared" si="20"/>
        <v>123.8060748</v>
      </c>
      <c r="AP33"/>
      <c r="AQ33" s="5">
        <f t="shared" si="90"/>
        <v>33734.9475</v>
      </c>
      <c r="AR33" s="5">
        <f t="shared" si="21"/>
        <v>641.388051</v>
      </c>
      <c r="AS33" s="5">
        <f t="shared" si="22"/>
        <v>34376.335551000004</v>
      </c>
      <c r="AT33" s="35">
        <f t="shared" si="23"/>
        <v>334.083042</v>
      </c>
      <c r="AU33"/>
      <c r="AV33" s="5">
        <f t="shared" si="91"/>
        <v>6.428</v>
      </c>
      <c r="AW33" s="5">
        <f t="shared" si="24"/>
        <v>0.1222128</v>
      </c>
      <c r="AX33" s="5">
        <f t="shared" si="25"/>
        <v>6.5502128</v>
      </c>
      <c r="AY33" s="35">
        <f t="shared" si="26"/>
        <v>0.0636576</v>
      </c>
      <c r="AZ33"/>
      <c r="BA33" s="5">
        <f t="shared" si="92"/>
        <v>20869.3055</v>
      </c>
      <c r="BB33" s="5">
        <f t="shared" si="27"/>
        <v>396.77913179999996</v>
      </c>
      <c r="BC33" s="35">
        <f t="shared" si="28"/>
        <v>21266.084631799997</v>
      </c>
      <c r="BD33" s="35">
        <f t="shared" si="29"/>
        <v>206.6723556</v>
      </c>
      <c r="BE33"/>
      <c r="BF33" s="5">
        <f t="shared" si="93"/>
        <v>38414.531500000005</v>
      </c>
      <c r="BG33" s="5">
        <f t="shared" si="30"/>
        <v>730.3589694000001</v>
      </c>
      <c r="BH33" s="5">
        <f t="shared" si="31"/>
        <v>39144.8904694</v>
      </c>
      <c r="BI33" s="35">
        <f t="shared" si="32"/>
        <v>380.4257748</v>
      </c>
      <c r="BJ33"/>
      <c r="BK33" s="5">
        <f t="shared" si="94"/>
        <v>99990.754</v>
      </c>
      <c r="BL33" s="5">
        <f t="shared" si="33"/>
        <v>1901.0812104</v>
      </c>
      <c r="BM33" s="5">
        <f t="shared" si="34"/>
        <v>101891.83521040001</v>
      </c>
      <c r="BN33" s="35">
        <f t="shared" si="35"/>
        <v>990.2257968</v>
      </c>
      <c r="BO33"/>
      <c r="BP33" s="5">
        <f t="shared" si="95"/>
        <v>10171.5065</v>
      </c>
      <c r="BQ33" s="5">
        <f t="shared" si="36"/>
        <v>193.38647939999998</v>
      </c>
      <c r="BR33" s="5">
        <f t="shared" si="37"/>
        <v>10364.8929794</v>
      </c>
      <c r="BS33" s="35">
        <f t="shared" si="38"/>
        <v>100.73019479999999</v>
      </c>
      <c r="BT33"/>
      <c r="BU33" s="5">
        <f t="shared" si="96"/>
        <v>1271.137</v>
      </c>
      <c r="BV33" s="5">
        <f t="shared" si="39"/>
        <v>24.1675812</v>
      </c>
      <c r="BW33" s="5">
        <f t="shared" si="40"/>
        <v>1295.3045812</v>
      </c>
      <c r="BX33" s="35">
        <f t="shared" si="41"/>
        <v>12.5882904</v>
      </c>
      <c r="BY33"/>
      <c r="BZ33" s="5">
        <f t="shared" si="97"/>
        <v>1148.2015000000001</v>
      </c>
      <c r="CA33" s="5">
        <f t="shared" si="42"/>
        <v>21.8302614</v>
      </c>
      <c r="CB33" s="5">
        <f t="shared" si="43"/>
        <v>1170.0317614</v>
      </c>
      <c r="CC33" s="35">
        <f t="shared" si="44"/>
        <v>11.3708388</v>
      </c>
      <c r="CD33"/>
      <c r="CE33" s="5">
        <f t="shared" si="98"/>
        <v>28549.1585</v>
      </c>
      <c r="CF33" s="5">
        <f t="shared" si="45"/>
        <v>542.7928746</v>
      </c>
      <c r="CG33" s="5">
        <f t="shared" si="46"/>
        <v>29091.9513746</v>
      </c>
      <c r="CH33" s="35">
        <f t="shared" si="47"/>
        <v>282.7272732</v>
      </c>
      <c r="CI33"/>
      <c r="CJ33" s="5">
        <f t="shared" si="99"/>
        <v>2216.053</v>
      </c>
      <c r="CK33" s="5">
        <f t="shared" si="48"/>
        <v>42.1328628</v>
      </c>
      <c r="CL33" s="5">
        <f t="shared" si="49"/>
        <v>2258.1858628</v>
      </c>
      <c r="CM33" s="35">
        <f t="shared" si="50"/>
        <v>21.9459576</v>
      </c>
      <c r="CN33"/>
      <c r="CO33" s="5">
        <f t="shared" si="100"/>
        <v>17528.352499999997</v>
      </c>
      <c r="CP33" s="5">
        <f t="shared" si="51"/>
        <v>333.259029</v>
      </c>
      <c r="CQ33" s="35">
        <f t="shared" si="52"/>
        <v>17861.611528999998</v>
      </c>
      <c r="CR33" s="35">
        <f t="shared" si="53"/>
        <v>173.58631799999998</v>
      </c>
      <c r="CT33" s="5">
        <f t="shared" si="101"/>
        <v>90507.0435</v>
      </c>
      <c r="CU33" s="5">
        <f t="shared" si="54"/>
        <v>1720.7715006</v>
      </c>
      <c r="CV33" s="5">
        <f t="shared" si="55"/>
        <v>92227.8150006</v>
      </c>
      <c r="CW33" s="35">
        <f t="shared" si="56"/>
        <v>896.3069652</v>
      </c>
      <c r="CY33" s="5">
        <f t="shared" si="102"/>
        <v>7180.8795</v>
      </c>
      <c r="CZ33" s="5">
        <f t="shared" si="57"/>
        <v>136.52697419999998</v>
      </c>
      <c r="DA33" s="5">
        <f t="shared" si="58"/>
        <v>7317.4064742</v>
      </c>
      <c r="DB33" s="35">
        <f t="shared" si="59"/>
        <v>71.1134964</v>
      </c>
      <c r="DD33" s="5">
        <f t="shared" si="103"/>
        <v>19496.124</v>
      </c>
      <c r="DE33" s="5">
        <f t="shared" si="60"/>
        <v>370.6714224</v>
      </c>
      <c r="DF33" s="5">
        <f t="shared" si="61"/>
        <v>19866.7954224</v>
      </c>
      <c r="DG33" s="35">
        <f t="shared" si="62"/>
        <v>193.0735008</v>
      </c>
      <c r="DI33" s="5">
        <f t="shared" si="104"/>
        <v>21861.628</v>
      </c>
      <c r="DJ33" s="5">
        <f t="shared" si="63"/>
        <v>415.6457328</v>
      </c>
      <c r="DK33" s="35">
        <f t="shared" si="64"/>
        <v>22277.2737328</v>
      </c>
      <c r="DL33" s="35">
        <f t="shared" si="65"/>
        <v>216.4994976</v>
      </c>
      <c r="DN33" s="5">
        <f t="shared" si="105"/>
        <v>55083.9425</v>
      </c>
      <c r="DO33" s="5">
        <f t="shared" si="66"/>
        <v>1047.287313</v>
      </c>
      <c r="DP33" s="35">
        <f t="shared" si="67"/>
        <v>56131.229813</v>
      </c>
      <c r="DQ33" s="35">
        <f t="shared" si="68"/>
        <v>545.505846</v>
      </c>
      <c r="DS33" s="5">
        <f t="shared" si="106"/>
        <v>84630.2445</v>
      </c>
      <c r="DT33" s="5">
        <f t="shared" si="69"/>
        <v>1609.0384482000002</v>
      </c>
      <c r="DU33" s="35">
        <f t="shared" si="70"/>
        <v>86239.2829482</v>
      </c>
      <c r="DV33" s="35">
        <f t="shared" si="71"/>
        <v>838.1080044</v>
      </c>
      <c r="DX33" s="5">
        <f t="shared" si="107"/>
        <v>401186.7465</v>
      </c>
      <c r="DY33" s="5">
        <f t="shared" si="72"/>
        <v>7627.5911034</v>
      </c>
      <c r="DZ33" s="5">
        <f t="shared" si="73"/>
        <v>408814.3376034</v>
      </c>
      <c r="EA33" s="35">
        <f t="shared" si="74"/>
        <v>3973.0220028</v>
      </c>
      <c r="EC33" s="5">
        <f t="shared" si="108"/>
        <v>339355.011</v>
      </c>
      <c r="ED33" s="5">
        <f t="shared" si="75"/>
        <v>6452.010903599999</v>
      </c>
      <c r="EE33" s="5">
        <f t="shared" si="76"/>
        <v>345807.0219036</v>
      </c>
      <c r="EF33" s="35">
        <f t="shared" si="77"/>
        <v>3360.6915912</v>
      </c>
      <c r="EH33" s="5">
        <f t="shared" si="109"/>
        <v>2129.275</v>
      </c>
      <c r="EI33" s="5">
        <f t="shared" si="78"/>
        <v>40.48299</v>
      </c>
      <c r="EJ33" s="5">
        <f t="shared" si="79"/>
        <v>2169.75799</v>
      </c>
      <c r="EK33" s="35">
        <f t="shared" si="80"/>
        <v>21.086579999999998</v>
      </c>
      <c r="EM33" s="5">
        <f t="shared" si="110"/>
        <v>5996.5205</v>
      </c>
      <c r="EN33" s="5">
        <f t="shared" si="81"/>
        <v>114.0092658</v>
      </c>
      <c r="EO33" s="5">
        <f t="shared" si="82"/>
        <v>6110.5297658</v>
      </c>
      <c r="EP33" s="35">
        <f t="shared" si="83"/>
        <v>59.3845836</v>
      </c>
    </row>
    <row r="34" spans="2:94" ht="12.75">
      <c r="B34" s="33"/>
      <c r="C34" s="34"/>
      <c r="D34" s="34"/>
      <c r="E34" s="34"/>
      <c r="F34" s="34"/>
      <c r="H34"/>
      <c r="I34"/>
      <c r="J34"/>
      <c r="K34"/>
      <c r="L34"/>
      <c r="M34"/>
      <c r="N34"/>
      <c r="O34"/>
      <c r="Q34"/>
      <c r="R34"/>
      <c r="S34"/>
      <c r="T34"/>
      <c r="W34"/>
      <c r="X34"/>
      <c r="Y34"/>
      <c r="AA34"/>
      <c r="AB34"/>
      <c r="AC34"/>
      <c r="AD34"/>
      <c r="AF34"/>
      <c r="AG34"/>
      <c r="AH34"/>
      <c r="AI34"/>
      <c r="AK34"/>
      <c r="AL34"/>
      <c r="AM34"/>
      <c r="AP34"/>
      <c r="AQ34"/>
      <c r="AR34"/>
      <c r="AS34"/>
      <c r="AU34"/>
      <c r="AV34"/>
      <c r="AW34"/>
      <c r="AX34"/>
      <c r="AZ34"/>
      <c r="BA34"/>
      <c r="BB34"/>
      <c r="BC34"/>
      <c r="BE34"/>
      <c r="BF34"/>
      <c r="BG34"/>
      <c r="BH34"/>
      <c r="BJ34"/>
      <c r="BK34"/>
      <c r="BL34"/>
      <c r="BM34"/>
      <c r="BO34"/>
      <c r="BP34"/>
      <c r="BQ34"/>
      <c r="BR34"/>
      <c r="BT34"/>
      <c r="BU34"/>
      <c r="BV34"/>
      <c r="BW34"/>
      <c r="BY34"/>
      <c r="BZ34"/>
      <c r="CA34"/>
      <c r="CB34"/>
      <c r="CD34"/>
      <c r="CE34"/>
      <c r="CF34"/>
      <c r="CG34"/>
      <c r="CI34"/>
      <c r="CJ34"/>
      <c r="CK34"/>
      <c r="CL34"/>
      <c r="CN34"/>
      <c r="CO34"/>
      <c r="CP34"/>
    </row>
    <row r="35" spans="1:146" ht="13.5" thickBot="1">
      <c r="A35" s="38" t="s">
        <v>18</v>
      </c>
      <c r="C35" s="39">
        <f>SUM(C8:C34)</f>
        <v>86320000</v>
      </c>
      <c r="D35" s="39">
        <f>SUM(D8:D34)</f>
        <v>22142212</v>
      </c>
      <c r="E35" s="39">
        <f>SUM(E8:E34)</f>
        <v>108462212</v>
      </c>
      <c r="F35" s="39">
        <f>SUM(F8:F34)</f>
        <v>2068872</v>
      </c>
      <c r="H35" s="39">
        <f>SUM(H8:H34)</f>
        <v>19269299.92</v>
      </c>
      <c r="I35" s="39">
        <f>SUM(I8:I34)</f>
        <v>4942828.126971998</v>
      </c>
      <c r="J35" s="39">
        <f>SUM(J8:J34)</f>
        <v>24212128.046972</v>
      </c>
      <c r="K35" s="39">
        <f>SUM(K8:K34)</f>
        <v>461836.36543199985</v>
      </c>
      <c r="M35" s="39">
        <f>SUM(M8:M34)</f>
        <v>4039922.744</v>
      </c>
      <c r="N35" s="39">
        <f>SUM(N8:N34)</f>
        <v>1036293.1633604004</v>
      </c>
      <c r="O35" s="39">
        <f>SUM(O8:O34)</f>
        <v>5076215.907360401</v>
      </c>
      <c r="P35" s="39">
        <f>SUM(P8:P34)</f>
        <v>96826.7266824</v>
      </c>
      <c r="R35" s="39">
        <f>SUM(R8:R34)</f>
        <v>562262.584</v>
      </c>
      <c r="S35" s="39">
        <f>SUM(S8:S34)</f>
        <v>144227.72630439993</v>
      </c>
      <c r="T35" s="39">
        <f>SUM(T8:T34)</f>
        <v>706490.3103044002</v>
      </c>
      <c r="U35" s="39">
        <f>SUM(U8:U34)</f>
        <v>13476.01154639999</v>
      </c>
      <c r="V35" s="34"/>
      <c r="W35" s="39">
        <f>SUM(W8:W34)</f>
        <v>80795.51999999999</v>
      </c>
      <c r="X35" s="39">
        <f>SUM(X8:X34)</f>
        <v>20725.110432000005</v>
      </c>
      <c r="Y35" s="39">
        <f>SUM(Y8:Y34)</f>
        <v>101520.63043199998</v>
      </c>
      <c r="Z35" s="39">
        <f>SUM(Z8:Z34)</f>
        <v>1936.4641919999995</v>
      </c>
      <c r="AB35" s="39">
        <f>SUM(AB8:AB34)</f>
        <v>475459.19200000004</v>
      </c>
      <c r="AC35" s="39">
        <f>SUM(AC8:AC34)</f>
        <v>121961.51791719996</v>
      </c>
      <c r="AD35" s="39">
        <f>SUM(AD8:AD34)</f>
        <v>597420.7099171999</v>
      </c>
      <c r="AE35" s="39">
        <f>SUM(AE8:AE34)</f>
        <v>11395.553863200006</v>
      </c>
      <c r="AG35" s="39">
        <f>SUM(AG8:AG34)</f>
        <v>211250.93600000002</v>
      </c>
      <c r="AH35" s="39">
        <f>SUM(AH8:AH34)</f>
        <v>54188.63542759999</v>
      </c>
      <c r="AI35" s="39">
        <f>SUM(AI8:AI34)</f>
        <v>265439.57142759993</v>
      </c>
      <c r="AJ35" s="39">
        <f>SUM(AJ8:AJ34)</f>
        <v>5063.150445600002</v>
      </c>
      <c r="AL35" s="39">
        <f>SUM(AL8:AL34)</f>
        <v>134305.28800000003</v>
      </c>
      <c r="AM35" s="39">
        <f>SUM(AM8:AM34)</f>
        <v>34451.0676508</v>
      </c>
      <c r="AN35" s="39">
        <f>SUM(AN8:AN34)</f>
        <v>168756.3556508</v>
      </c>
      <c r="AO35" s="39">
        <f>SUM(AO8:AO34)</f>
        <v>3218.9579447999986</v>
      </c>
      <c r="AQ35" s="39">
        <f>SUM(AQ8:AQ34)</f>
        <v>362414.51999999996</v>
      </c>
      <c r="AR35" s="39">
        <f>SUM(AR8:AR34)</f>
        <v>92964.07708200003</v>
      </c>
      <c r="AS35" s="39">
        <f>SUM(AS8:AS34)</f>
        <v>455378.597082</v>
      </c>
      <c r="AT35" s="39">
        <f>SUM(AT8:AT34)</f>
        <v>8686.159092000004</v>
      </c>
      <c r="AV35" s="39">
        <f>SUM(AV8:AV34)</f>
        <v>69.05599999999998</v>
      </c>
      <c r="AW35" s="39">
        <f>SUM(AW8:AW34)</f>
        <v>17.713769599999992</v>
      </c>
      <c r="AX35" s="39">
        <f>SUM(AX8:AX34)</f>
        <v>86.7697696</v>
      </c>
      <c r="AY35" s="39">
        <f>SUM(AY8:AY34)</f>
        <v>1.6550975999999997</v>
      </c>
      <c r="BA35" s="39">
        <f>SUM(BA8:BA34)</f>
        <v>224198.93600000002</v>
      </c>
      <c r="BB35" s="39">
        <f>SUM(BB8:BB34)</f>
        <v>57509.96722759999</v>
      </c>
      <c r="BC35" s="39">
        <f>SUM(BC8:BC34)</f>
        <v>281708.9032276</v>
      </c>
      <c r="BD35" s="39">
        <f>SUM(BD8:BD34)</f>
        <v>5373.4812456</v>
      </c>
      <c r="BF35" s="39">
        <f>SUM(BF8:BF34)</f>
        <v>412687.28799999994</v>
      </c>
      <c r="BG35" s="39">
        <f>SUM(BG8:BG34)</f>
        <v>105859.7013508</v>
      </c>
      <c r="BH35" s="39">
        <f>SUM(BH8:BH34)</f>
        <v>518546.98935080005</v>
      </c>
      <c r="BI35" s="39">
        <f>SUM(BI8:BI34)</f>
        <v>9891.0701448</v>
      </c>
      <c r="BK35" s="39">
        <f>SUM(BK8:BK34)</f>
        <v>1074200.608</v>
      </c>
      <c r="BL35" s="39">
        <f>SUM(BL8:BL34)</f>
        <v>275546.5430127999</v>
      </c>
      <c r="BM35" s="39">
        <f>SUM(BM8:BM34)</f>
        <v>1349747.1510128</v>
      </c>
      <c r="BN35" s="39">
        <f>SUM(BN8:BN34)</f>
        <v>25745.870716800007</v>
      </c>
      <c r="BP35" s="39">
        <f>SUM(BP8:BP34)</f>
        <v>109272.48799999997</v>
      </c>
      <c r="BQ35" s="39">
        <f>SUM(BQ8:BQ34)</f>
        <v>28029.826170799995</v>
      </c>
      <c r="BR35" s="39">
        <f>SUM(BR8:BR34)</f>
        <v>137302.31417079997</v>
      </c>
      <c r="BS35" s="39">
        <f>SUM(BS8:BS34)</f>
        <v>2618.985064799999</v>
      </c>
      <c r="BU35" s="39">
        <f>SUM(BU8:BU34)</f>
        <v>13655.823999999999</v>
      </c>
      <c r="BV35" s="39">
        <f>SUM(BV8:BV34)</f>
        <v>3502.8979383999995</v>
      </c>
      <c r="BW35" s="39">
        <f>SUM(BW8:BW34)</f>
        <v>17158.721938399998</v>
      </c>
      <c r="BX35" s="39">
        <f>SUM(BX8:BX34)</f>
        <v>327.2955504000001</v>
      </c>
      <c r="BZ35" s="39">
        <f>SUM(BZ8:BZ34)</f>
        <v>12335.128</v>
      </c>
      <c r="CA35" s="39">
        <f>SUM(CA8:CA34)</f>
        <v>3164.1220948000005</v>
      </c>
      <c r="CB35" s="39">
        <f>SUM(CB8:CB34)</f>
        <v>15499.250094800003</v>
      </c>
      <c r="CC35" s="39">
        <f>SUM(CC8:CC34)</f>
        <v>295.6418088</v>
      </c>
      <c r="CE35" s="39">
        <f>SUM(CE8:CE34)</f>
        <v>306703.59200000006</v>
      </c>
      <c r="CF35" s="39">
        <f>SUM(CF8:CF34)</f>
        <v>78673.49345720002</v>
      </c>
      <c r="CG35" s="39">
        <f>SUM(CG8:CG34)</f>
        <v>385377.0854571999</v>
      </c>
      <c r="CH35" s="39">
        <f>SUM(CH8:CH34)</f>
        <v>7350.909103200002</v>
      </c>
      <c r="CJ35" s="39">
        <f>SUM(CJ8:CJ34)</f>
        <v>23807.055999999997</v>
      </c>
      <c r="CK35" s="39">
        <f>SUM(CK8:CK34)</f>
        <v>6106.822069599998</v>
      </c>
      <c r="CL35" s="39">
        <f>SUM(CL8:CL34)</f>
        <v>29913.878069599996</v>
      </c>
      <c r="CM35" s="39">
        <f>SUM(CM8:CM34)</f>
        <v>570.5948975999999</v>
      </c>
      <c r="CO35" s="39">
        <f>SUM(CO8:CO34)</f>
        <v>188307.08</v>
      </c>
      <c r="CP35" s="39">
        <f>SUM(CP8:CP34)</f>
        <v>48303.235477999995</v>
      </c>
      <c r="CQ35" s="39">
        <f>SUM(CQ8:CQ34)</f>
        <v>236610.31547799997</v>
      </c>
      <c r="CR35" s="39">
        <f>SUM(CR8:CR34)</f>
        <v>4513.2442679999995</v>
      </c>
      <c r="CT35" s="39">
        <f>SUM(CT8:CT34)</f>
        <v>972317.1120000001</v>
      </c>
      <c r="CU35" s="39">
        <f>SUM(CU8:CU34)</f>
        <v>249412.09018920007</v>
      </c>
      <c r="CV35" s="39">
        <f>SUM(CV8:CV34)</f>
        <v>1221729.2021892</v>
      </c>
      <c r="CW35" s="39">
        <f>SUM(CW8:CW34)</f>
        <v>23303.981095200008</v>
      </c>
      <c r="CY35" s="39">
        <f>SUM(CY8:CY34)</f>
        <v>77144.184</v>
      </c>
      <c r="CZ35" s="39">
        <f>SUM(CZ8:CZ34)</f>
        <v>19788.494864399996</v>
      </c>
      <c r="DA35" s="39">
        <f>SUM(DA8:DA34)</f>
        <v>96932.67886439999</v>
      </c>
      <c r="DB35" s="39">
        <f>SUM(DB8:DB34)</f>
        <v>1848.9509064000006</v>
      </c>
      <c r="DD35" s="39">
        <f>SUM(DD8:DD34)</f>
        <v>209446.84800000003</v>
      </c>
      <c r="DE35" s="39">
        <f>SUM(DE8:DE34)</f>
        <v>53725.86319680001</v>
      </c>
      <c r="DF35" s="39">
        <f>SUM(DF8:DF34)</f>
        <v>263172.7111968</v>
      </c>
      <c r="DG35" s="39">
        <f>SUM(DG8:DG34)</f>
        <v>5019.911020800002</v>
      </c>
      <c r="DI35" s="39">
        <f>SUM(DI8:DI34)</f>
        <v>234859.45600000003</v>
      </c>
      <c r="DJ35" s="39">
        <f>SUM(DJ8:DJ34)</f>
        <v>60244.53040959999</v>
      </c>
      <c r="DK35" s="39">
        <f>SUM(DK8:DK34)</f>
        <v>295103.98640959995</v>
      </c>
      <c r="DL35" s="39">
        <f>SUM(DL8:DL34)</f>
        <v>5628.986937599997</v>
      </c>
      <c r="DN35" s="39">
        <f>SUM(DN8:DN34)</f>
        <v>591766.76</v>
      </c>
      <c r="DO35" s="39">
        <f>SUM(DO8:DO34)</f>
        <v>151795.934366</v>
      </c>
      <c r="DP35" s="39">
        <f>SUM(DP8:DP34)</f>
        <v>743562.6943659999</v>
      </c>
      <c r="DQ35" s="39">
        <f>SUM(DQ8:DQ34)</f>
        <v>14183.151996</v>
      </c>
      <c r="DS35" s="39">
        <f>SUM(DS8:DS34)</f>
        <v>909182.6640000002</v>
      </c>
      <c r="DT35" s="39">
        <f>SUM(DT8:DT34)</f>
        <v>233217.27633240007</v>
      </c>
      <c r="DU35" s="39">
        <f>SUM(DU8:DU34)</f>
        <v>1142399.9403324001</v>
      </c>
      <c r="DV35" s="39">
        <f>SUM(DV8:DV34)</f>
        <v>21790.808114400013</v>
      </c>
      <c r="DX35" s="39">
        <f>SUM(DX8:DX34)</f>
        <v>4309948.968</v>
      </c>
      <c r="DY35" s="39">
        <f>SUM(DY8:DY34)</f>
        <v>1105558.4309388</v>
      </c>
      <c r="DZ35" s="39">
        <f>SUM(DZ8:DZ34)</f>
        <v>5415507.398938801</v>
      </c>
      <c r="EA35" s="39">
        <f>SUM(EA8:EA34)</f>
        <v>103298.57207280002</v>
      </c>
      <c r="EC35" s="39">
        <f>SUM(EC8:EC34)</f>
        <v>3645690.6719999993</v>
      </c>
      <c r="ED35" s="39">
        <f>SUM(ED8:ED34)</f>
        <v>935167.4669351999</v>
      </c>
      <c r="EE35" s="39">
        <f>SUM(EE8:EE34)</f>
        <v>4580858.1389352</v>
      </c>
      <c r="EF35" s="39">
        <f>SUM(EF8:EF34)</f>
        <v>87377.98137119994</v>
      </c>
      <c r="EH35" s="39">
        <f>SUM(EH8:EH34)</f>
        <v>22874.800000000003</v>
      </c>
      <c r="EI35" s="39">
        <f>SUM(EI8:EI34)</f>
        <v>5867.68618</v>
      </c>
      <c r="EJ35" s="39">
        <f>SUM(EJ8:EJ34)</f>
        <v>28742.486179999993</v>
      </c>
      <c r="EK35" s="39">
        <f>SUM(EK8:EK34)</f>
        <v>548.2510800000003</v>
      </c>
      <c r="EM35" s="39">
        <f>SUM(EM8:EM34)</f>
        <v>64420.61599999999</v>
      </c>
      <c r="EN35" s="39">
        <f>SUM(EN8:EN34)</f>
        <v>16524.732815600004</v>
      </c>
      <c r="EO35" s="39">
        <f>SUM(EO8:EO34)</f>
        <v>80945.34881560002</v>
      </c>
      <c r="EP35" s="39">
        <f>SUM(EP8:EP34)</f>
        <v>1543.9991736000006</v>
      </c>
    </row>
    <row r="36" spans="8:94" ht="13.5" thickTop="1"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</row>
    <row r="37" spans="8:94" ht="12.75"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</row>
    <row r="38" spans="8:94" ht="12.75"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</row>
    <row r="39" spans="8:94" ht="12.75"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</row>
    <row r="40" spans="8:94" ht="12.75"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</row>
    <row r="41" spans="8:94" ht="12.75"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</row>
    <row r="42" spans="8:94" ht="12.75"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</row>
    <row r="43" spans="1:94" ht="12.75">
      <c r="A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</row>
    <row r="44" spans="1:94" ht="12.75">
      <c r="A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</row>
    <row r="45" spans="1:94" ht="12.75">
      <c r="A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</row>
    <row r="46" spans="1:94" ht="12.75">
      <c r="A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</row>
    <row r="47" spans="1:94" ht="12.75">
      <c r="A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</row>
    <row r="48" spans="1:94" ht="12.75">
      <c r="A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</row>
    <row r="49" spans="1:6" ht="12.75">
      <c r="A49"/>
      <c r="C49"/>
      <c r="D49"/>
      <c r="E49"/>
      <c r="F49"/>
    </row>
    <row r="50" spans="1:6" ht="12.75">
      <c r="A50"/>
      <c r="C50"/>
      <c r="D50"/>
      <c r="E50"/>
      <c r="F50"/>
    </row>
    <row r="51" spans="1:6" ht="12.75">
      <c r="A51"/>
      <c r="C51"/>
      <c r="D51"/>
      <c r="E51"/>
      <c r="F51"/>
    </row>
    <row r="52" spans="1:6" ht="12.75">
      <c r="A52"/>
      <c r="C52"/>
      <c r="D52"/>
      <c r="E52"/>
      <c r="F52"/>
    </row>
    <row r="53" spans="1:6" ht="12.75">
      <c r="A53"/>
      <c r="C53"/>
      <c r="D53"/>
      <c r="E53"/>
      <c r="F53"/>
    </row>
    <row r="54" spans="1:6" ht="12.75">
      <c r="A54"/>
      <c r="C54"/>
      <c r="D54"/>
      <c r="E54"/>
      <c r="F54"/>
    </row>
    <row r="55" spans="1:6" ht="12.75">
      <c r="A55"/>
      <c r="C55"/>
      <c r="D55"/>
      <c r="E55"/>
      <c r="F55"/>
    </row>
    <row r="56" spans="1:6" ht="12.75">
      <c r="A56"/>
      <c r="C56"/>
      <c r="D56"/>
      <c r="E56"/>
      <c r="F56"/>
    </row>
    <row r="57" spans="1:6" ht="12.75">
      <c r="A57"/>
      <c r="C57"/>
      <c r="D57"/>
      <c r="E57"/>
      <c r="F57"/>
    </row>
    <row r="58" spans="1:6" ht="12.75">
      <c r="A58"/>
      <c r="C58"/>
      <c r="D58"/>
      <c r="E58"/>
      <c r="F58"/>
    </row>
    <row r="59" spans="1:6" ht="12.75">
      <c r="A59"/>
      <c r="C59"/>
      <c r="D59"/>
      <c r="E59"/>
      <c r="F59"/>
    </row>
    <row r="60" spans="1:6" ht="12.75">
      <c r="A60"/>
      <c r="C60"/>
      <c r="D60"/>
      <c r="E60"/>
      <c r="F60"/>
    </row>
    <row r="61" spans="1:6" ht="12.75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1:6" ht="12.75">
      <c r="A68"/>
      <c r="C68"/>
      <c r="D68"/>
      <c r="E68"/>
      <c r="F68"/>
    </row>
    <row r="69" spans="1:6" ht="12.75">
      <c r="A69"/>
      <c r="C69"/>
      <c r="D69"/>
      <c r="E69"/>
      <c r="F69"/>
    </row>
    <row r="70" spans="3:6" ht="12.75">
      <c r="C70"/>
      <c r="D70"/>
      <c r="E70"/>
      <c r="F70"/>
    </row>
    <row r="71" spans="3:6" ht="12.75">
      <c r="C71"/>
      <c r="D71"/>
      <c r="E71"/>
      <c r="F71"/>
    </row>
    <row r="72" spans="3:6" ht="12.75">
      <c r="C72"/>
      <c r="D72"/>
      <c r="E72"/>
      <c r="F72"/>
    </row>
    <row r="73" spans="3:6" ht="12.75">
      <c r="C73"/>
      <c r="D73"/>
      <c r="E73"/>
      <c r="F73"/>
    </row>
    <row r="74" spans="3:6" ht="12.75">
      <c r="C74"/>
      <c r="D74"/>
      <c r="E74"/>
      <c r="F74"/>
    </row>
    <row r="75" spans="3:6" ht="12.75">
      <c r="C75"/>
      <c r="D75"/>
      <c r="E75"/>
      <c r="F75"/>
    </row>
  </sheetData>
  <sheetProtection/>
  <printOptions/>
  <pageMargins left="0.25" right="0" top="0" bottom="0.25" header="0.5" footer="0"/>
  <pageSetup horizontalDpi="600" verticalDpi="600" orientation="landscape" scale="95"/>
  <headerFooter alignWithMargins="0">
    <oddFooter>&amp;CPage &amp;P of &amp;N&amp;R&amp;D</oddFoot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pane xSplit="3" ySplit="4" topLeftCell="P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9" sqref="R9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9" customWidth="1"/>
    <col min="5" max="5" width="13.7109375" style="49" customWidth="1"/>
    <col min="6" max="6" width="12.7109375" style="49" customWidth="1"/>
    <col min="7" max="8" width="10.7109375" style="49" customWidth="1"/>
    <col min="9" max="9" width="13.7109375" style="49" customWidth="1"/>
    <col min="10" max="10" width="10.7109375" style="49" customWidth="1"/>
    <col min="11" max="13" width="12.7109375" style="49" customWidth="1"/>
    <col min="14" max="16" width="13.7109375" style="49" customWidth="1"/>
    <col min="17" max="17" width="10.7109375" style="49" customWidth="1"/>
    <col min="18" max="18" width="12.7109375" style="8" customWidth="1"/>
    <col min="19" max="19" width="12.7109375" style="0" customWidth="1"/>
  </cols>
  <sheetData>
    <row r="1" ht="12.75">
      <c r="A1" s="48" t="s">
        <v>114</v>
      </c>
    </row>
    <row r="3" spans="1:18" ht="12.75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 t="s">
        <v>32</v>
      </c>
    </row>
    <row r="4" spans="1:18" ht="12.75">
      <c r="A4" s="53" t="s">
        <v>33</v>
      </c>
      <c r="B4" s="53" t="s">
        <v>34</v>
      </c>
      <c r="C4" s="53" t="s">
        <v>35</v>
      </c>
      <c r="D4" s="54" t="s">
        <v>18</v>
      </c>
      <c r="E4" s="54" t="s">
        <v>36</v>
      </c>
      <c r="F4" s="54" t="s">
        <v>37</v>
      </c>
      <c r="G4" s="54" t="s">
        <v>38</v>
      </c>
      <c r="H4" s="54" t="s">
        <v>39</v>
      </c>
      <c r="I4" s="54" t="s">
        <v>40</v>
      </c>
      <c r="J4" s="54" t="s">
        <v>41</v>
      </c>
      <c r="K4" s="54" t="s">
        <v>42</v>
      </c>
      <c r="L4" s="54" t="s">
        <v>43</v>
      </c>
      <c r="M4" s="54" t="s">
        <v>44</v>
      </c>
      <c r="N4" s="54" t="s">
        <v>45</v>
      </c>
      <c r="O4" s="54" t="s">
        <v>46</v>
      </c>
      <c r="P4" s="54" t="s">
        <v>47</v>
      </c>
      <c r="Q4" s="54" t="s">
        <v>48</v>
      </c>
      <c r="R4" s="55" t="s">
        <v>49</v>
      </c>
    </row>
    <row r="5" spans="1:18" s="59" customFormat="1" ht="13.5" thickBot="1">
      <c r="A5" s="56"/>
      <c r="B5" s="56"/>
      <c r="C5" s="56" t="s">
        <v>50</v>
      </c>
      <c r="D5" s="57">
        <f>SUM(E5:Q5)</f>
        <v>115503936.24999999</v>
      </c>
      <c r="E5" s="57">
        <f aca="true" t="shared" si="0" ref="E5:Q5">SUM(E6:E64)</f>
        <v>14215616.43</v>
      </c>
      <c r="F5" s="57">
        <f t="shared" si="0"/>
        <v>1148288.13</v>
      </c>
      <c r="G5" s="57">
        <f t="shared" si="0"/>
        <v>108109.43</v>
      </c>
      <c r="H5" s="57">
        <f t="shared" si="0"/>
        <v>785039.22</v>
      </c>
      <c r="I5" s="57">
        <f t="shared" si="0"/>
        <v>12909259.16</v>
      </c>
      <c r="J5" s="57">
        <f t="shared" si="0"/>
        <v>164489.18</v>
      </c>
      <c r="K5" s="57">
        <f t="shared" si="0"/>
        <v>93154.25</v>
      </c>
      <c r="L5" s="57">
        <f t="shared" si="0"/>
        <v>2490728.58</v>
      </c>
      <c r="M5" s="57">
        <f t="shared" si="0"/>
        <v>1939132.29</v>
      </c>
      <c r="N5" s="57">
        <f t="shared" si="0"/>
        <v>1724599.1500000001</v>
      </c>
      <c r="O5" s="57">
        <f t="shared" si="0"/>
        <v>23567846.150000002</v>
      </c>
      <c r="P5" s="57">
        <f t="shared" si="0"/>
        <v>56240867.73</v>
      </c>
      <c r="Q5" s="57">
        <f t="shared" si="0"/>
        <v>116806.55</v>
      </c>
      <c r="R5" s="58"/>
    </row>
    <row r="6" spans="1:17" ht="13.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8" ht="12.75">
      <c r="A7" s="61" t="s">
        <v>36</v>
      </c>
      <c r="B7" s="61" t="s">
        <v>152</v>
      </c>
      <c r="C7" s="61" t="s">
        <v>52</v>
      </c>
      <c r="D7" s="49">
        <f aca="true" t="shared" si="1" ref="D7:D63">SUM(E7:Q7)</f>
        <v>5405785.41</v>
      </c>
      <c r="E7" s="75">
        <f>1035205.6+666923.08+521101.62+2985974.53+196580.58</f>
        <v>5405785.41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8">
        <f aca="true" t="shared" si="2" ref="R7:R63">D7/$D$5</f>
        <v>0.046801741875701665</v>
      </c>
    </row>
    <row r="8" spans="1:18" ht="12.75">
      <c r="A8" s="61" t="s">
        <v>36</v>
      </c>
      <c r="B8" s="61" t="s">
        <v>158</v>
      </c>
      <c r="C8" s="61" t="s">
        <v>55</v>
      </c>
      <c r="D8" s="49">
        <f t="shared" si="1"/>
        <v>752362.35</v>
      </c>
      <c r="E8" s="75">
        <f>67043+5448.27+226417.9+332957+1078.78+92917.4+26500</f>
        <v>752362.35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8">
        <f t="shared" si="2"/>
        <v>0.00651373775151321</v>
      </c>
    </row>
    <row r="9" spans="1:18" ht="12.75">
      <c r="A9" s="61" t="s">
        <v>37</v>
      </c>
      <c r="B9" s="61" t="s">
        <v>154</v>
      </c>
      <c r="C9" s="61" t="s">
        <v>52</v>
      </c>
      <c r="D9" s="49">
        <f t="shared" si="1"/>
        <v>636205.19</v>
      </c>
      <c r="E9" s="75"/>
      <c r="F9" s="75">
        <f>194790.24+19848.5+247579.5+138986.95+35000</f>
        <v>636205.19</v>
      </c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8">
        <f t="shared" si="2"/>
        <v>0.005508082327367436</v>
      </c>
    </row>
    <row r="10" spans="1:18" ht="12.75">
      <c r="A10" s="61" t="s">
        <v>37</v>
      </c>
      <c r="B10" s="61" t="s">
        <v>53</v>
      </c>
      <c r="C10" s="61" t="s">
        <v>57</v>
      </c>
      <c r="D10" s="49">
        <f t="shared" si="1"/>
        <v>282672.15</v>
      </c>
      <c r="E10" s="75"/>
      <c r="F10" s="75">
        <f>157392.63+125279.52</f>
        <v>282672.15</v>
      </c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8">
        <f t="shared" si="2"/>
        <v>0.00244729451806886</v>
      </c>
    </row>
    <row r="11" spans="1:18" ht="12.75">
      <c r="A11" s="61" t="s">
        <v>37</v>
      </c>
      <c r="B11" s="61" t="s">
        <v>103</v>
      </c>
      <c r="C11" s="61" t="s">
        <v>55</v>
      </c>
      <c r="D11" s="49">
        <f t="shared" si="1"/>
        <v>179707.79</v>
      </c>
      <c r="E11" s="75"/>
      <c r="F11" s="75">
        <f>68250.66+20018.2+1377.8+63946.13+26115</f>
        <v>179707.79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8">
        <f t="shared" si="2"/>
        <v>0.0015558585779365595</v>
      </c>
    </row>
    <row r="12" spans="1:18" ht="12.75">
      <c r="A12" s="61" t="s">
        <v>38</v>
      </c>
      <c r="B12" s="61" t="s">
        <v>56</v>
      </c>
      <c r="C12" s="61" t="s">
        <v>52</v>
      </c>
      <c r="D12" s="49">
        <f t="shared" si="1"/>
        <v>108109.43</v>
      </c>
      <c r="E12" s="75"/>
      <c r="F12" s="75"/>
      <c r="G12" s="75">
        <f>12000+96109.43</f>
        <v>108109.43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8">
        <f t="shared" si="2"/>
        <v>0.0009359804826564948</v>
      </c>
    </row>
    <row r="13" spans="1:18" ht="12.75">
      <c r="A13" s="61" t="s">
        <v>39</v>
      </c>
      <c r="B13" s="61" t="s">
        <v>156</v>
      </c>
      <c r="C13" s="61" t="s">
        <v>52</v>
      </c>
      <c r="D13" s="49">
        <f t="shared" si="1"/>
        <v>484946.22</v>
      </c>
      <c r="E13" s="75"/>
      <c r="F13" s="75"/>
      <c r="G13" s="76"/>
      <c r="H13" s="75">
        <f>37419.65+185050.8+43734.69+15757.75+202983.33</f>
        <v>484946.22</v>
      </c>
      <c r="I13" s="76"/>
      <c r="J13" s="76"/>
      <c r="K13" s="76"/>
      <c r="L13" s="76"/>
      <c r="M13" s="76"/>
      <c r="N13" s="76"/>
      <c r="O13" s="76"/>
      <c r="P13" s="76"/>
      <c r="Q13" s="76"/>
      <c r="R13" s="8">
        <f t="shared" si="2"/>
        <v>0.004198525485316524</v>
      </c>
    </row>
    <row r="14" spans="1:18" ht="12.75">
      <c r="A14" s="61" t="s">
        <v>39</v>
      </c>
      <c r="B14" s="61" t="s">
        <v>61</v>
      </c>
      <c r="C14" s="61" t="s">
        <v>87</v>
      </c>
      <c r="D14" s="49">
        <f t="shared" si="1"/>
        <v>93</v>
      </c>
      <c r="E14" s="75"/>
      <c r="F14" s="75"/>
      <c r="G14" s="76"/>
      <c r="H14" s="75">
        <f>93</f>
        <v>93</v>
      </c>
      <c r="I14" s="76"/>
      <c r="J14" s="76"/>
      <c r="K14" s="76"/>
      <c r="L14" s="76"/>
      <c r="M14" s="76"/>
      <c r="N14" s="76"/>
      <c r="O14" s="76"/>
      <c r="P14" s="76"/>
      <c r="Q14" s="76"/>
      <c r="R14" s="8">
        <f t="shared" si="2"/>
        <v>8.051673650212939E-07</v>
      </c>
    </row>
    <row r="15" spans="1:18" ht="12.75">
      <c r="A15" s="61" t="s">
        <v>39</v>
      </c>
      <c r="B15" s="61" t="s">
        <v>59</v>
      </c>
      <c r="C15" s="61" t="s">
        <v>55</v>
      </c>
      <c r="D15" s="49">
        <f t="shared" si="1"/>
        <v>300000</v>
      </c>
      <c r="E15" s="75"/>
      <c r="F15" s="75"/>
      <c r="G15" s="76"/>
      <c r="H15" s="75">
        <v>300000</v>
      </c>
      <c r="I15" s="76"/>
      <c r="J15" s="76"/>
      <c r="K15" s="76"/>
      <c r="L15" s="76"/>
      <c r="M15" s="76"/>
      <c r="N15" s="76"/>
      <c r="O15" s="76"/>
      <c r="P15" s="76"/>
      <c r="Q15" s="76"/>
      <c r="R15" s="8">
        <f t="shared" si="2"/>
        <v>0.0025973140807138513</v>
      </c>
    </row>
    <row r="16" spans="1:18" ht="12.75">
      <c r="A16" s="61" t="s">
        <v>40</v>
      </c>
      <c r="B16" s="61" t="s">
        <v>150</v>
      </c>
      <c r="C16" s="61" t="s">
        <v>151</v>
      </c>
      <c r="D16" s="49">
        <f t="shared" si="1"/>
        <v>552213</v>
      </c>
      <c r="E16" s="75"/>
      <c r="F16" s="75"/>
      <c r="G16" s="76"/>
      <c r="H16" s="75"/>
      <c r="I16" s="75">
        <f>552213</f>
        <v>552213</v>
      </c>
      <c r="J16" s="76"/>
      <c r="K16" s="76"/>
      <c r="L16" s="76"/>
      <c r="M16" s="76"/>
      <c r="N16" s="76"/>
      <c r="O16" s="76"/>
      <c r="P16" s="76"/>
      <c r="Q16" s="76"/>
      <c r="R16" s="8">
        <f t="shared" si="2"/>
        <v>0.004780902001510793</v>
      </c>
    </row>
    <row r="17" spans="1:18" ht="12.75">
      <c r="A17" s="61" t="s">
        <v>40</v>
      </c>
      <c r="B17" s="61" t="s">
        <v>153</v>
      </c>
      <c r="C17" s="61" t="s">
        <v>52</v>
      </c>
      <c r="D17" s="49">
        <f t="shared" si="1"/>
        <v>1437374.42</v>
      </c>
      <c r="E17" s="75"/>
      <c r="F17" s="75"/>
      <c r="G17" s="76"/>
      <c r="H17" s="75"/>
      <c r="I17" s="75">
        <f>84332.3+240381.96-124694.5+11398.09+18769.98+696788.93+510397.66</f>
        <v>1437374.42</v>
      </c>
      <c r="J17" s="76"/>
      <c r="K17" s="76"/>
      <c r="L17" s="76"/>
      <c r="M17" s="76"/>
      <c r="N17" s="76"/>
      <c r="O17" s="76"/>
      <c r="P17" s="76"/>
      <c r="Q17" s="76"/>
      <c r="R17" s="8">
        <f t="shared" si="2"/>
        <v>0.01244437606774635</v>
      </c>
    </row>
    <row r="18" spans="1:18" ht="12.75">
      <c r="A18" s="61" t="s">
        <v>41</v>
      </c>
      <c r="B18" s="61" t="s">
        <v>155</v>
      </c>
      <c r="C18" s="61" t="s">
        <v>52</v>
      </c>
      <c r="D18" s="49">
        <f t="shared" si="1"/>
        <v>146214.18</v>
      </c>
      <c r="E18" s="75"/>
      <c r="F18" s="75"/>
      <c r="G18" s="76"/>
      <c r="H18" s="75"/>
      <c r="I18" s="75"/>
      <c r="J18" s="75">
        <f>8056.72+138157.46</f>
        <v>146214.18</v>
      </c>
      <c r="K18" s="76"/>
      <c r="L18" s="76"/>
      <c r="M18" s="76"/>
      <c r="N18" s="76"/>
      <c r="O18" s="76"/>
      <c r="P18" s="76"/>
      <c r="Q18" s="76"/>
      <c r="R18" s="8">
        <f t="shared" si="2"/>
        <v>0.0012658804950467651</v>
      </c>
    </row>
    <row r="19" spans="1:18" ht="12.75">
      <c r="A19" s="61" t="s">
        <v>41</v>
      </c>
      <c r="B19" s="61" t="s">
        <v>123</v>
      </c>
      <c r="C19" s="61" t="s">
        <v>55</v>
      </c>
      <c r="D19" s="49">
        <f t="shared" si="1"/>
        <v>18275</v>
      </c>
      <c r="E19" s="75"/>
      <c r="F19" s="75"/>
      <c r="G19" s="76"/>
      <c r="H19" s="75"/>
      <c r="I19" s="75"/>
      <c r="J19" s="75">
        <f>18275</f>
        <v>18275</v>
      </c>
      <c r="K19" s="76"/>
      <c r="L19" s="76"/>
      <c r="M19" s="76"/>
      <c r="N19" s="76"/>
      <c r="O19" s="76"/>
      <c r="P19" s="76"/>
      <c r="Q19" s="76"/>
      <c r="R19" s="8">
        <f t="shared" si="2"/>
        <v>0.00015821971608348545</v>
      </c>
    </row>
    <row r="20" spans="1:18" ht="12.75">
      <c r="A20" s="61" t="s">
        <v>42</v>
      </c>
      <c r="B20" s="61" t="s">
        <v>54</v>
      </c>
      <c r="C20" s="61" t="s">
        <v>58</v>
      </c>
      <c r="D20" s="49">
        <f t="shared" si="1"/>
        <v>16500</v>
      </c>
      <c r="E20" s="75"/>
      <c r="F20" s="75"/>
      <c r="G20" s="76"/>
      <c r="H20" s="75"/>
      <c r="I20" s="76"/>
      <c r="J20" s="75"/>
      <c r="K20" s="75">
        <f>16500</f>
        <v>16500</v>
      </c>
      <c r="L20" s="76"/>
      <c r="M20" s="76"/>
      <c r="N20" s="76"/>
      <c r="O20" s="76"/>
      <c r="P20" s="76"/>
      <c r="Q20" s="76"/>
      <c r="R20" s="8">
        <f t="shared" si="2"/>
        <v>0.00014285227443926182</v>
      </c>
    </row>
    <row r="21" spans="1:18" ht="12.75">
      <c r="A21" s="61" t="s">
        <v>43</v>
      </c>
      <c r="B21" s="61" t="s">
        <v>105</v>
      </c>
      <c r="C21" s="61" t="s">
        <v>52</v>
      </c>
      <c r="D21" s="49">
        <f t="shared" si="1"/>
        <v>410392.98</v>
      </c>
      <c r="E21" s="75"/>
      <c r="F21" s="75"/>
      <c r="G21" s="76"/>
      <c r="H21" s="75"/>
      <c r="I21" s="76"/>
      <c r="J21" s="75"/>
      <c r="K21" s="75"/>
      <c r="L21" s="75">
        <f>7000+179353.1+24948+316983.72-127025.1+9133.26</f>
        <v>410392.98</v>
      </c>
      <c r="M21" s="76"/>
      <c r="N21" s="76"/>
      <c r="O21" s="76"/>
      <c r="P21" s="76"/>
      <c r="Q21" s="76"/>
      <c r="R21" s="8">
        <f t="shared" si="2"/>
        <v>0.0035530648852670596</v>
      </c>
    </row>
    <row r="22" spans="1:18" ht="12.75">
      <c r="A22" s="61" t="s">
        <v>43</v>
      </c>
      <c r="B22" s="61" t="s">
        <v>51</v>
      </c>
      <c r="C22" s="61" t="s">
        <v>119</v>
      </c>
      <c r="D22" s="49">
        <f t="shared" si="1"/>
        <v>31859.85</v>
      </c>
      <c r="E22" s="75"/>
      <c r="F22" s="75"/>
      <c r="G22" s="76"/>
      <c r="H22" s="75"/>
      <c r="I22" s="76"/>
      <c r="J22" s="75"/>
      <c r="K22" s="75"/>
      <c r="L22" s="75">
        <f>31859.85</f>
        <v>31859.85</v>
      </c>
      <c r="M22" s="76"/>
      <c r="N22" s="76"/>
      <c r="O22" s="76"/>
      <c r="P22" s="76"/>
      <c r="Q22" s="76"/>
      <c r="R22" s="8">
        <f t="shared" si="2"/>
        <v>0.0002758334567147706</v>
      </c>
    </row>
    <row r="23" spans="1:18" ht="12.75">
      <c r="A23" s="61" t="s">
        <v>44</v>
      </c>
      <c r="B23" s="61" t="s">
        <v>56</v>
      </c>
      <c r="C23" s="61" t="s">
        <v>52</v>
      </c>
      <c r="D23" s="49">
        <f t="shared" si="1"/>
        <v>251969.5</v>
      </c>
      <c r="E23" s="75"/>
      <c r="F23" s="76"/>
      <c r="G23" s="76"/>
      <c r="H23" s="76"/>
      <c r="I23" s="76"/>
      <c r="J23" s="76"/>
      <c r="K23" s="76"/>
      <c r="L23" s="75"/>
      <c r="M23" s="75">
        <f>77049+10516.4+82340+82064.1</f>
        <v>251969.5</v>
      </c>
      <c r="N23" s="76"/>
      <c r="O23" s="76"/>
      <c r="P23" s="76"/>
      <c r="Q23" s="76"/>
      <c r="R23" s="8">
        <f t="shared" si="2"/>
        <v>0.0021814797675347624</v>
      </c>
    </row>
    <row r="24" spans="1:18" ht="12.75">
      <c r="A24" s="61" t="s">
        <v>44</v>
      </c>
      <c r="B24" s="61" t="s">
        <v>59</v>
      </c>
      <c r="C24" s="61" t="s">
        <v>60</v>
      </c>
      <c r="D24" s="49">
        <f t="shared" si="1"/>
        <v>1301044.64</v>
      </c>
      <c r="E24" s="75"/>
      <c r="F24" s="76"/>
      <c r="G24" s="76"/>
      <c r="H24" s="76"/>
      <c r="I24" s="76"/>
      <c r="J24" s="76"/>
      <c r="K24" s="76"/>
      <c r="L24" s="75"/>
      <c r="M24" s="75">
        <f>1164177.98+136866.66</f>
        <v>1301044.64</v>
      </c>
      <c r="N24" s="76"/>
      <c r="O24" s="76"/>
      <c r="P24" s="76"/>
      <c r="Q24" s="76"/>
      <c r="R24" s="8">
        <f t="shared" si="2"/>
        <v>0.011264071877030945</v>
      </c>
    </row>
    <row r="25" spans="1:18" ht="12.75">
      <c r="A25" s="61" t="s">
        <v>44</v>
      </c>
      <c r="B25" s="61" t="s">
        <v>61</v>
      </c>
      <c r="C25" s="61" t="s">
        <v>55</v>
      </c>
      <c r="D25" s="49">
        <f t="shared" si="1"/>
        <v>103229</v>
      </c>
      <c r="E25" s="75"/>
      <c r="F25" s="76"/>
      <c r="G25" s="76"/>
      <c r="H25" s="76"/>
      <c r="I25" s="76"/>
      <c r="J25" s="76"/>
      <c r="K25" s="76"/>
      <c r="L25" s="75"/>
      <c r="M25" s="75">
        <f>103229</f>
        <v>103229</v>
      </c>
      <c r="N25" s="76"/>
      <c r="O25" s="76"/>
      <c r="P25" s="76"/>
      <c r="Q25" s="76"/>
      <c r="R25" s="8">
        <f t="shared" si="2"/>
        <v>0.0008937271174600339</v>
      </c>
    </row>
    <row r="26" spans="1:18" ht="12.75">
      <c r="A26" s="61" t="s">
        <v>45</v>
      </c>
      <c r="B26" s="61" t="s">
        <v>118</v>
      </c>
      <c r="C26" s="61" t="s">
        <v>52</v>
      </c>
      <c r="D26" s="49">
        <f>SUM(E26:Q26)</f>
        <v>314260.2</v>
      </c>
      <c r="E26" s="75"/>
      <c r="F26" s="76"/>
      <c r="G26" s="76"/>
      <c r="H26" s="76"/>
      <c r="I26" s="76"/>
      <c r="J26" s="76"/>
      <c r="K26" s="76"/>
      <c r="L26" s="75"/>
      <c r="M26" s="75"/>
      <c r="N26" s="75">
        <f>314260.2</f>
        <v>314260.2</v>
      </c>
      <c r="O26" s="76"/>
      <c r="P26" s="76"/>
      <c r="Q26" s="76"/>
      <c r="R26" s="8">
        <f t="shared" si="2"/>
        <v>0.0027207748082265035</v>
      </c>
    </row>
    <row r="27" spans="1:18" ht="12.75">
      <c r="A27" s="61" t="s">
        <v>45</v>
      </c>
      <c r="B27" s="61" t="s">
        <v>51</v>
      </c>
      <c r="C27" s="61" t="s">
        <v>55</v>
      </c>
      <c r="D27" s="49">
        <f t="shared" si="1"/>
        <v>280253.65</v>
      </c>
      <c r="E27" s="75"/>
      <c r="F27" s="76"/>
      <c r="G27" s="76"/>
      <c r="H27" s="76"/>
      <c r="I27" s="76"/>
      <c r="J27" s="76"/>
      <c r="K27" s="76"/>
      <c r="L27" s="75"/>
      <c r="M27" s="75"/>
      <c r="N27" s="75">
        <f>35000+245253.65</f>
        <v>280253.65</v>
      </c>
      <c r="O27" s="76"/>
      <c r="P27" s="76"/>
      <c r="Q27" s="76"/>
      <c r="R27" s="8">
        <f t="shared" si="2"/>
        <v>0.002426355837721505</v>
      </c>
    </row>
    <row r="28" spans="1:18" ht="12.75">
      <c r="A28" s="61" t="s">
        <v>46</v>
      </c>
      <c r="B28" s="61" t="s">
        <v>122</v>
      </c>
      <c r="C28" s="61" t="s">
        <v>52</v>
      </c>
      <c r="D28" s="49">
        <f t="shared" si="1"/>
        <v>791832.87</v>
      </c>
      <c r="E28" s="75"/>
      <c r="F28" s="76"/>
      <c r="G28" s="76"/>
      <c r="H28" s="76"/>
      <c r="I28" s="76"/>
      <c r="J28" s="76"/>
      <c r="K28" s="76"/>
      <c r="L28" s="75"/>
      <c r="M28" s="75"/>
      <c r="N28" s="75"/>
      <c r="O28" s="75">
        <f>248700.5+532299.33+10833.04</f>
        <v>791832.87</v>
      </c>
      <c r="P28" s="76"/>
      <c r="Q28" s="76"/>
      <c r="R28" s="8">
        <f t="shared" si="2"/>
        <v>0.0068554622094102015</v>
      </c>
    </row>
    <row r="29" spans="1:18" ht="12.75">
      <c r="A29" s="61" t="s">
        <v>47</v>
      </c>
      <c r="B29" s="61" t="s">
        <v>106</v>
      </c>
      <c r="C29" s="61" t="s">
        <v>52</v>
      </c>
      <c r="D29" s="49">
        <f t="shared" si="1"/>
        <v>1216573.92</v>
      </c>
      <c r="E29" s="75"/>
      <c r="F29" s="76"/>
      <c r="G29" s="76"/>
      <c r="H29" s="76"/>
      <c r="I29" s="76"/>
      <c r="J29" s="76"/>
      <c r="K29" s="76"/>
      <c r="L29" s="75"/>
      <c r="M29" s="75"/>
      <c r="N29" s="75"/>
      <c r="O29" s="76"/>
      <c r="P29" s="75">
        <f>1800+5869.82+3981.1+509723+689000+6200</f>
        <v>1216573.92</v>
      </c>
      <c r="Q29" s="76"/>
      <c r="R29" s="8">
        <f t="shared" si="2"/>
        <v>0.010532748575484155</v>
      </c>
    </row>
    <row r="30" spans="1:18" ht="12.75">
      <c r="A30" s="61" t="s">
        <v>47</v>
      </c>
      <c r="B30" s="61" t="s">
        <v>107</v>
      </c>
      <c r="C30" s="61" t="s">
        <v>86</v>
      </c>
      <c r="D30" s="49">
        <f t="shared" si="1"/>
        <v>5767097.9</v>
      </c>
      <c r="E30" s="75"/>
      <c r="F30" s="76"/>
      <c r="G30" s="76"/>
      <c r="H30" s="76"/>
      <c r="I30" s="76"/>
      <c r="J30" s="76"/>
      <c r="K30" s="76"/>
      <c r="L30" s="75"/>
      <c r="M30" s="75"/>
      <c r="N30" s="75"/>
      <c r="O30" s="76"/>
      <c r="P30" s="75">
        <f>1490667.33+12600+4228928.57+34902</f>
        <v>5767097.9</v>
      </c>
      <c r="Q30" s="76"/>
      <c r="R30" s="8">
        <f t="shared" si="2"/>
        <v>0.049929881935084276</v>
      </c>
    </row>
    <row r="31" spans="1:18" ht="12.75">
      <c r="A31" s="61" t="s">
        <v>47</v>
      </c>
      <c r="B31" s="61" t="s">
        <v>53</v>
      </c>
      <c r="C31" s="61" t="s">
        <v>121</v>
      </c>
      <c r="D31" s="49">
        <f t="shared" si="1"/>
        <v>4878259.7</v>
      </c>
      <c r="E31" s="75"/>
      <c r="F31" s="76"/>
      <c r="G31" s="76"/>
      <c r="H31" s="76"/>
      <c r="I31" s="76"/>
      <c r="J31" s="76"/>
      <c r="K31" s="76"/>
      <c r="L31" s="75"/>
      <c r="M31" s="75"/>
      <c r="N31" s="75"/>
      <c r="O31" s="76"/>
      <c r="P31" s="75">
        <f>4878259.7</f>
        <v>4878259.7</v>
      </c>
      <c r="Q31" s="76"/>
      <c r="R31" s="8">
        <f t="shared" si="2"/>
        <v>0.042234575360629766</v>
      </c>
    </row>
    <row r="32" spans="1:18" ht="12.75">
      <c r="A32" s="61" t="s">
        <v>48</v>
      </c>
      <c r="B32" s="61" t="s">
        <v>51</v>
      </c>
      <c r="C32" s="61" t="s">
        <v>52</v>
      </c>
      <c r="D32" s="49">
        <f t="shared" si="1"/>
        <v>86196.55</v>
      </c>
      <c r="E32" s="75"/>
      <c r="F32" s="76"/>
      <c r="G32" s="76"/>
      <c r="H32" s="76"/>
      <c r="I32" s="76"/>
      <c r="J32" s="76"/>
      <c r="K32" s="76"/>
      <c r="L32" s="75"/>
      <c r="M32" s="75"/>
      <c r="N32" s="75"/>
      <c r="O32" s="76"/>
      <c r="P32" s="75"/>
      <c r="Q32" s="75">
        <f>86196.55</f>
        <v>86196.55</v>
      </c>
      <c r="R32" s="8">
        <f t="shared" si="2"/>
        <v>0.0007462650434131851</v>
      </c>
    </row>
    <row r="33" spans="1:19" ht="12.75">
      <c r="A33" s="61" t="s">
        <v>48</v>
      </c>
      <c r="B33" s="61" t="s">
        <v>157</v>
      </c>
      <c r="C33" s="61" t="s">
        <v>55</v>
      </c>
      <c r="D33" s="49">
        <f t="shared" si="1"/>
        <v>30610</v>
      </c>
      <c r="E33" s="75"/>
      <c r="F33" s="76"/>
      <c r="G33" s="76"/>
      <c r="H33" s="76"/>
      <c r="I33" s="76"/>
      <c r="J33" s="76"/>
      <c r="K33" s="76"/>
      <c r="L33" s="75"/>
      <c r="M33" s="75"/>
      <c r="N33" s="75"/>
      <c r="O33" s="76"/>
      <c r="P33" s="75"/>
      <c r="Q33" s="75">
        <f>26385+3391+834</f>
        <v>30610</v>
      </c>
      <c r="R33" s="8">
        <f t="shared" si="2"/>
        <v>0.00026501261336883664</v>
      </c>
      <c r="S33" s="8">
        <f>SUM(R7:R33)</f>
        <v>0.22323082430881228</v>
      </c>
    </row>
    <row r="34" spans="1:19" ht="12.75">
      <c r="A34" s="61" t="s">
        <v>36</v>
      </c>
      <c r="B34" s="61" t="s">
        <v>159</v>
      </c>
      <c r="C34" s="61" t="s">
        <v>160</v>
      </c>
      <c r="D34" s="49">
        <f t="shared" si="1"/>
        <v>25092.56</v>
      </c>
      <c r="E34" s="75">
        <f>25092.56</f>
        <v>25092.56</v>
      </c>
      <c r="F34" s="76"/>
      <c r="G34" s="76"/>
      <c r="H34" s="76"/>
      <c r="I34" s="76"/>
      <c r="J34" s="76"/>
      <c r="K34" s="76"/>
      <c r="L34" s="75"/>
      <c r="M34" s="75"/>
      <c r="N34" s="75"/>
      <c r="O34" s="76"/>
      <c r="P34" s="75"/>
      <c r="Q34" s="75"/>
      <c r="R34" s="8">
        <f t="shared" si="2"/>
        <v>0.00021724419803052387</v>
      </c>
      <c r="S34" s="8"/>
    </row>
    <row r="35" spans="1:18" ht="12.75">
      <c r="A35" s="2" t="s">
        <v>36</v>
      </c>
      <c r="B35" s="2" t="s">
        <v>163</v>
      </c>
      <c r="C35" t="s">
        <v>63</v>
      </c>
      <c r="D35" s="49">
        <f t="shared" si="1"/>
        <v>2669818.89</v>
      </c>
      <c r="E35" s="77">
        <f>1212.12+245500.96+861610.13+1542318.03+19177.65</f>
        <v>2669818.89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8">
        <f t="shared" si="2"/>
        <v>0.023114527319842752</v>
      </c>
    </row>
    <row r="36" spans="1:18" ht="12.75">
      <c r="A36" s="2" t="s">
        <v>36</v>
      </c>
      <c r="B36" s="2" t="s">
        <v>64</v>
      </c>
      <c r="C36" s="64" t="s">
        <v>65</v>
      </c>
      <c r="D36" s="49">
        <f t="shared" si="1"/>
        <v>163821.19999999998</v>
      </c>
      <c r="E36" s="77">
        <f>146679.55+17141.65</f>
        <v>163821.19999999998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8">
        <f t="shared" si="2"/>
        <v>0.001418317031598133</v>
      </c>
    </row>
    <row r="37" spans="1:18" ht="12.75">
      <c r="A37" s="2" t="s">
        <v>36</v>
      </c>
      <c r="B37" s="2" t="s">
        <v>66</v>
      </c>
      <c r="C37" s="64" t="s">
        <v>65</v>
      </c>
      <c r="D37" s="49">
        <f t="shared" si="1"/>
        <v>1184833.22</v>
      </c>
      <c r="E37" s="77">
        <f>378504.55+806328.67</f>
        <v>1184833.22</v>
      </c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8">
        <f t="shared" si="2"/>
        <v>0.010257946685345107</v>
      </c>
    </row>
    <row r="38" spans="1:18" ht="12.75">
      <c r="A38" s="2" t="s">
        <v>36</v>
      </c>
      <c r="B38" s="2" t="s">
        <v>88</v>
      </c>
      <c r="C38" s="64" t="s">
        <v>65</v>
      </c>
      <c r="D38" s="49">
        <f t="shared" si="1"/>
        <v>937150.88</v>
      </c>
      <c r="E38" s="77">
        <f>4492.79+932658.09</f>
        <v>937150.88</v>
      </c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8">
        <f t="shared" si="2"/>
        <v>0.008113583921257923</v>
      </c>
    </row>
    <row r="39" spans="1:18" ht="12.75">
      <c r="A39" s="2" t="s">
        <v>36</v>
      </c>
      <c r="B39" s="2" t="s">
        <v>88</v>
      </c>
      <c r="C39" s="64" t="s">
        <v>108</v>
      </c>
      <c r="D39" s="49">
        <f t="shared" si="1"/>
        <v>250000</v>
      </c>
      <c r="E39" s="77">
        <f>250000</f>
        <v>250000</v>
      </c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8">
        <f t="shared" si="2"/>
        <v>0.002164428400594876</v>
      </c>
    </row>
    <row r="40" spans="1:18" ht="12.75">
      <c r="A40" s="2" t="s">
        <v>36</v>
      </c>
      <c r="B40" s="2" t="s">
        <v>67</v>
      </c>
      <c r="C40" t="s">
        <v>68</v>
      </c>
      <c r="D40" s="49">
        <f t="shared" si="1"/>
        <v>2826751.92</v>
      </c>
      <c r="E40" s="77">
        <f>2826751.92</f>
        <v>2826751.92</v>
      </c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8">
        <f t="shared" si="2"/>
        <v>0.02447320854833638</v>
      </c>
    </row>
    <row r="41" spans="1:18" ht="12.75">
      <c r="A41" s="2" t="s">
        <v>37</v>
      </c>
      <c r="B41" s="2" t="s">
        <v>64</v>
      </c>
      <c r="C41" s="64" t="s">
        <v>126</v>
      </c>
      <c r="D41" s="49">
        <f t="shared" si="1"/>
        <v>49703</v>
      </c>
      <c r="E41" s="77"/>
      <c r="F41" s="77">
        <f>49703</f>
        <v>49703</v>
      </c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8">
        <f t="shared" si="2"/>
        <v>0.0004303143391790685</v>
      </c>
    </row>
    <row r="42" spans="1:18" ht="12.75">
      <c r="A42" s="2" t="s">
        <v>40</v>
      </c>
      <c r="B42" s="2" t="s">
        <v>165</v>
      </c>
      <c r="C42" s="64" t="s">
        <v>162</v>
      </c>
      <c r="D42" s="49">
        <f t="shared" si="1"/>
        <v>0</v>
      </c>
      <c r="E42" s="77"/>
      <c r="F42" s="77"/>
      <c r="G42" s="77"/>
      <c r="H42" s="77"/>
      <c r="I42" s="77">
        <f>-18590-236339.15+18590+158775.58+26618.02+50945.55</f>
        <v>0</v>
      </c>
      <c r="J42" s="77"/>
      <c r="K42" s="77"/>
      <c r="L42" s="77"/>
      <c r="M42" s="77"/>
      <c r="N42" s="77"/>
      <c r="O42" s="77"/>
      <c r="P42" s="77"/>
      <c r="Q42" s="77"/>
      <c r="R42" s="8">
        <f t="shared" si="2"/>
        <v>0</v>
      </c>
    </row>
    <row r="43" spans="1:18" ht="12.75">
      <c r="A43" s="2" t="s">
        <v>40</v>
      </c>
      <c r="B43" s="2" t="s">
        <v>67</v>
      </c>
      <c r="C43" s="64" t="s">
        <v>167</v>
      </c>
      <c r="D43" s="49">
        <f t="shared" si="1"/>
        <v>0</v>
      </c>
      <c r="E43" s="77"/>
      <c r="F43" s="77"/>
      <c r="G43" s="77"/>
      <c r="H43" s="77"/>
      <c r="I43" s="77">
        <f>-106036.85+106036.85</f>
        <v>0</v>
      </c>
      <c r="J43" s="77"/>
      <c r="K43" s="77"/>
      <c r="L43" s="77"/>
      <c r="M43" s="77"/>
      <c r="N43" s="77"/>
      <c r="O43" s="77"/>
      <c r="P43" s="77"/>
      <c r="Q43" s="77"/>
      <c r="R43" s="8">
        <f t="shared" si="2"/>
        <v>0</v>
      </c>
    </row>
    <row r="44" spans="1:18" ht="12.75">
      <c r="A44" s="2" t="s">
        <v>40</v>
      </c>
      <c r="B44" s="2" t="s">
        <v>64</v>
      </c>
      <c r="C44" t="s">
        <v>109</v>
      </c>
      <c r="D44" s="49">
        <f t="shared" si="1"/>
        <v>10612.55</v>
      </c>
      <c r="E44" s="77"/>
      <c r="F44" s="77"/>
      <c r="G44" s="77"/>
      <c r="H44" s="77"/>
      <c r="I44" s="77">
        <f>10612.55</f>
        <v>10612.55</v>
      </c>
      <c r="J44" s="77"/>
      <c r="K44" s="77"/>
      <c r="L44" s="77"/>
      <c r="M44" s="77"/>
      <c r="N44" s="77"/>
      <c r="O44" s="77"/>
      <c r="P44" s="77"/>
      <c r="Q44" s="77"/>
      <c r="R44" s="8">
        <f t="shared" si="2"/>
        <v>9.18804184909326E-05</v>
      </c>
    </row>
    <row r="45" spans="1:18" ht="12.75">
      <c r="A45" s="2" t="s">
        <v>40</v>
      </c>
      <c r="B45" s="2" t="s">
        <v>89</v>
      </c>
      <c r="C45" t="s">
        <v>70</v>
      </c>
      <c r="D45" s="49">
        <f t="shared" si="1"/>
        <v>10152109.52</v>
      </c>
      <c r="E45" s="77"/>
      <c r="F45" s="77"/>
      <c r="G45" s="77"/>
      <c r="H45" s="77"/>
      <c r="I45" s="77">
        <f>3055151.26+7096958.26</f>
        <v>10152109.52</v>
      </c>
      <c r="J45" s="77"/>
      <c r="K45" s="77"/>
      <c r="L45" s="77"/>
      <c r="M45" s="77"/>
      <c r="N45" s="77"/>
      <c r="O45" s="77"/>
      <c r="P45" s="77"/>
      <c r="Q45" s="77"/>
      <c r="R45" s="8">
        <f t="shared" si="2"/>
        <v>0.08789405668415046</v>
      </c>
    </row>
    <row r="46" spans="1:18" ht="12.75">
      <c r="A46" s="2" t="s">
        <v>40</v>
      </c>
      <c r="B46" s="2" t="s">
        <v>67</v>
      </c>
      <c r="C46" t="s">
        <v>69</v>
      </c>
      <c r="D46" s="49">
        <f t="shared" si="1"/>
        <v>19576.74</v>
      </c>
      <c r="E46" s="77"/>
      <c r="F46" s="77"/>
      <c r="G46" s="77"/>
      <c r="H46" s="77"/>
      <c r="I46" s="77">
        <f>19538+38.74</f>
        <v>19576.74</v>
      </c>
      <c r="J46" s="77"/>
      <c r="K46" s="77"/>
      <c r="L46" s="77"/>
      <c r="M46" s="77"/>
      <c r="N46" s="77"/>
      <c r="O46" s="77"/>
      <c r="P46" s="77"/>
      <c r="Q46" s="77"/>
      <c r="R46" s="8">
        <f t="shared" si="2"/>
        <v>0.00016948980818824695</v>
      </c>
    </row>
    <row r="47" spans="1:18" ht="12.75">
      <c r="A47" s="2" t="s">
        <v>40</v>
      </c>
      <c r="B47" s="2" t="s">
        <v>64</v>
      </c>
      <c r="C47" t="s">
        <v>100</v>
      </c>
      <c r="D47" s="49">
        <f t="shared" si="1"/>
        <v>11635</v>
      </c>
      <c r="E47" s="77"/>
      <c r="F47" s="77"/>
      <c r="G47" s="77"/>
      <c r="H47" s="77"/>
      <c r="I47" s="77">
        <f>11635</f>
        <v>11635</v>
      </c>
      <c r="J47" s="77"/>
      <c r="K47" s="77"/>
      <c r="L47" s="77"/>
      <c r="M47" s="77"/>
      <c r="N47" s="77"/>
      <c r="O47" s="77"/>
      <c r="P47" s="77"/>
      <c r="Q47" s="77"/>
      <c r="R47" s="8">
        <f t="shared" si="2"/>
        <v>0.00010073249776368553</v>
      </c>
    </row>
    <row r="48" spans="1:18" ht="12.75">
      <c r="A48" s="2" t="s">
        <v>40</v>
      </c>
      <c r="B48" s="2" t="s">
        <v>64</v>
      </c>
      <c r="C48" t="s">
        <v>127</v>
      </c>
      <c r="D48" s="49">
        <f t="shared" si="1"/>
        <v>725737.93</v>
      </c>
      <c r="E48" s="77"/>
      <c r="F48" s="77"/>
      <c r="G48" s="77"/>
      <c r="H48" s="77"/>
      <c r="I48" s="77">
        <f>725737.93</f>
        <v>725737.93</v>
      </c>
      <c r="J48" s="77"/>
      <c r="K48" s="77"/>
      <c r="L48" s="77"/>
      <c r="M48" s="77"/>
      <c r="N48" s="77"/>
      <c r="O48" s="77"/>
      <c r="P48" s="77"/>
      <c r="Q48" s="77"/>
      <c r="R48" s="8">
        <f t="shared" si="2"/>
        <v>0.006283231148323745</v>
      </c>
    </row>
    <row r="49" spans="1:18" ht="12.75">
      <c r="A49" s="2" t="s">
        <v>42</v>
      </c>
      <c r="B49" s="2" t="s">
        <v>64</v>
      </c>
      <c r="C49" t="s">
        <v>71</v>
      </c>
      <c r="D49" s="49">
        <f t="shared" si="1"/>
        <v>76654.25</v>
      </c>
      <c r="E49" s="77"/>
      <c r="F49" s="77"/>
      <c r="G49" s="77"/>
      <c r="H49" s="77"/>
      <c r="I49" s="77"/>
      <c r="J49" s="77"/>
      <c r="K49" s="77">
        <f>22.31+76631.94</f>
        <v>76654.25</v>
      </c>
      <c r="L49" s="77"/>
      <c r="M49" s="77"/>
      <c r="N49" s="77"/>
      <c r="O49" s="77"/>
      <c r="P49" s="77"/>
      <c r="Q49" s="77"/>
      <c r="R49" s="8">
        <f t="shared" si="2"/>
        <v>0.0006636505429051991</v>
      </c>
    </row>
    <row r="50" spans="1:18" ht="12.75">
      <c r="A50" s="2" t="s">
        <v>43</v>
      </c>
      <c r="B50" s="2" t="s">
        <v>163</v>
      </c>
      <c r="C50" t="s">
        <v>73</v>
      </c>
      <c r="D50" s="49">
        <f t="shared" si="1"/>
        <v>2048475.75</v>
      </c>
      <c r="E50" s="77"/>
      <c r="F50" s="77"/>
      <c r="G50" s="77"/>
      <c r="H50" s="77"/>
      <c r="I50" s="77"/>
      <c r="J50" s="77"/>
      <c r="K50" s="77"/>
      <c r="L50" s="77">
        <f>416037.3+18748.51+1445000+168689.94</f>
        <v>2048475.75</v>
      </c>
      <c r="M50" s="77"/>
      <c r="N50" s="77"/>
      <c r="O50" s="77"/>
      <c r="P50" s="77"/>
      <c r="Q50" s="77"/>
      <c r="R50" s="8">
        <f t="shared" si="2"/>
        <v>0.01773511636491956</v>
      </c>
    </row>
    <row r="51" spans="1:18" ht="12.75">
      <c r="A51" s="2" t="s">
        <v>44</v>
      </c>
      <c r="B51" s="2" t="s">
        <v>67</v>
      </c>
      <c r="C51" t="s">
        <v>74</v>
      </c>
      <c r="D51" s="49">
        <f t="shared" si="1"/>
        <v>282889.15</v>
      </c>
      <c r="E51" s="77"/>
      <c r="F51" s="77"/>
      <c r="G51" s="77"/>
      <c r="H51" s="77"/>
      <c r="I51" s="77"/>
      <c r="J51" s="77"/>
      <c r="K51" s="77"/>
      <c r="L51" s="77"/>
      <c r="M51" s="77">
        <f>6738+276151.15</f>
        <v>282889.15</v>
      </c>
      <c r="N51" s="77"/>
      <c r="O51" s="77"/>
      <c r="P51" s="77"/>
      <c r="Q51" s="77"/>
      <c r="R51" s="8">
        <f t="shared" si="2"/>
        <v>0.0024491732419205763</v>
      </c>
    </row>
    <row r="52" spans="1:18" ht="12.75">
      <c r="A52" s="2" t="s">
        <v>45</v>
      </c>
      <c r="B52" s="2" t="s">
        <v>66</v>
      </c>
      <c r="C52" t="s">
        <v>75</v>
      </c>
      <c r="D52" s="49">
        <f t="shared" si="1"/>
        <v>1130085.3</v>
      </c>
      <c r="E52" s="77"/>
      <c r="F52" s="77"/>
      <c r="G52" s="77"/>
      <c r="H52" s="77"/>
      <c r="I52" s="77"/>
      <c r="J52" s="77"/>
      <c r="K52" s="77"/>
      <c r="L52" s="77"/>
      <c r="M52" s="77"/>
      <c r="N52" s="77">
        <f>1130085.3</f>
        <v>1130085.3</v>
      </c>
      <c r="O52" s="77"/>
      <c r="P52" s="77"/>
      <c r="Q52" s="77"/>
      <c r="R52" s="8">
        <f t="shared" si="2"/>
        <v>0.009783954873659123</v>
      </c>
    </row>
    <row r="53" spans="1:18" ht="12.75">
      <c r="A53" s="2" t="s">
        <v>46</v>
      </c>
      <c r="B53" s="2" t="s">
        <v>161</v>
      </c>
      <c r="C53" t="s">
        <v>76</v>
      </c>
      <c r="D53" s="49">
        <f t="shared" si="1"/>
        <v>9087280.270000001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>
        <f>3934048.32+155249.67+19854.14+272266.19+4412571.21+242030.17+51260.57</f>
        <v>9087280.270000001</v>
      </c>
      <c r="P53" s="77"/>
      <c r="Q53" s="77"/>
      <c r="R53" s="8">
        <f t="shared" si="2"/>
        <v>0.07867507000221391</v>
      </c>
    </row>
    <row r="54" spans="1:18" ht="12.75">
      <c r="A54" s="2" t="s">
        <v>46</v>
      </c>
      <c r="B54" s="2" t="s">
        <v>77</v>
      </c>
      <c r="C54" t="s">
        <v>78</v>
      </c>
      <c r="D54" s="49">
        <f t="shared" si="1"/>
        <v>13575587.900000002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>
        <f>4675318.69+8900269.21</f>
        <v>13575587.900000002</v>
      </c>
      <c r="P54" s="77"/>
      <c r="Q54" s="77"/>
      <c r="R54" s="8">
        <f t="shared" si="2"/>
        <v>0.11753355202212863</v>
      </c>
    </row>
    <row r="55" spans="1:18" ht="12.75">
      <c r="A55" s="2" t="s">
        <v>46</v>
      </c>
      <c r="B55" s="2" t="s">
        <v>64</v>
      </c>
      <c r="C55" t="s">
        <v>128</v>
      </c>
      <c r="D55" s="49">
        <f t="shared" si="1"/>
        <v>113145.11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>
        <f>113145.11</f>
        <v>113145.11</v>
      </c>
      <c r="P55" s="77"/>
      <c r="Q55" s="77"/>
      <c r="R55" s="8">
        <f t="shared" si="2"/>
        <v>0.0009795779578897254</v>
      </c>
    </row>
    <row r="56" spans="1:18" ht="12.75">
      <c r="A56" s="2" t="s">
        <v>47</v>
      </c>
      <c r="B56" s="2" t="s">
        <v>88</v>
      </c>
      <c r="C56" t="s">
        <v>111</v>
      </c>
      <c r="D56" s="49">
        <f t="shared" si="1"/>
        <v>4338589.6899999995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>
        <f>353084+3985505.69</f>
        <v>4338589.6899999995</v>
      </c>
      <c r="Q56" s="77"/>
      <c r="R56" s="8">
        <f t="shared" si="2"/>
        <v>0.03756226697425647</v>
      </c>
    </row>
    <row r="57" spans="1:18" ht="12.75">
      <c r="A57" s="2" t="s">
        <v>47</v>
      </c>
      <c r="B57" s="2" t="s">
        <v>164</v>
      </c>
      <c r="C57" t="s">
        <v>80</v>
      </c>
      <c r="D57" s="49">
        <f t="shared" si="1"/>
        <v>7238876.85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>
        <f>1840149.77+5398727.08</f>
        <v>7238876.85</v>
      </c>
      <c r="Q57" s="77"/>
      <c r="R57" s="8">
        <f t="shared" si="2"/>
        <v>0.0626721225701951</v>
      </c>
    </row>
    <row r="58" spans="1:18" ht="12.75">
      <c r="A58" s="2" t="s">
        <v>47</v>
      </c>
      <c r="B58" s="2" t="s">
        <v>89</v>
      </c>
      <c r="C58" t="s">
        <v>70</v>
      </c>
      <c r="D58" s="49">
        <f t="shared" si="1"/>
        <v>6197486.72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>
        <f>8718.72+308953.71+5742036.62+137777.67</f>
        <v>6197486.72</v>
      </c>
      <c r="Q58" s="77"/>
      <c r="R58" s="8">
        <f t="shared" si="2"/>
        <v>0.053656065076310336</v>
      </c>
    </row>
    <row r="59" spans="1:18" ht="12.75">
      <c r="A59" s="2" t="s">
        <v>47</v>
      </c>
      <c r="B59" s="2" t="s">
        <v>125</v>
      </c>
      <c r="C59" t="s">
        <v>81</v>
      </c>
      <c r="D59" s="49">
        <f t="shared" si="1"/>
        <v>6145370.290000001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>
        <f>251404+1301825.12+28884.54+4273220.73+290035.9</f>
        <v>6145370.290000001</v>
      </c>
      <c r="Q59" s="77"/>
      <c r="R59" s="8">
        <f t="shared" si="2"/>
        <v>0.05320485595139189</v>
      </c>
    </row>
    <row r="60" spans="1:18" ht="12.75">
      <c r="A60" s="2" t="s">
        <v>47</v>
      </c>
      <c r="B60" s="2" t="s">
        <v>72</v>
      </c>
      <c r="C60" t="s">
        <v>166</v>
      </c>
      <c r="D60" s="49">
        <f t="shared" si="1"/>
        <v>209416.4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>
        <f>209416.4</f>
        <v>209416.4</v>
      </c>
      <c r="Q60" s="77"/>
      <c r="R60" s="8">
        <f t="shared" si="2"/>
        <v>0.0018130672148413472</v>
      </c>
    </row>
    <row r="61" spans="1:18" ht="12.75">
      <c r="A61" s="2" t="s">
        <v>47</v>
      </c>
      <c r="B61" s="2" t="s">
        <v>90</v>
      </c>
      <c r="C61" t="s">
        <v>82</v>
      </c>
      <c r="D61" s="49">
        <f t="shared" si="1"/>
        <v>8910500.97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>
        <f>5407128.19+26552+3395388.78+81432</f>
        <v>8910500.97</v>
      </c>
      <c r="Q61" s="77"/>
      <c r="R61" s="8">
        <f t="shared" si="2"/>
        <v>0.07714456545198478</v>
      </c>
    </row>
    <row r="62" spans="1:19" ht="12.75">
      <c r="A62" s="2" t="s">
        <v>47</v>
      </c>
      <c r="B62" s="2" t="s">
        <v>72</v>
      </c>
      <c r="C62" t="s">
        <v>83</v>
      </c>
      <c r="D62" s="49">
        <f t="shared" si="1"/>
        <v>11286612.54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>
        <f>3845755.34+7440857.2</f>
        <v>11286612.54</v>
      </c>
      <c r="Q62" s="77"/>
      <c r="R62" s="8">
        <f t="shared" si="2"/>
        <v>0.09771625891234507</v>
      </c>
      <c r="S62" s="8"/>
    </row>
    <row r="63" spans="1:19" ht="12.75">
      <c r="A63" s="2" t="s">
        <v>47</v>
      </c>
      <c r="B63" s="2" t="s">
        <v>64</v>
      </c>
      <c r="C63" t="s">
        <v>112</v>
      </c>
      <c r="D63" s="49">
        <f t="shared" si="1"/>
        <v>52082.75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>
        <f>29970+22112.75</f>
        <v>52082.75</v>
      </c>
      <c r="Q63" s="77"/>
      <c r="R63" s="8">
        <f t="shared" si="2"/>
        <v>0.00045091753312433115</v>
      </c>
      <c r="S63" s="8"/>
    </row>
    <row r="64" spans="3:18" ht="12.75">
      <c r="C64" s="73" t="s">
        <v>113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6"/>
    </row>
    <row r="65" spans="2:18" s="8" customFormat="1" ht="13.5" thickBot="1">
      <c r="B65" s="67"/>
      <c r="C65" s="68" t="s">
        <v>84</v>
      </c>
      <c r="D65" s="69">
        <f>SUM(E65:Q65)</f>
        <v>1.0000000000000002</v>
      </c>
      <c r="E65" s="70">
        <f>E5/D5</f>
        <v>0.12307473573222057</v>
      </c>
      <c r="F65" s="70">
        <f>F5/D5</f>
        <v>0.009941549762551924</v>
      </c>
      <c r="G65" s="70">
        <f>G5/D5</f>
        <v>0.0009359804826564948</v>
      </c>
      <c r="H65" s="70">
        <f>H5/D5</f>
        <v>0.006796644733395396</v>
      </c>
      <c r="I65" s="70">
        <f>I5/D5</f>
        <v>0.11176466862617422</v>
      </c>
      <c r="J65" s="70">
        <f>J5/D5</f>
        <v>0.0014241002111302506</v>
      </c>
      <c r="K65" s="70">
        <f>K5/D5</f>
        <v>0.000806502817344461</v>
      </c>
      <c r="L65" s="70">
        <f>L5/D5</f>
        <v>0.021564014706901388</v>
      </c>
      <c r="M65" s="70">
        <f>M5/D5</f>
        <v>0.016788452003946318</v>
      </c>
      <c r="N65" s="70">
        <f>N5/D5</f>
        <v>0.014931085519607132</v>
      </c>
      <c r="O65" s="70">
        <f>O5/D5</f>
        <v>0.20404366219164247</v>
      </c>
      <c r="P65" s="70">
        <f>P5/D5</f>
        <v>0.4869173255556475</v>
      </c>
      <c r="Q65" s="70">
        <f>Q5/D5</f>
        <v>0.0010112776567820217</v>
      </c>
      <c r="R65" s="70">
        <f>SUM(R6:R64)</f>
        <v>1.0000000000000002</v>
      </c>
    </row>
    <row r="66" spans="1:18" s="8" customFormat="1" ht="13.5" thickTop="1">
      <c r="A66" s="71"/>
      <c r="C66" s="68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8" ht="12.75">
      <c r="E68" s="8"/>
    </row>
  </sheetData>
  <sheetProtection/>
  <printOptions/>
  <pageMargins left="0" right="0" top="0.25" bottom="0.25" header="0.5" footer="0"/>
  <pageSetup horizontalDpi="600" verticalDpi="600" orientation="landscape" paperSize="5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pane xSplit="3" ySplit="6" topLeftCell="P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47" sqref="P47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9" customWidth="1"/>
    <col min="5" max="5" width="13.7109375" style="49" customWidth="1"/>
    <col min="6" max="6" width="12.7109375" style="49" customWidth="1"/>
    <col min="7" max="8" width="10.7109375" style="49" customWidth="1"/>
    <col min="9" max="9" width="13.7109375" style="49" customWidth="1"/>
    <col min="10" max="10" width="9.7109375" style="49" customWidth="1"/>
    <col min="11" max="13" width="12.7109375" style="49" customWidth="1"/>
    <col min="14" max="16" width="13.7109375" style="49" customWidth="1"/>
    <col min="17" max="17" width="10.7109375" style="49" customWidth="1"/>
    <col min="18" max="18" width="13.7109375" style="49" customWidth="1"/>
    <col min="19" max="19" width="12.7109375" style="8" customWidth="1"/>
    <col min="20" max="20" width="10.28125" style="0" bestFit="1" customWidth="1"/>
  </cols>
  <sheetData>
    <row r="1" ht="12.75">
      <c r="A1" s="48" t="s">
        <v>114</v>
      </c>
    </row>
    <row r="3" spans="1:19" ht="12.75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 t="s">
        <v>130</v>
      </c>
      <c r="S3" s="52" t="s">
        <v>32</v>
      </c>
    </row>
    <row r="4" spans="1:19" ht="12.75">
      <c r="A4" s="53" t="s">
        <v>33</v>
      </c>
      <c r="B4" s="53" t="s">
        <v>34</v>
      </c>
      <c r="C4" s="53" t="s">
        <v>35</v>
      </c>
      <c r="D4" s="54" t="s">
        <v>18</v>
      </c>
      <c r="E4" s="54" t="s">
        <v>36</v>
      </c>
      <c r="F4" s="54" t="s">
        <v>37</v>
      </c>
      <c r="G4" s="54" t="s">
        <v>38</v>
      </c>
      <c r="H4" s="54" t="s">
        <v>39</v>
      </c>
      <c r="I4" s="54" t="s">
        <v>40</v>
      </c>
      <c r="J4" s="54" t="s">
        <v>41</v>
      </c>
      <c r="K4" s="54" t="s">
        <v>42</v>
      </c>
      <c r="L4" s="54" t="s">
        <v>43</v>
      </c>
      <c r="M4" s="54" t="s">
        <v>44</v>
      </c>
      <c r="N4" s="54" t="s">
        <v>45</v>
      </c>
      <c r="O4" s="54" t="s">
        <v>46</v>
      </c>
      <c r="P4" s="54" t="s">
        <v>47</v>
      </c>
      <c r="Q4" s="54" t="s">
        <v>48</v>
      </c>
      <c r="R4" s="54" t="s">
        <v>131</v>
      </c>
      <c r="S4" s="55" t="s">
        <v>49</v>
      </c>
    </row>
    <row r="5" spans="1:19" s="59" customFormat="1" ht="13.5" thickBot="1">
      <c r="A5" s="56"/>
      <c r="B5" s="56"/>
      <c r="C5" s="56" t="s">
        <v>50</v>
      </c>
      <c r="D5" s="57">
        <f>SUM(E5:R5)</f>
        <v>116562004.00999999</v>
      </c>
      <c r="E5" s="57">
        <f aca="true" t="shared" si="0" ref="E5:R5">SUM(E6:E58)</f>
        <v>8552167.09</v>
      </c>
      <c r="F5" s="57">
        <f t="shared" si="0"/>
        <v>756022.15</v>
      </c>
      <c r="G5" s="57">
        <f t="shared" si="0"/>
        <v>108109.43</v>
      </c>
      <c r="H5" s="57">
        <f t="shared" si="0"/>
        <v>741479.39</v>
      </c>
      <c r="I5" s="57">
        <f t="shared" si="0"/>
        <v>11414135.39</v>
      </c>
      <c r="J5" s="57">
        <f t="shared" si="0"/>
        <v>18275</v>
      </c>
      <c r="K5" s="57">
        <f t="shared" si="0"/>
        <v>20281.76</v>
      </c>
      <c r="L5" s="57">
        <f t="shared" si="0"/>
        <v>1693033.26</v>
      </c>
      <c r="M5" s="57">
        <f t="shared" si="0"/>
        <v>1631060.95</v>
      </c>
      <c r="N5" s="57">
        <f t="shared" si="0"/>
        <v>1429427.3</v>
      </c>
      <c r="O5" s="57">
        <f t="shared" si="0"/>
        <v>18382327.119999997</v>
      </c>
      <c r="P5" s="57">
        <f t="shared" si="0"/>
        <v>35091113.72</v>
      </c>
      <c r="Q5" s="57">
        <f t="shared" si="0"/>
        <v>4225</v>
      </c>
      <c r="R5" s="57">
        <f t="shared" si="0"/>
        <v>36720346.449999996</v>
      </c>
      <c r="S5" s="58"/>
    </row>
    <row r="6" spans="1:18" ht="13.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9" ht="12.75">
      <c r="A7" s="61" t="s">
        <v>36</v>
      </c>
      <c r="B7" s="61" t="s">
        <v>85</v>
      </c>
      <c r="C7" s="61" t="s">
        <v>52</v>
      </c>
      <c r="D7" s="49">
        <f aca="true" t="shared" si="1" ref="D7:D56">SUM(E7:Q7)</f>
        <v>2707192.3600000003</v>
      </c>
      <c r="E7" s="63">
        <f>1035205.6+666923.08+1072771.44-67707.76</f>
        <v>2707192.3600000003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8">
        <f aca="true" t="shared" si="2" ref="S7:S38">D7/$D$5</f>
        <v>0.023225341593884636</v>
      </c>
    </row>
    <row r="8" spans="1:19" ht="12.75">
      <c r="A8" s="61" t="s">
        <v>36</v>
      </c>
      <c r="B8" s="61" t="s">
        <v>101</v>
      </c>
      <c r="C8" s="61" t="s">
        <v>55</v>
      </c>
      <c r="D8" s="49">
        <f t="shared" si="1"/>
        <v>724132.58</v>
      </c>
      <c r="E8" s="63">
        <f>67043+5448.27+226417.9+332957+92266.41</f>
        <v>724132.58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8">
        <f t="shared" si="2"/>
        <v>0.006212423903915343</v>
      </c>
    </row>
    <row r="9" spans="1:19" ht="12.75">
      <c r="A9" s="61" t="s">
        <v>37</v>
      </c>
      <c r="B9" s="61" t="s">
        <v>102</v>
      </c>
      <c r="C9" s="61" t="s">
        <v>52</v>
      </c>
      <c r="D9" s="49">
        <f t="shared" si="1"/>
        <v>334000.33999999997</v>
      </c>
      <c r="E9" s="63"/>
      <c r="F9" s="63">
        <f>194790.24+19848.5+113025.1+6336.5</f>
        <v>334000.33999999997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8">
        <f t="shared" si="2"/>
        <v>0.002865430659302543</v>
      </c>
    </row>
    <row r="10" spans="1:19" ht="12.75">
      <c r="A10" s="61" t="s">
        <v>37</v>
      </c>
      <c r="B10" s="61" t="s">
        <v>53</v>
      </c>
      <c r="C10" s="61" t="s">
        <v>57</v>
      </c>
      <c r="D10" s="49">
        <f t="shared" si="1"/>
        <v>282672.15</v>
      </c>
      <c r="E10" s="63"/>
      <c r="F10" s="63">
        <f>157392.63+125279.52</f>
        <v>282672.15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8">
        <f t="shared" si="2"/>
        <v>0.0024250797024367326</v>
      </c>
    </row>
    <row r="11" spans="1:19" ht="12.75">
      <c r="A11" s="61" t="s">
        <v>37</v>
      </c>
      <c r="B11" s="61" t="s">
        <v>103</v>
      </c>
      <c r="C11" s="61" t="s">
        <v>55</v>
      </c>
      <c r="D11" s="49">
        <f t="shared" si="1"/>
        <v>89646.66</v>
      </c>
      <c r="E11" s="63"/>
      <c r="F11" s="63">
        <f>68250.66+20018.2+1377.8</f>
        <v>89646.66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8">
        <f t="shared" si="2"/>
        <v>0.0007690898999326497</v>
      </c>
    </row>
    <row r="12" spans="1:19" ht="12.75">
      <c r="A12" s="61" t="s">
        <v>38</v>
      </c>
      <c r="B12" s="61" t="s">
        <v>56</v>
      </c>
      <c r="C12" s="61" t="s">
        <v>52</v>
      </c>
      <c r="D12" s="49">
        <f t="shared" si="1"/>
        <v>108109.43</v>
      </c>
      <c r="E12" s="63"/>
      <c r="F12" s="63"/>
      <c r="G12" s="63">
        <f>12000+96109.43</f>
        <v>108109.43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8">
        <f t="shared" si="2"/>
        <v>0.0009274843111887915</v>
      </c>
    </row>
    <row r="13" spans="1:19" ht="12.75">
      <c r="A13" s="61" t="s">
        <v>39</v>
      </c>
      <c r="B13" s="61" t="s">
        <v>120</v>
      </c>
      <c r="C13" s="61" t="s">
        <v>52</v>
      </c>
      <c r="D13" s="49">
        <f t="shared" si="1"/>
        <v>441386.39</v>
      </c>
      <c r="E13" s="63"/>
      <c r="F13" s="63"/>
      <c r="G13" s="62"/>
      <c r="H13" s="63">
        <f>37419.65+185050.8+33664.04+185251.9</f>
        <v>441386.39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8">
        <f t="shared" si="2"/>
        <v>0.003786709003065295</v>
      </c>
    </row>
    <row r="14" spans="1:19" ht="12.75">
      <c r="A14" s="61" t="s">
        <v>39</v>
      </c>
      <c r="B14" s="61" t="s">
        <v>61</v>
      </c>
      <c r="C14" s="61" t="s">
        <v>87</v>
      </c>
      <c r="D14" s="49">
        <f t="shared" si="1"/>
        <v>93</v>
      </c>
      <c r="E14" s="63"/>
      <c r="F14" s="63"/>
      <c r="G14" s="62"/>
      <c r="H14" s="63">
        <f>93</f>
        <v>93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8">
        <f t="shared" si="2"/>
        <v>7.978586228838466E-07</v>
      </c>
    </row>
    <row r="15" spans="1:19" ht="12.75">
      <c r="A15" s="61" t="s">
        <v>39</v>
      </c>
      <c r="B15" s="61" t="s">
        <v>59</v>
      </c>
      <c r="C15" s="61" t="s">
        <v>55</v>
      </c>
      <c r="D15" s="49">
        <f t="shared" si="1"/>
        <v>300000</v>
      </c>
      <c r="E15" s="63"/>
      <c r="F15" s="63"/>
      <c r="G15" s="62"/>
      <c r="H15" s="63">
        <f>300000</f>
        <v>300000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8">
        <f t="shared" si="2"/>
        <v>0.002573737493173699</v>
      </c>
    </row>
    <row r="16" spans="1:19" ht="12.75">
      <c r="A16" s="61" t="s">
        <v>40</v>
      </c>
      <c r="B16" s="61" t="s">
        <v>104</v>
      </c>
      <c r="C16" s="61" t="s">
        <v>52</v>
      </c>
      <c r="D16" s="49">
        <f t="shared" si="1"/>
        <v>911090.76</v>
      </c>
      <c r="E16" s="63"/>
      <c r="F16" s="63"/>
      <c r="G16" s="62"/>
      <c r="H16" s="63"/>
      <c r="I16" s="63">
        <f>84332.3+240381.96-124694.5+212+298182.03+412676.97</f>
        <v>911090.76</v>
      </c>
      <c r="J16" s="62"/>
      <c r="K16" s="62"/>
      <c r="L16" s="62"/>
      <c r="M16" s="62"/>
      <c r="N16" s="62"/>
      <c r="O16" s="62"/>
      <c r="P16" s="62"/>
      <c r="Q16" s="62"/>
      <c r="R16" s="62"/>
      <c r="S16" s="8">
        <f t="shared" si="2"/>
        <v>0.007816361495653734</v>
      </c>
    </row>
    <row r="17" spans="1:19" ht="12.75">
      <c r="A17" s="61" t="s">
        <v>41</v>
      </c>
      <c r="B17" s="61" t="s">
        <v>123</v>
      </c>
      <c r="C17" s="61" t="s">
        <v>55</v>
      </c>
      <c r="D17" s="49">
        <f t="shared" si="1"/>
        <v>18275</v>
      </c>
      <c r="E17" s="63"/>
      <c r="F17" s="63"/>
      <c r="G17" s="62"/>
      <c r="H17" s="63"/>
      <c r="I17" s="63"/>
      <c r="J17" s="62">
        <f>18275</f>
        <v>18275</v>
      </c>
      <c r="K17" s="62"/>
      <c r="L17" s="62"/>
      <c r="M17" s="62"/>
      <c r="N17" s="62"/>
      <c r="O17" s="62"/>
      <c r="P17" s="62"/>
      <c r="Q17" s="62"/>
      <c r="R17" s="62"/>
      <c r="S17" s="8">
        <f t="shared" si="2"/>
        <v>0.0001567835089591645</v>
      </c>
    </row>
    <row r="18" spans="1:19" ht="12.75">
      <c r="A18" s="61" t="s">
        <v>42</v>
      </c>
      <c r="B18" s="61" t="s">
        <v>54</v>
      </c>
      <c r="C18" s="61" t="s">
        <v>58</v>
      </c>
      <c r="D18" s="49">
        <f t="shared" si="1"/>
        <v>16500</v>
      </c>
      <c r="E18" s="63"/>
      <c r="F18" s="63"/>
      <c r="G18" s="62"/>
      <c r="H18" s="63"/>
      <c r="I18" s="62"/>
      <c r="J18" s="63"/>
      <c r="K18" s="63">
        <f>16500</f>
        <v>16500</v>
      </c>
      <c r="L18" s="62"/>
      <c r="M18" s="62"/>
      <c r="N18" s="62"/>
      <c r="O18" s="62"/>
      <c r="P18" s="62"/>
      <c r="Q18" s="62"/>
      <c r="R18" s="62"/>
      <c r="S18" s="8">
        <f t="shared" si="2"/>
        <v>0.00014155556212455344</v>
      </c>
    </row>
    <row r="19" spans="1:19" ht="12.75">
      <c r="A19" s="61" t="s">
        <v>43</v>
      </c>
      <c r="B19" s="61" t="s">
        <v>105</v>
      </c>
      <c r="C19" s="61" t="s">
        <v>52</v>
      </c>
      <c r="D19" s="49">
        <f t="shared" si="1"/>
        <v>249830.24</v>
      </c>
      <c r="E19" s="63"/>
      <c r="F19" s="63"/>
      <c r="G19" s="62"/>
      <c r="H19" s="63"/>
      <c r="I19" s="62"/>
      <c r="J19" s="63"/>
      <c r="K19" s="63"/>
      <c r="L19" s="63">
        <f>7000+179353.1+24948+164179.02-127025.1+1375.22</f>
        <v>249830.24</v>
      </c>
      <c r="M19" s="62"/>
      <c r="N19" s="62"/>
      <c r="O19" s="62"/>
      <c r="P19" s="62"/>
      <c r="Q19" s="62"/>
      <c r="R19" s="62"/>
      <c r="S19" s="8">
        <f t="shared" si="2"/>
        <v>0.002143324852055278</v>
      </c>
    </row>
    <row r="20" spans="1:19" ht="12.75">
      <c r="A20" s="61" t="s">
        <v>43</v>
      </c>
      <c r="B20" s="61" t="s">
        <v>51</v>
      </c>
      <c r="C20" s="61" t="s">
        <v>119</v>
      </c>
      <c r="D20" s="49">
        <f t="shared" si="1"/>
        <v>12882.48</v>
      </c>
      <c r="E20" s="63"/>
      <c r="F20" s="63"/>
      <c r="G20" s="62"/>
      <c r="H20" s="63"/>
      <c r="I20" s="62"/>
      <c r="J20" s="63"/>
      <c r="K20" s="63"/>
      <c r="L20" s="63">
        <f>12882.48</f>
        <v>12882.48</v>
      </c>
      <c r="M20" s="62"/>
      <c r="N20" s="62"/>
      <c r="O20" s="62"/>
      <c r="P20" s="62"/>
      <c r="Q20" s="62"/>
      <c r="R20" s="62"/>
      <c r="S20" s="8">
        <f t="shared" si="2"/>
        <v>0.0001105204059368677</v>
      </c>
    </row>
    <row r="21" spans="1:19" ht="12.75">
      <c r="A21" s="61" t="s">
        <v>44</v>
      </c>
      <c r="B21" s="61" t="s">
        <v>56</v>
      </c>
      <c r="C21" s="61" t="s">
        <v>52</v>
      </c>
      <c r="D21" s="49">
        <f t="shared" si="1"/>
        <v>227353.5</v>
      </c>
      <c r="E21" s="63"/>
      <c r="F21" s="62"/>
      <c r="G21" s="62"/>
      <c r="H21" s="62"/>
      <c r="I21" s="62"/>
      <c r="J21" s="62"/>
      <c r="K21" s="62"/>
      <c r="L21" s="63"/>
      <c r="M21" s="63">
        <f>77049+10516.4+82340+57448.1</f>
        <v>227353.5</v>
      </c>
      <c r="N21" s="62"/>
      <c r="O21" s="62"/>
      <c r="P21" s="62"/>
      <c r="Q21" s="62"/>
      <c r="R21" s="62"/>
      <c r="S21" s="8">
        <f t="shared" si="2"/>
        <v>0.0019504940905142217</v>
      </c>
    </row>
    <row r="22" spans="1:19" ht="12.75">
      <c r="A22" s="61" t="s">
        <v>44</v>
      </c>
      <c r="B22" s="61" t="s">
        <v>59</v>
      </c>
      <c r="C22" s="61" t="s">
        <v>60</v>
      </c>
      <c r="D22" s="49">
        <f t="shared" si="1"/>
        <v>1293740.45</v>
      </c>
      <c r="E22" s="63"/>
      <c r="F22" s="62"/>
      <c r="G22" s="62"/>
      <c r="H22" s="62"/>
      <c r="I22" s="62"/>
      <c r="J22" s="62"/>
      <c r="K22" s="62"/>
      <c r="L22" s="63"/>
      <c r="M22" s="63">
        <f>1164177.98+129562.47</f>
        <v>1293740.45</v>
      </c>
      <c r="N22" s="62"/>
      <c r="O22" s="62"/>
      <c r="P22" s="62"/>
      <c r="Q22" s="62"/>
      <c r="R22" s="62"/>
      <c r="S22" s="8">
        <f t="shared" si="2"/>
        <v>0.011099161008668043</v>
      </c>
    </row>
    <row r="23" spans="1:19" ht="12.75">
      <c r="A23" s="61" t="s">
        <v>44</v>
      </c>
      <c r="B23" s="61" t="s">
        <v>61</v>
      </c>
      <c r="C23" s="61" t="s">
        <v>55</v>
      </c>
      <c r="D23" s="49">
        <f t="shared" si="1"/>
        <v>103229</v>
      </c>
      <c r="E23" s="63"/>
      <c r="F23" s="62"/>
      <c r="G23" s="62"/>
      <c r="H23" s="62"/>
      <c r="I23" s="62"/>
      <c r="J23" s="62"/>
      <c r="K23" s="62"/>
      <c r="L23" s="63"/>
      <c r="M23" s="63">
        <f>103229</f>
        <v>103229</v>
      </c>
      <c r="N23" s="62"/>
      <c r="O23" s="62"/>
      <c r="P23" s="62"/>
      <c r="Q23" s="62"/>
      <c r="R23" s="62"/>
      <c r="S23" s="8">
        <f t="shared" si="2"/>
        <v>0.0008856144922760925</v>
      </c>
    </row>
    <row r="24" spans="1:19" ht="12.75">
      <c r="A24" s="61" t="s">
        <v>45</v>
      </c>
      <c r="B24" s="61" t="s">
        <v>51</v>
      </c>
      <c r="C24" s="61" t="s">
        <v>55</v>
      </c>
      <c r="D24" s="49">
        <f t="shared" si="1"/>
        <v>35000</v>
      </c>
      <c r="E24" s="63"/>
      <c r="F24" s="62"/>
      <c r="G24" s="62"/>
      <c r="H24" s="62"/>
      <c r="I24" s="62"/>
      <c r="J24" s="62"/>
      <c r="K24" s="62"/>
      <c r="L24" s="63"/>
      <c r="M24" s="63"/>
      <c r="N24" s="63">
        <f>35000</f>
        <v>35000</v>
      </c>
      <c r="O24" s="62"/>
      <c r="P24" s="62"/>
      <c r="Q24" s="62"/>
      <c r="R24" s="62"/>
      <c r="S24" s="8">
        <f t="shared" si="2"/>
        <v>0.0003002693742035982</v>
      </c>
    </row>
    <row r="25" spans="1:19" ht="12.75">
      <c r="A25" s="61" t="s">
        <v>45</v>
      </c>
      <c r="B25" s="61" t="s">
        <v>118</v>
      </c>
      <c r="C25" s="61" t="s">
        <v>52</v>
      </c>
      <c r="D25" s="49">
        <f t="shared" si="1"/>
        <v>264342</v>
      </c>
      <c r="E25" s="63"/>
      <c r="F25" s="62"/>
      <c r="G25" s="62"/>
      <c r="H25" s="62"/>
      <c r="I25" s="62"/>
      <c r="J25" s="62"/>
      <c r="K25" s="62"/>
      <c r="L25" s="63"/>
      <c r="M25" s="63"/>
      <c r="N25" s="63">
        <f>264342</f>
        <v>264342</v>
      </c>
      <c r="O25" s="62"/>
      <c r="P25" s="62"/>
      <c r="Q25" s="62"/>
      <c r="R25" s="62"/>
      <c r="S25" s="8">
        <f t="shared" si="2"/>
        <v>0.002267823054735073</v>
      </c>
    </row>
    <row r="26" spans="1:19" ht="12.75">
      <c r="A26" s="61" t="s">
        <v>46</v>
      </c>
      <c r="B26" s="61" t="s">
        <v>122</v>
      </c>
      <c r="C26" s="61" t="s">
        <v>52</v>
      </c>
      <c r="D26" s="49">
        <f t="shared" si="1"/>
        <v>740298.0700000001</v>
      </c>
      <c r="E26" s="63"/>
      <c r="F26" s="62"/>
      <c r="G26" s="62"/>
      <c r="H26" s="62"/>
      <c r="I26" s="62"/>
      <c r="J26" s="62"/>
      <c r="K26" s="62"/>
      <c r="L26" s="63"/>
      <c r="M26" s="63"/>
      <c r="N26" s="63"/>
      <c r="O26" s="63">
        <f>248700.5+480764.53+10833.04</f>
        <v>740298.0700000001</v>
      </c>
      <c r="P26" s="62"/>
      <c r="Q26" s="62"/>
      <c r="R26" s="62"/>
      <c r="S26" s="8">
        <f t="shared" si="2"/>
        <v>0.006351109662943759</v>
      </c>
    </row>
    <row r="27" spans="1:19" ht="12.75">
      <c r="A27" s="61" t="s">
        <v>47</v>
      </c>
      <c r="B27" s="61" t="s">
        <v>106</v>
      </c>
      <c r="C27" s="61" t="s">
        <v>52</v>
      </c>
      <c r="D27" s="49">
        <f t="shared" si="1"/>
        <v>921263.9199999999</v>
      </c>
      <c r="E27" s="63"/>
      <c r="F27" s="62"/>
      <c r="G27" s="62"/>
      <c r="H27" s="62"/>
      <c r="I27" s="62"/>
      <c r="J27" s="62"/>
      <c r="K27" s="62"/>
      <c r="L27" s="63"/>
      <c r="M27" s="63"/>
      <c r="N27" s="63"/>
      <c r="O27" s="62"/>
      <c r="P27" s="63">
        <f>1800+5869.82+3981.1+328678+580935</f>
        <v>921263.9199999999</v>
      </c>
      <c r="Q27" s="62"/>
      <c r="R27" s="62"/>
      <c r="S27" s="8">
        <f t="shared" si="2"/>
        <v>0.00790363830670725</v>
      </c>
    </row>
    <row r="28" spans="1:19" ht="12.75">
      <c r="A28" s="61" t="s">
        <v>47</v>
      </c>
      <c r="B28" s="61" t="s">
        <v>107</v>
      </c>
      <c r="C28" s="61" t="s">
        <v>86</v>
      </c>
      <c r="D28" s="49">
        <f t="shared" si="1"/>
        <v>5038842.63</v>
      </c>
      <c r="E28" s="63"/>
      <c r="F28" s="62"/>
      <c r="G28" s="62"/>
      <c r="H28" s="62"/>
      <c r="I28" s="62"/>
      <c r="J28" s="62"/>
      <c r="K28" s="62"/>
      <c r="L28" s="63"/>
      <c r="M28" s="63"/>
      <c r="N28" s="63"/>
      <c r="O28" s="62"/>
      <c r="P28" s="63">
        <f>1490667.33+12600+3534434.3+1141</f>
        <v>5038842.63</v>
      </c>
      <c r="Q28" s="62"/>
      <c r="R28" s="62"/>
      <c r="S28" s="8">
        <f t="shared" si="2"/>
        <v>0.043228860663443225</v>
      </c>
    </row>
    <row r="29" spans="1:19" ht="12.75">
      <c r="A29" s="61" t="s">
        <v>47</v>
      </c>
      <c r="B29" s="61" t="s">
        <v>53</v>
      </c>
      <c r="C29" s="61" t="s">
        <v>121</v>
      </c>
      <c r="D29" s="49">
        <f t="shared" si="1"/>
        <v>1759464.78</v>
      </c>
      <c r="E29" s="63"/>
      <c r="F29" s="62"/>
      <c r="G29" s="62"/>
      <c r="H29" s="62"/>
      <c r="I29" s="62"/>
      <c r="J29" s="62"/>
      <c r="K29" s="62"/>
      <c r="L29" s="63"/>
      <c r="M29" s="63"/>
      <c r="N29" s="63"/>
      <c r="O29" s="62"/>
      <c r="P29" s="63">
        <f>1759464.78</f>
        <v>1759464.78</v>
      </c>
      <c r="Q29" s="62"/>
      <c r="R29" s="62"/>
      <c r="S29" s="8">
        <f t="shared" si="2"/>
        <v>0.015094668240682046</v>
      </c>
    </row>
    <row r="30" spans="1:20" ht="12.75">
      <c r="A30" s="61" t="s">
        <v>48</v>
      </c>
      <c r="B30" s="61" t="s">
        <v>124</v>
      </c>
      <c r="C30" s="61" t="s">
        <v>55</v>
      </c>
      <c r="D30" s="49">
        <f t="shared" si="1"/>
        <v>4225</v>
      </c>
      <c r="E30" s="63"/>
      <c r="F30" s="62"/>
      <c r="G30" s="62"/>
      <c r="H30" s="62"/>
      <c r="I30" s="62"/>
      <c r="J30" s="62"/>
      <c r="K30" s="62"/>
      <c r="L30" s="63"/>
      <c r="M30" s="63"/>
      <c r="N30" s="63"/>
      <c r="O30" s="62"/>
      <c r="P30" s="63"/>
      <c r="Q30" s="63">
        <f>3391+834</f>
        <v>4225</v>
      </c>
      <c r="R30" s="63"/>
      <c r="S30" s="8">
        <f t="shared" si="2"/>
        <v>3.624680302886293E-05</v>
      </c>
      <c r="T30" s="8">
        <f>SUM(S7:S30)</f>
        <v>0.14227252594745435</v>
      </c>
    </row>
    <row r="31" spans="1:19" ht="12.75">
      <c r="A31" s="2" t="s">
        <v>36</v>
      </c>
      <c r="B31" s="2" t="s">
        <v>62</v>
      </c>
      <c r="C31" t="s">
        <v>63</v>
      </c>
      <c r="D31" s="49">
        <f t="shared" si="1"/>
        <v>337235.04999999993</v>
      </c>
      <c r="E31" s="49">
        <f>1212.12+245500.96+229176.14-138654.17</f>
        <v>337235.04999999993</v>
      </c>
      <c r="S31" s="8">
        <f t="shared" si="2"/>
        <v>0.002893181640657689</v>
      </c>
    </row>
    <row r="32" spans="1:19" ht="12.75">
      <c r="A32" s="2" t="s">
        <v>36</v>
      </c>
      <c r="B32" s="2" t="s">
        <v>64</v>
      </c>
      <c r="C32" s="64" t="s">
        <v>65</v>
      </c>
      <c r="D32" s="49">
        <f t="shared" si="1"/>
        <v>162538.72999999998</v>
      </c>
      <c r="E32" s="49">
        <f>146679.55+15859.18</f>
        <v>162538.72999999998</v>
      </c>
      <c r="S32" s="8">
        <f t="shared" si="2"/>
        <v>0.0013944400783127888</v>
      </c>
    </row>
    <row r="33" spans="1:19" ht="12.75">
      <c r="A33" s="2" t="s">
        <v>36</v>
      </c>
      <c r="B33" s="2" t="s">
        <v>66</v>
      </c>
      <c r="C33" s="64" t="s">
        <v>65</v>
      </c>
      <c r="D33" s="49">
        <f t="shared" si="1"/>
        <v>1085598.76</v>
      </c>
      <c r="E33" s="49">
        <f>378504.55+707094.21</f>
        <v>1085598.76</v>
      </c>
      <c r="S33" s="8">
        <f t="shared" si="2"/>
        <v>0.009313487437182919</v>
      </c>
    </row>
    <row r="34" spans="1:19" ht="12.75">
      <c r="A34" s="2" t="s">
        <v>36</v>
      </c>
      <c r="B34" s="2" t="s">
        <v>88</v>
      </c>
      <c r="C34" s="64" t="s">
        <v>65</v>
      </c>
      <c r="D34" s="49">
        <f t="shared" si="1"/>
        <v>458717.69</v>
      </c>
      <c r="E34" s="49">
        <f>4492.79+454224.9</f>
        <v>458717.69</v>
      </c>
      <c r="S34" s="8">
        <f t="shared" si="2"/>
        <v>0.003935396391783433</v>
      </c>
    </row>
    <row r="35" spans="1:19" ht="12.75">
      <c r="A35" s="2" t="s">
        <v>36</v>
      </c>
      <c r="B35" s="2" t="s">
        <v>88</v>
      </c>
      <c r="C35" s="64" t="s">
        <v>108</v>
      </c>
      <c r="D35" s="49">
        <f t="shared" si="1"/>
        <v>250000</v>
      </c>
      <c r="E35" s="49">
        <f>250000</f>
        <v>250000</v>
      </c>
      <c r="S35" s="8">
        <f t="shared" si="2"/>
        <v>0.002144781244311416</v>
      </c>
    </row>
    <row r="36" spans="1:19" ht="12.75">
      <c r="A36" s="2" t="s">
        <v>36</v>
      </c>
      <c r="B36" s="2" t="s">
        <v>67</v>
      </c>
      <c r="C36" t="s">
        <v>68</v>
      </c>
      <c r="D36" s="49">
        <f t="shared" si="1"/>
        <v>2826751.92</v>
      </c>
      <c r="E36" s="49">
        <f>2826751.92</f>
        <v>2826751.92</v>
      </c>
      <c r="S36" s="8">
        <f t="shared" si="2"/>
        <v>0.02425105800134913</v>
      </c>
    </row>
    <row r="37" spans="1:19" ht="12.75">
      <c r="A37" s="2" t="s">
        <v>37</v>
      </c>
      <c r="B37" s="2" t="s">
        <v>64</v>
      </c>
      <c r="C37" s="64" t="s">
        <v>126</v>
      </c>
      <c r="D37" s="49">
        <f t="shared" si="1"/>
        <v>49703</v>
      </c>
      <c r="F37" s="49">
        <f>49703</f>
        <v>49703</v>
      </c>
      <c r="S37" s="8">
        <f t="shared" si="2"/>
        <v>0.0004264082487440412</v>
      </c>
    </row>
    <row r="38" spans="1:19" ht="12.75">
      <c r="A38" s="2" t="s">
        <v>40</v>
      </c>
      <c r="B38" s="2" t="s">
        <v>64</v>
      </c>
      <c r="C38" t="s">
        <v>109</v>
      </c>
      <c r="D38" s="49">
        <f t="shared" si="1"/>
        <v>10612.55</v>
      </c>
      <c r="I38" s="49">
        <f>10612.55</f>
        <v>10612.55</v>
      </c>
      <c r="S38" s="8">
        <f t="shared" si="2"/>
        <v>9.104639277726846E-05</v>
      </c>
    </row>
    <row r="39" spans="1:19" ht="12.75">
      <c r="A39" s="2" t="s">
        <v>40</v>
      </c>
      <c r="B39" s="2" t="s">
        <v>89</v>
      </c>
      <c r="C39" t="s">
        <v>70</v>
      </c>
      <c r="D39" s="49">
        <f t="shared" si="1"/>
        <v>9735482.41</v>
      </c>
      <c r="I39" s="49">
        <f>3055151.26+6680331.15</f>
        <v>9735482.41</v>
      </c>
      <c r="S39" s="8">
        <f aca="true" t="shared" si="3" ref="S39:S57">D39/$D$5</f>
        <v>0.0835219203091668</v>
      </c>
    </row>
    <row r="40" spans="1:19" ht="12.75">
      <c r="A40" s="2" t="s">
        <v>40</v>
      </c>
      <c r="B40" s="2" t="s">
        <v>67</v>
      </c>
      <c r="C40" t="s">
        <v>69</v>
      </c>
      <c r="D40" s="49">
        <f t="shared" si="1"/>
        <v>19576.74</v>
      </c>
      <c r="I40" s="49">
        <f>19538+38.74</f>
        <v>19576.74</v>
      </c>
      <c r="S40" s="8">
        <f t="shared" si="3"/>
        <v>0.00016795129910704426</v>
      </c>
    </row>
    <row r="41" spans="1:19" ht="12.75">
      <c r="A41" s="2" t="s">
        <v>40</v>
      </c>
      <c r="B41" s="2" t="s">
        <v>64</v>
      </c>
      <c r="C41" t="s">
        <v>100</v>
      </c>
      <c r="D41" s="49">
        <f t="shared" si="1"/>
        <v>11635</v>
      </c>
      <c r="I41" s="49">
        <f>11635</f>
        <v>11635</v>
      </c>
      <c r="S41" s="8">
        <f t="shared" si="3"/>
        <v>9.981811911025329E-05</v>
      </c>
    </row>
    <row r="42" spans="1:19" ht="12.75">
      <c r="A42" s="2" t="s">
        <v>40</v>
      </c>
      <c r="B42" s="2" t="s">
        <v>64</v>
      </c>
      <c r="C42" t="s">
        <v>127</v>
      </c>
      <c r="D42" s="49">
        <f t="shared" si="1"/>
        <v>725737.93</v>
      </c>
      <c r="I42" s="49">
        <f>725737.93</f>
        <v>725737.93</v>
      </c>
      <c r="S42" s="8">
        <f t="shared" si="3"/>
        <v>0.006226196402197565</v>
      </c>
    </row>
    <row r="43" spans="1:19" ht="12.75">
      <c r="A43" s="2" t="s">
        <v>42</v>
      </c>
      <c r="B43" s="2" t="s">
        <v>64</v>
      </c>
      <c r="C43" t="s">
        <v>71</v>
      </c>
      <c r="D43" s="49">
        <f t="shared" si="1"/>
        <v>3781.7599999999998</v>
      </c>
      <c r="K43" s="49">
        <f>22.31+3759.45</f>
        <v>3781.7599999999998</v>
      </c>
      <c r="S43" s="8">
        <f t="shared" si="3"/>
        <v>3.244419167394855E-05</v>
      </c>
    </row>
    <row r="44" spans="1:19" ht="12.75">
      <c r="A44" s="2" t="s">
        <v>43</v>
      </c>
      <c r="B44" s="2" t="s">
        <v>62</v>
      </c>
      <c r="C44" t="s">
        <v>73</v>
      </c>
      <c r="D44" s="49">
        <f t="shared" si="1"/>
        <v>1430320.54</v>
      </c>
      <c r="L44" s="49">
        <f>416037.3+845593.3+168689.94</f>
        <v>1430320.54</v>
      </c>
      <c r="S44" s="8">
        <f t="shared" si="3"/>
        <v>0.012270898670181505</v>
      </c>
    </row>
    <row r="45" spans="1:19" ht="12.75">
      <c r="A45" s="2" t="s">
        <v>44</v>
      </c>
      <c r="B45" s="2" t="s">
        <v>67</v>
      </c>
      <c r="C45" t="s">
        <v>74</v>
      </c>
      <c r="D45" s="49">
        <f t="shared" si="1"/>
        <v>6738</v>
      </c>
      <c r="M45" s="49">
        <f>6738</f>
        <v>6738</v>
      </c>
      <c r="S45" s="8">
        <f t="shared" si="3"/>
        <v>5.780614409668127E-05</v>
      </c>
    </row>
    <row r="46" spans="1:19" ht="12.75">
      <c r="A46" s="2" t="s">
        <v>45</v>
      </c>
      <c r="B46" s="2" t="s">
        <v>66</v>
      </c>
      <c r="C46" t="s">
        <v>75</v>
      </c>
      <c r="D46" s="49">
        <f t="shared" si="1"/>
        <v>1130085.3</v>
      </c>
      <c r="N46" s="49">
        <f>1130085.3</f>
        <v>1130085.3</v>
      </c>
      <c r="S46" s="8">
        <f t="shared" si="3"/>
        <v>0.009695143023648158</v>
      </c>
    </row>
    <row r="47" spans="1:19" ht="12.75">
      <c r="A47" s="2" t="s">
        <v>46</v>
      </c>
      <c r="B47" s="2" t="s">
        <v>110</v>
      </c>
      <c r="C47" t="s">
        <v>76</v>
      </c>
      <c r="D47" s="49">
        <f t="shared" si="1"/>
        <v>7727056.2299999995</v>
      </c>
      <c r="O47" s="49">
        <f>3934048.32+155249.67+19854.14+3617206.39+188.11+509.6</f>
        <v>7727056.2299999995</v>
      </c>
      <c r="S47" s="8">
        <f t="shared" si="3"/>
        <v>0.06629138110337471</v>
      </c>
    </row>
    <row r="48" spans="1:19" ht="12.75">
      <c r="A48" s="2" t="s">
        <v>46</v>
      </c>
      <c r="B48" s="2" t="s">
        <v>77</v>
      </c>
      <c r="C48" t="s">
        <v>78</v>
      </c>
      <c r="D48" s="49">
        <f t="shared" si="1"/>
        <v>9856481.99</v>
      </c>
      <c r="O48" s="49">
        <f>4675318.69+5181163.3</f>
        <v>9856481.99</v>
      </c>
      <c r="S48" s="8">
        <f t="shared" si="3"/>
        <v>0.08455999082818104</v>
      </c>
    </row>
    <row r="49" spans="1:19" ht="12.75">
      <c r="A49" s="2" t="s">
        <v>46</v>
      </c>
      <c r="B49" s="2" t="s">
        <v>64</v>
      </c>
      <c r="C49" t="s">
        <v>128</v>
      </c>
      <c r="D49" s="49">
        <f t="shared" si="1"/>
        <v>58490.83</v>
      </c>
      <c r="O49" s="49">
        <f>58490.83</f>
        <v>58490.83</v>
      </c>
      <c r="S49" s="8">
        <f t="shared" si="3"/>
        <v>0.00050180014059283</v>
      </c>
    </row>
    <row r="50" spans="1:19" ht="12.75">
      <c r="A50" s="2" t="s">
        <v>47</v>
      </c>
      <c r="B50" s="2" t="s">
        <v>88</v>
      </c>
      <c r="C50" t="s">
        <v>111</v>
      </c>
      <c r="D50" s="49">
        <f t="shared" si="1"/>
        <v>2619309.05</v>
      </c>
      <c r="P50" s="49">
        <f>353084+2266225.05</f>
        <v>2619309.05</v>
      </c>
      <c r="S50" s="8">
        <f t="shared" si="3"/>
        <v>0.022471379693980605</v>
      </c>
    </row>
    <row r="51" spans="1:19" ht="12.75">
      <c r="A51" s="2" t="s">
        <v>47</v>
      </c>
      <c r="B51" s="2" t="s">
        <v>79</v>
      </c>
      <c r="C51" t="s">
        <v>80</v>
      </c>
      <c r="D51" s="49">
        <f t="shared" si="1"/>
        <v>5808501.71</v>
      </c>
      <c r="P51" s="49">
        <f>1840149.77+3968351.94</f>
        <v>5808501.71</v>
      </c>
      <c r="S51" s="8">
        <f t="shared" si="3"/>
        <v>0.049831862100635144</v>
      </c>
    </row>
    <row r="52" spans="1:19" ht="12.75">
      <c r="A52" s="2" t="s">
        <v>47</v>
      </c>
      <c r="B52" s="2" t="s">
        <v>89</v>
      </c>
      <c r="C52" t="s">
        <v>70</v>
      </c>
      <c r="D52" s="49">
        <f t="shared" si="1"/>
        <v>1740531.01</v>
      </c>
      <c r="P52" s="49">
        <f>8718.72+308953.71+1356101.04+66757.54</f>
        <v>1740531.01</v>
      </c>
      <c r="S52" s="8">
        <f t="shared" si="3"/>
        <v>0.01493223306156162</v>
      </c>
    </row>
    <row r="53" spans="1:19" ht="12.75">
      <c r="A53" s="2" t="s">
        <v>47</v>
      </c>
      <c r="B53" s="2" t="s">
        <v>125</v>
      </c>
      <c r="C53" t="s">
        <v>81</v>
      </c>
      <c r="D53" s="49">
        <f t="shared" si="1"/>
        <v>2701602.57</v>
      </c>
      <c r="P53" s="49">
        <f>251404+1301825.12+4992.54+853345.01+290035.9</f>
        <v>2701602.57</v>
      </c>
      <c r="S53" s="8">
        <f t="shared" si="3"/>
        <v>0.023177386086878072</v>
      </c>
    </row>
    <row r="54" spans="1:19" ht="12.75">
      <c r="A54" s="2" t="s">
        <v>47</v>
      </c>
      <c r="B54" s="2" t="s">
        <v>90</v>
      </c>
      <c r="C54" t="s">
        <v>82</v>
      </c>
      <c r="D54" s="49">
        <f t="shared" si="1"/>
        <v>7662211.5</v>
      </c>
      <c r="P54" s="49">
        <f>5407128.19+26552+2147099.31+81432</f>
        <v>7662211.5</v>
      </c>
      <c r="S54" s="8">
        <f t="shared" si="3"/>
        <v>0.06573507006058896</v>
      </c>
    </row>
    <row r="55" spans="1:20" ht="12.75">
      <c r="A55" s="2" t="s">
        <v>47</v>
      </c>
      <c r="B55" s="2" t="s">
        <v>72</v>
      </c>
      <c r="C55" t="s">
        <v>83</v>
      </c>
      <c r="D55" s="49">
        <f t="shared" si="1"/>
        <v>6800683.55</v>
      </c>
      <c r="P55" s="49">
        <f>3845755.34+2954928.21</f>
        <v>6800683.55</v>
      </c>
      <c r="S55" s="8">
        <f t="shared" si="3"/>
        <v>0.0583439141061487</v>
      </c>
      <c r="T55" s="8"/>
    </row>
    <row r="56" spans="1:20" ht="12.75">
      <c r="A56" s="2" t="s">
        <v>47</v>
      </c>
      <c r="B56" s="2" t="s">
        <v>64</v>
      </c>
      <c r="C56" t="s">
        <v>112</v>
      </c>
      <c r="D56" s="49">
        <f t="shared" si="1"/>
        <v>38703</v>
      </c>
      <c r="P56" s="49">
        <f>29970+8733</f>
        <v>38703</v>
      </c>
      <c r="S56" s="8">
        <f t="shared" si="3"/>
        <v>0.0003320378739943389</v>
      </c>
      <c r="T56" s="8"/>
    </row>
    <row r="57" spans="1:20" ht="12.75">
      <c r="A57" s="2"/>
      <c r="B57" s="2"/>
      <c r="C57" t="s">
        <v>129</v>
      </c>
      <c r="D57" s="49">
        <f>SUM(E57:R57)</f>
        <v>36720346.449999996</v>
      </c>
      <c r="R57" s="49">
        <f>79871039.91-43150693.46</f>
        <v>36720346.449999996</v>
      </c>
      <c r="S57" s="8">
        <f t="shared" si="3"/>
        <v>0.31502844140230907</v>
      </c>
      <c r="T57" s="8">
        <f>SUM(S31:S57)</f>
        <v>0.8577274740525458</v>
      </c>
    </row>
    <row r="58" spans="3:19" ht="12.75">
      <c r="C58" s="73" t="s">
        <v>113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6"/>
    </row>
    <row r="59" spans="2:19" s="8" customFormat="1" ht="13.5" thickBot="1">
      <c r="B59" s="67"/>
      <c r="C59" s="68" t="s">
        <v>84</v>
      </c>
      <c r="D59" s="69">
        <f>SUM(E59:R59)</f>
        <v>1</v>
      </c>
      <c r="E59" s="70">
        <f>E5/D5</f>
        <v>0.07337011029139735</v>
      </c>
      <c r="F59" s="70">
        <f>F5/D5</f>
        <v>0.006486008510415967</v>
      </c>
      <c r="G59" s="70">
        <f>G5/D5</f>
        <v>0.0009274843111887915</v>
      </c>
      <c r="H59" s="70">
        <f>H5/D5</f>
        <v>0.006361244354861878</v>
      </c>
      <c r="I59" s="70">
        <f>I5/D5</f>
        <v>0.09792329401801267</v>
      </c>
      <c r="J59" s="70">
        <f>J5/D5</f>
        <v>0.0001567835089591645</v>
      </c>
      <c r="K59" s="70">
        <f>K5/D5</f>
        <v>0.00017399975379850198</v>
      </c>
      <c r="L59" s="70">
        <f>L5/D5</f>
        <v>0.01452474392817365</v>
      </c>
      <c r="M59" s="70">
        <f>M5/D5</f>
        <v>0.013993075735555038</v>
      </c>
      <c r="N59" s="70">
        <f>N5/D5</f>
        <v>0.01226323545258683</v>
      </c>
      <c r="O59" s="70">
        <f>O5/D5</f>
        <v>0.1577042817350923</v>
      </c>
      <c r="P59" s="70">
        <f>P5/D5</f>
        <v>0.30105105019462</v>
      </c>
      <c r="Q59" s="70">
        <f>Q5/D5</f>
        <v>3.624680302886293E-05</v>
      </c>
      <c r="R59" s="70">
        <f>R5/D5</f>
        <v>0.31502844140230907</v>
      </c>
      <c r="S59" s="70">
        <f>SUM(S6:S58)</f>
        <v>1.0000000000000002</v>
      </c>
    </row>
    <row r="60" spans="1:19" s="8" customFormat="1" ht="13.5" thickTop="1">
      <c r="A60" s="71"/>
      <c r="C60" s="68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</row>
    <row r="62" ht="12.75">
      <c r="E62" s="8"/>
    </row>
  </sheetData>
  <sheetProtection/>
  <printOptions/>
  <pageMargins left="0" right="0" top="0.25" bottom="0.5" header="0.5" footer="0.25"/>
  <pageSetup horizontalDpi="600" verticalDpi="600" orientation="landscape" paperSize="5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2018-01-25T17:21:54Z</cp:lastPrinted>
  <dcterms:created xsi:type="dcterms:W3CDTF">2011-02-21T16:49:07Z</dcterms:created>
  <dcterms:modified xsi:type="dcterms:W3CDTF">2018-01-25T17:22:11Z</dcterms:modified>
  <cp:category/>
  <cp:version/>
  <cp:contentType/>
  <cp:contentStatus/>
</cp:coreProperties>
</file>