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7460" tabRatio="926" activeTab="0"/>
  </bookViews>
  <sheets>
    <sheet name="2012C" sheetId="1" r:id="rId1"/>
    <sheet name="Academic Project " sheetId="2" r:id="rId2"/>
    <sheet name="Percentage-040113" sheetId="3" r:id="rId3"/>
    <sheet name="Percentage-090113" sheetId="4" r:id="rId4"/>
    <sheet name="Percentage - Final" sheetId="5" r:id="rId5"/>
  </sheets>
  <definedNames>
    <definedName name="_xlnm.Print_Titles" localSheetId="0">'2012C'!$A:$A</definedName>
    <definedName name="_xlnm.Print_Titles" localSheetId="1">'Academic Project '!$A:$A</definedName>
  </definedNames>
  <calcPr fullCalcOnLoad="1"/>
</workbook>
</file>

<file path=xl/sharedStrings.xml><?xml version="1.0" encoding="utf-8"?>
<sst xmlns="http://schemas.openxmlformats.org/spreadsheetml/2006/main" count="776" uniqueCount="159">
  <si>
    <t>Payment</t>
  </si>
  <si>
    <t xml:space="preserve">   UMCP Fraternity/Sorority Houses (Auxiliary)</t>
  </si>
  <si>
    <t xml:space="preserve">   UMBC Resident Hall Renovation (Auxiliary)</t>
  </si>
  <si>
    <t xml:space="preserve">         BSU New Student Center (Auxiliary)</t>
  </si>
  <si>
    <t xml:space="preserve">       SU Dormitory Renovations (Auxiliary)</t>
  </si>
  <si>
    <t xml:space="preserve">  SU Mixed-Used - Student Housing (Auxiliary)</t>
  </si>
  <si>
    <t xml:space="preserve">      TU Resident Hall Renovations (Auxiliary)</t>
  </si>
  <si>
    <t>TU Towson Center Arena Improvement (Auxiliary)</t>
  </si>
  <si>
    <t xml:space="preserve">    TU West Village Parking Structure (Auxiliary)</t>
  </si>
  <si>
    <t xml:space="preserve">  Debt Svc from Earnings and Accrued Interest</t>
  </si>
  <si>
    <t>Date</t>
  </si>
  <si>
    <t>Principal</t>
  </si>
  <si>
    <t>Interest</t>
  </si>
  <si>
    <t>Total</t>
  </si>
  <si>
    <t xml:space="preserve">      UMCP Facilities Renewal (Academic)</t>
  </si>
  <si>
    <t xml:space="preserve">       UMB Facilities Renewal (Academic) </t>
  </si>
  <si>
    <t xml:space="preserve">     UMB Pharmacy Hall Addition (Academic)</t>
  </si>
  <si>
    <t xml:space="preserve">        UMB Emergency Projects (Acedemic)</t>
  </si>
  <si>
    <t xml:space="preserve">      UMES Facilities Renewal (Academic)</t>
  </si>
  <si>
    <t xml:space="preserve">         UMBC Facilities Renewal (Academic)</t>
  </si>
  <si>
    <t xml:space="preserve">       BSU Facilities Renewal (Academic)</t>
  </si>
  <si>
    <t xml:space="preserve">        CSU Facilities Renewal (Academic)</t>
  </si>
  <si>
    <t xml:space="preserve">          FSU Facilities Renewal (Academic)</t>
  </si>
  <si>
    <t xml:space="preserve">          SU Facilities Renewal (Academic)</t>
  </si>
  <si>
    <t xml:space="preserve">          TU Facilities Renewal (Academic)</t>
  </si>
  <si>
    <t xml:space="preserve">          UB Facilities Renewal (Academic)</t>
  </si>
  <si>
    <t>Percent</t>
  </si>
  <si>
    <t>Inst</t>
  </si>
  <si>
    <t>Type</t>
  </si>
  <si>
    <t>Project</t>
  </si>
  <si>
    <t>UMCP</t>
  </si>
  <si>
    <t>UMB</t>
  </si>
  <si>
    <t>UMBI</t>
  </si>
  <si>
    <t>UMES</t>
  </si>
  <si>
    <t>UMBC</t>
  </si>
  <si>
    <t>UMCES</t>
  </si>
  <si>
    <t>BSU</t>
  </si>
  <si>
    <t>CSU</t>
  </si>
  <si>
    <t>FSU</t>
  </si>
  <si>
    <t>SU</t>
  </si>
  <si>
    <t>TU</t>
  </si>
  <si>
    <t>UB</t>
  </si>
  <si>
    <t>by project</t>
  </si>
  <si>
    <t>Total dollars:</t>
  </si>
  <si>
    <t>29th Acad</t>
  </si>
  <si>
    <t>Facilities Renewal</t>
  </si>
  <si>
    <t>28th Acad</t>
  </si>
  <si>
    <t>Emergency Project</t>
  </si>
  <si>
    <t>28,29th Acad</t>
  </si>
  <si>
    <t>Pharmacy Hall Addition and Renovation</t>
  </si>
  <si>
    <t>27th Acad</t>
  </si>
  <si>
    <t xml:space="preserve">Fine and Performing Arts Center </t>
  </si>
  <si>
    <t xml:space="preserve">New Physical Education Complex </t>
  </si>
  <si>
    <t>22nd Acad</t>
  </si>
  <si>
    <t>Fraternity/Sorority Houses Renovation</t>
  </si>
  <si>
    <t>27th Aux</t>
  </si>
  <si>
    <t>High Rise Residence Hall A/C</t>
  </si>
  <si>
    <t>Resident Hall Renovations</t>
  </si>
  <si>
    <t>28th Aux</t>
  </si>
  <si>
    <t>New Student Center</t>
  </si>
  <si>
    <t>Dormitory Renovations, Campus-Wide</t>
  </si>
  <si>
    <t>30th Aux</t>
  </si>
  <si>
    <t>Mixed-Use Development - Student Housing</t>
  </si>
  <si>
    <t>Towson Center Arena Improvement</t>
  </si>
  <si>
    <t>West Village Parking Structure</t>
  </si>
  <si>
    <t>Percent by Institution:</t>
  </si>
  <si>
    <t>College of Liberal Arts Complex</t>
  </si>
  <si>
    <t>26,27,28,29th Acad</t>
  </si>
  <si>
    <t>26,28,29,32th Acad</t>
  </si>
  <si>
    <t>28,29,32th Aux</t>
  </si>
  <si>
    <t xml:space="preserve">          Distribution of Debt Services</t>
  </si>
  <si>
    <t xml:space="preserve">       University System of Maryland</t>
  </si>
  <si>
    <t xml:space="preserve">      CEES Facilities Renewal (Academic)</t>
  </si>
  <si>
    <t xml:space="preserve"> TU College of Liberal Arts Complex (Academic)</t>
  </si>
  <si>
    <t>28,29,32th Acad</t>
  </si>
  <si>
    <t>28,29,32,33 Acad</t>
  </si>
  <si>
    <t>33rd Aux</t>
  </si>
  <si>
    <t>Replace Carroll, Caroline, Wicomico &amp; Sci</t>
  </si>
  <si>
    <t>28,29,32,33th Aux</t>
  </si>
  <si>
    <t>Balance</t>
  </si>
  <si>
    <t>BSU Fine and performing Arts Center (Acad)</t>
  </si>
  <si>
    <t xml:space="preserve">  CSU New Physical Edu. Complex (Acad)</t>
  </si>
  <si>
    <t xml:space="preserve"> UMCP Repl Carroll, Caroline, Wicomico (Aux)</t>
  </si>
  <si>
    <t>TU West Village Dining Commons (Auxiliary)</t>
  </si>
  <si>
    <t>24,25,26,27,28,29,32,33th Acad</t>
  </si>
  <si>
    <t>28,29,32,33th Acad</t>
  </si>
  <si>
    <t>19,24,26,32th Acad</t>
  </si>
  <si>
    <t>Pratt Street Garage Renovation</t>
  </si>
  <si>
    <t>29,32,33,34th Aux</t>
  </si>
  <si>
    <t>Construct &amp; Equip New Campus Center</t>
  </si>
  <si>
    <t>21,25th Aux</t>
  </si>
  <si>
    <t xml:space="preserve">          CSU Emergency Funds (Academic)</t>
  </si>
  <si>
    <t xml:space="preserve">   UMCP High Rise Residence - 33rd (Auxiliary)</t>
  </si>
  <si>
    <t xml:space="preserve">   UMB Pratt Street Garage Renov. (Auxiliary)</t>
  </si>
  <si>
    <t xml:space="preserve">     UMB New Campus Center (Auxiliary)</t>
  </si>
  <si>
    <t xml:space="preserve">      CEES Emergency Funds (Academic)</t>
  </si>
  <si>
    <t xml:space="preserve">    UMCP/UMBI Facilities Renewal (Academic) </t>
  </si>
  <si>
    <t>2012 Series C Bonds</t>
  </si>
  <si>
    <t>2012C Balance</t>
  </si>
  <si>
    <t xml:space="preserve">                         2012 C Bonds</t>
  </si>
  <si>
    <t xml:space="preserve">        Total Academic Projects - 2012C</t>
  </si>
  <si>
    <t xml:space="preserve">    2012 Series C Bond Funded Projects</t>
  </si>
  <si>
    <t xml:space="preserve">           Total Auxiliary Projects - 2012C</t>
  </si>
  <si>
    <t xml:space="preserve">          Total Debt Services - 2012 Series C</t>
  </si>
  <si>
    <t xml:space="preserve">         Total Academic Projects - 2012C</t>
  </si>
  <si>
    <t>29,32,33,34th Acad</t>
  </si>
  <si>
    <t>29,32,33,34 Acad</t>
  </si>
  <si>
    <t>28,29,32,34th Acad</t>
  </si>
  <si>
    <t>26,27,29,32,33th Acad</t>
  </si>
  <si>
    <t>27,28,32,33,34th Acad</t>
  </si>
  <si>
    <t>28,32,33th Aux</t>
  </si>
  <si>
    <t>32,33rd Aux</t>
  </si>
  <si>
    <t>Burdick PH 2 &amp; 3 Air Conditioning</t>
  </si>
  <si>
    <t>26,27,28,29th Aux</t>
  </si>
  <si>
    <t>West Village infrashtructure &amp; Site Improve</t>
  </si>
  <si>
    <t>33rd Academic</t>
  </si>
  <si>
    <t>29th Aux</t>
  </si>
  <si>
    <t>West Village Dining Commons</t>
  </si>
  <si>
    <t xml:space="preserve">   TU Burdick PH 2&amp;3 Air Conditioning (Auxiliary)</t>
  </si>
  <si>
    <t>TU infrashtructure &amp; Site Improvement (Aux)</t>
  </si>
  <si>
    <t>2012C</t>
  </si>
  <si>
    <t>19,24,26,32,33th Acad</t>
  </si>
  <si>
    <t>26th Acad</t>
  </si>
  <si>
    <t>26,28th Acad</t>
  </si>
  <si>
    <t>28,29,32,33,35th Aux</t>
  </si>
  <si>
    <t>33,34th Aux</t>
  </si>
  <si>
    <t>CSS and Residence Halls SCUB Expansion</t>
  </si>
  <si>
    <t>31st Acad</t>
  </si>
  <si>
    <t>Student Housing - West Village PH II</t>
  </si>
  <si>
    <t>26,27,28,29,33th Aux</t>
  </si>
  <si>
    <t>26th Aux</t>
  </si>
  <si>
    <t>Parking Garage</t>
  </si>
  <si>
    <t xml:space="preserve">     UMCP Emergency Project (Academic)</t>
  </si>
  <si>
    <t xml:space="preserve">       UB Emergency Projects (Academic)</t>
  </si>
  <si>
    <t>UMCP CSS &amp; Residence Halls SCUB (Auxiliary)</t>
  </si>
  <si>
    <t>21,25, 27th Aux</t>
  </si>
  <si>
    <t xml:space="preserve">         CSU Parking Garage (Auxiliary)</t>
  </si>
  <si>
    <t xml:space="preserve">  TU Student Housing - West Village PH II (Aux)</t>
  </si>
  <si>
    <t>UMBI/BC</t>
  </si>
  <si>
    <t>UMBI/CP</t>
  </si>
  <si>
    <t xml:space="preserve">   UMBC/UMBI Facilities Renewal (Academic)</t>
  </si>
  <si>
    <t>28,29,32,33,35th Acad</t>
  </si>
  <si>
    <t>27,28,32,33,34,35th Acad</t>
  </si>
  <si>
    <t>28,29,32,34,35th Acad</t>
  </si>
  <si>
    <t>28,29,32,33,34th Acad</t>
  </si>
  <si>
    <t>33,34th Academic</t>
  </si>
  <si>
    <t>26,28,29,32,34,35th Acad</t>
  </si>
  <si>
    <t>35th Aux</t>
  </si>
  <si>
    <t>Elevator &amp; Fire Alarm Improvement, Parking Garage</t>
  </si>
  <si>
    <t>33, 34th Aux</t>
  </si>
  <si>
    <t>Replacement of Communication Tower</t>
  </si>
  <si>
    <t>Dining Hall: Upgrades</t>
  </si>
  <si>
    <t>Surface Lots</t>
  </si>
  <si>
    <t xml:space="preserve">  UMB Elevator &amp; Fire Alarm Improvement (Aux)</t>
  </si>
  <si>
    <t xml:space="preserve"> UMBC Replace of Communication Tower (Aux)</t>
  </si>
  <si>
    <t xml:space="preserve">      UMBC Dining Hall: Upgrades (Auxiliary)</t>
  </si>
  <si>
    <t xml:space="preserve">           UMBC Surface Lots (Auxiliary)</t>
  </si>
  <si>
    <t>Amort of</t>
  </si>
  <si>
    <t>Premium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</si>
</sst>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/dd/yy"/>
    <numFmt numFmtId="173" formatCode="0.00000%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17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right"/>
    </xf>
    <xf numFmtId="38" fontId="0" fillId="0" borderId="0" xfId="0" applyNumberFormat="1" applyAlignment="1" quotePrefix="1">
      <alignment horizontal="left"/>
    </xf>
    <xf numFmtId="38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172" fontId="0" fillId="0" borderId="10" xfId="0" applyNumberFormat="1" applyBorder="1" applyAlignment="1">
      <alignment horizontal="center"/>
    </xf>
    <xf numFmtId="38" fontId="0" fillId="33" borderId="11" xfId="0" applyNumberFormat="1" applyFill="1" applyBorder="1" applyAlignment="1" quotePrefix="1">
      <alignment horizontal="left"/>
    </xf>
    <xf numFmtId="38" fontId="0" fillId="33" borderId="12" xfId="0" applyNumberFormat="1" applyFill="1" applyBorder="1" applyAlignment="1">
      <alignment horizontal="right"/>
    </xf>
    <xf numFmtId="38" fontId="0" fillId="33" borderId="13" xfId="0" applyNumberFormat="1" applyFill="1" applyBorder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4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2" xfId="0" applyNumberFormat="1" applyBorder="1" applyAlignment="1">
      <alignment horizontal="right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1" xfId="0" applyNumberFormat="1" applyBorder="1" applyAlignment="1">
      <alignment horizontal="left"/>
    </xf>
    <xf numFmtId="3" fontId="0" fillId="0" borderId="0" xfId="0" applyNumberFormat="1" applyBorder="1" applyAlignment="1">
      <alignment/>
    </xf>
    <xf numFmtId="173" fontId="0" fillId="0" borderId="15" xfId="0" applyNumberFormat="1" applyBorder="1" applyAlignment="1">
      <alignment horizontal="center"/>
    </xf>
    <xf numFmtId="173" fontId="0" fillId="0" borderId="16" xfId="0" applyNumberFormat="1" applyBorder="1" applyAlignment="1">
      <alignment/>
    </xf>
    <xf numFmtId="173" fontId="0" fillId="0" borderId="14" xfId="0" applyNumberFormat="1" applyBorder="1" applyAlignment="1">
      <alignment/>
    </xf>
    <xf numFmtId="173" fontId="0" fillId="0" borderId="13" xfId="0" applyNumberFormat="1" applyBorder="1" applyAlignment="1">
      <alignment horizontal="right"/>
    </xf>
    <xf numFmtId="173" fontId="0" fillId="0" borderId="14" xfId="0" applyNumberFormat="1" applyBorder="1" applyAlignment="1">
      <alignment horizontal="right"/>
    </xf>
    <xf numFmtId="173" fontId="0" fillId="0" borderId="11" xfId="0" applyNumberFormat="1" applyBorder="1" applyAlignment="1" quotePrefix="1">
      <alignment horizontal="right"/>
    </xf>
    <xf numFmtId="173" fontId="0" fillId="0" borderId="12" xfId="0" applyNumberFormat="1" applyBorder="1" applyAlignment="1">
      <alignment/>
    </xf>
    <xf numFmtId="173" fontId="0" fillId="0" borderId="0" xfId="0" applyNumberFormat="1" applyBorder="1" applyAlignment="1">
      <alignment/>
    </xf>
    <xf numFmtId="172" fontId="0" fillId="0" borderId="17" xfId="0" applyNumberFormat="1" applyBorder="1" applyAlignment="1">
      <alignment horizontal="center"/>
    </xf>
    <xf numFmtId="38" fontId="0" fillId="0" borderId="18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8" fontId="0" fillId="0" borderId="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14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38" fontId="0" fillId="0" borderId="19" xfId="0" applyNumberFormat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38" fontId="0" fillId="0" borderId="11" xfId="0" applyNumberFormat="1" applyBorder="1" applyAlignment="1">
      <alignment horizontal="left"/>
    </xf>
    <xf numFmtId="38" fontId="0" fillId="0" borderId="15" xfId="0" applyNumberFormat="1" applyBorder="1" applyAlignment="1">
      <alignment horizontal="right"/>
    </xf>
    <xf numFmtId="38" fontId="0" fillId="0" borderId="21" xfId="0" applyNumberFormat="1" applyBorder="1" applyAlignment="1">
      <alignment horizontal="right"/>
    </xf>
    <xf numFmtId="173" fontId="0" fillId="0" borderId="16" xfId="0" applyNumberFormat="1" applyBorder="1" applyAlignment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Fill="1" applyBorder="1" applyAlignment="1">
      <alignment/>
    </xf>
    <xf numFmtId="0" fontId="0" fillId="0" borderId="0" xfId="0" applyAlignment="1" quotePrefix="1">
      <alignment horizontal="left"/>
    </xf>
    <xf numFmtId="40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40" fontId="0" fillId="0" borderId="11" xfId="0" applyNumberForma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40" fontId="0" fillId="0" borderId="22" xfId="0" applyNumberFormat="1" applyBorder="1" applyAlignment="1">
      <alignment horizontal="center"/>
    </xf>
    <xf numFmtId="173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23" xfId="0" applyNumberFormat="1" applyBorder="1" applyAlignment="1">
      <alignment horizontal="right"/>
    </xf>
    <xf numFmtId="173" fontId="0" fillId="0" borderId="23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0" fontId="0" fillId="0" borderId="0" xfId="0" applyNumberFormat="1" applyBorder="1" applyAlignment="1">
      <alignment horizontal="center"/>
    </xf>
    <xf numFmtId="4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left"/>
    </xf>
    <xf numFmtId="40" fontId="0" fillId="0" borderId="24" xfId="0" applyNumberFormat="1" applyBorder="1" applyAlignment="1">
      <alignment/>
    </xf>
    <xf numFmtId="173" fontId="0" fillId="0" borderId="24" xfId="0" applyNumberFormat="1" applyBorder="1" applyAlignment="1">
      <alignment/>
    </xf>
    <xf numFmtId="4" fontId="0" fillId="0" borderId="0" xfId="0" applyNumberFormat="1" applyAlignment="1">
      <alignment/>
    </xf>
    <xf numFmtId="173" fontId="0" fillId="0" borderId="0" xfId="0" applyNumberFormat="1" applyAlignment="1" quotePrefix="1">
      <alignment horizontal="right"/>
    </xf>
    <xf numFmtId="173" fontId="0" fillId="0" borderId="19" xfId="0" applyNumberFormat="1" applyBorder="1" applyAlignment="1">
      <alignment/>
    </xf>
    <xf numFmtId="173" fontId="0" fillId="0" borderId="23" xfId="0" applyNumberFormat="1" applyBorder="1" applyAlignment="1">
      <alignment/>
    </xf>
    <xf numFmtId="40" fontId="0" fillId="0" borderId="0" xfId="0" applyNumberFormat="1" applyBorder="1" applyAlignment="1" quotePrefix="1">
      <alignment horizontal="left"/>
    </xf>
    <xf numFmtId="173" fontId="0" fillId="0" borderId="0" xfId="0" applyNumberFormat="1" applyBorder="1" applyAlignment="1">
      <alignment horizontal="right"/>
    </xf>
    <xf numFmtId="38" fontId="0" fillId="0" borderId="21" xfId="0" applyNumberFormat="1" applyBorder="1" applyAlignment="1">
      <alignment horizontal="center"/>
    </xf>
    <xf numFmtId="40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8" fontId="0" fillId="34" borderId="11" xfId="0" applyNumberFormat="1" applyFill="1" applyBorder="1" applyAlignment="1" quotePrefix="1">
      <alignment horizontal="left"/>
    </xf>
    <xf numFmtId="38" fontId="0" fillId="34" borderId="14" xfId="0" applyNumberFormat="1" applyFill="1" applyBorder="1" applyAlignment="1">
      <alignment horizontal="right"/>
    </xf>
    <xf numFmtId="38" fontId="0" fillId="34" borderId="13" xfId="0" applyNumberFormat="1" applyFill="1" applyBorder="1" applyAlignment="1">
      <alignment horizontal="right"/>
    </xf>
    <xf numFmtId="38" fontId="0" fillId="34" borderId="11" xfId="0" applyNumberFormat="1" applyFill="1" applyBorder="1" applyAlignment="1">
      <alignment horizontal="left"/>
    </xf>
    <xf numFmtId="38" fontId="0" fillId="0" borderId="13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P569"/>
  <sheetViews>
    <sheetView tabSelected="1" zoomScale="160" zoomScaleNormal="16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11" sqref="D11"/>
    </sheetView>
  </sheetViews>
  <sheetFormatPr defaultColWidth="13.7109375" defaultRowHeight="12.75"/>
  <cols>
    <col min="1" max="1" width="9.7109375" style="37" customWidth="1"/>
    <col min="2" max="2" width="3.7109375" style="0" customWidth="1"/>
    <col min="3" max="6" width="13.7109375" style="3" customWidth="1"/>
    <col min="7" max="7" width="3.7109375" style="5" customWidth="1"/>
    <col min="8" max="11" width="13.7109375" style="5" customWidth="1"/>
    <col min="12" max="12" width="3.7109375" style="5" customWidth="1"/>
    <col min="13" max="16" width="13.7109375" style="0" customWidth="1"/>
    <col min="17" max="17" width="3.7109375" style="5" customWidth="1"/>
    <col min="18" max="21" width="13.7109375" style="0" customWidth="1"/>
    <col min="22" max="22" width="3.7109375" style="5" customWidth="1"/>
    <col min="23" max="26" width="13.7109375" style="5" customWidth="1"/>
    <col min="27" max="27" width="3.7109375" style="5" customWidth="1"/>
    <col min="28" max="31" width="13.7109375" style="5" customWidth="1"/>
    <col min="32" max="32" width="3.7109375" style="5" customWidth="1"/>
    <col min="33" max="36" width="13.7109375" style="5" customWidth="1"/>
    <col min="37" max="37" width="3.7109375" style="5" customWidth="1"/>
    <col min="38" max="41" width="13.7109375" style="0" customWidth="1"/>
    <col min="42" max="42" width="3.7109375" style="5" customWidth="1"/>
    <col min="43" max="46" width="13.7109375" style="0" customWidth="1"/>
    <col min="47" max="47" width="3.7109375" style="5" customWidth="1"/>
    <col min="48" max="51" width="13.7109375" style="0" customWidth="1"/>
    <col min="52" max="52" width="3.7109375" style="6" customWidth="1"/>
    <col min="53" max="56" width="13.7109375" style="0" customWidth="1"/>
    <col min="57" max="57" width="3.7109375" style="0" customWidth="1"/>
    <col min="58" max="61" width="13.7109375" style="0" customWidth="1"/>
    <col min="62" max="62" width="3.7109375" style="0" customWidth="1"/>
    <col min="63" max="66" width="13.7109375" style="0" customWidth="1"/>
    <col min="67" max="67" width="3.7109375" style="0" customWidth="1"/>
    <col min="68" max="71" width="13.7109375" style="0" customWidth="1"/>
    <col min="72" max="72" width="3.7109375" style="0" customWidth="1"/>
    <col min="73" max="76" width="13.7109375" style="6" customWidth="1"/>
    <col min="77" max="77" width="3.7109375" style="6" customWidth="1"/>
    <col min="78" max="81" width="13.7109375" style="6" customWidth="1"/>
    <col min="82" max="82" width="3.7109375" style="6" customWidth="1"/>
    <col min="83" max="86" width="13.7109375" style="6" customWidth="1"/>
    <col min="87" max="87" width="3.7109375" style="6" customWidth="1"/>
    <col min="88" max="91" width="13.7109375" style="6" customWidth="1"/>
    <col min="92" max="92" width="3.7109375" style="6" customWidth="1"/>
    <col min="93" max="96" width="13.7109375" style="6" customWidth="1"/>
    <col min="97" max="97" width="3.7109375" style="6" customWidth="1"/>
    <col min="98" max="101" width="13.7109375" style="6" customWidth="1"/>
    <col min="102" max="102" width="3.7109375" style="6" customWidth="1"/>
    <col min="103" max="106" width="13.7109375" style="6" customWidth="1"/>
    <col min="107" max="107" width="3.7109375" style="6" customWidth="1"/>
    <col min="108" max="111" width="13.7109375" style="6" customWidth="1"/>
    <col min="112" max="112" width="3.7109375" style="6" customWidth="1"/>
    <col min="113" max="116" width="13.7109375" style="6" customWidth="1"/>
    <col min="117" max="117" width="3.7109375" style="6" customWidth="1"/>
    <col min="118" max="121" width="12.7109375" style="6" customWidth="1"/>
    <col min="122" max="122" width="3.7109375" style="6" customWidth="1"/>
    <col min="123" max="126" width="13.7109375" style="6" customWidth="1"/>
    <col min="127" max="127" width="3.7109375" style="6" customWidth="1"/>
    <col min="128" max="131" width="13.7109375" style="6" customWidth="1"/>
    <col min="132" max="132" width="3.7109375" style="6" customWidth="1"/>
  </cols>
  <sheetData>
    <row r="1" spans="1:133" ht="12.75">
      <c r="A1" s="1"/>
      <c r="B1" s="2"/>
      <c r="D1" s="4"/>
      <c r="H1" s="4" t="s">
        <v>71</v>
      </c>
      <c r="M1" s="4"/>
      <c r="W1" s="4" t="s">
        <v>71</v>
      </c>
      <c r="AL1" s="4" t="s">
        <v>71</v>
      </c>
      <c r="AQ1" s="4"/>
      <c r="BA1" s="4" t="s">
        <v>71</v>
      </c>
      <c r="BP1" s="4" t="s">
        <v>71</v>
      </c>
      <c r="CE1" s="4" t="s">
        <v>71</v>
      </c>
      <c r="CT1" s="4" t="s">
        <v>71</v>
      </c>
      <c r="DI1" s="4" t="s">
        <v>71</v>
      </c>
      <c r="DX1" s="4" t="s">
        <v>71</v>
      </c>
      <c r="EC1" s="4"/>
    </row>
    <row r="2" spans="1:133" ht="12.75">
      <c r="A2" s="1"/>
      <c r="B2" s="2"/>
      <c r="D2" s="4"/>
      <c r="H2" s="4" t="s">
        <v>70</v>
      </c>
      <c r="M2" s="4"/>
      <c r="W2" s="4" t="s">
        <v>70</v>
      </c>
      <c r="AL2" s="4" t="s">
        <v>70</v>
      </c>
      <c r="AQ2" s="4"/>
      <c r="BA2" s="4" t="s">
        <v>70</v>
      </c>
      <c r="BP2" s="4" t="s">
        <v>70</v>
      </c>
      <c r="CE2" s="4" t="s">
        <v>70</v>
      </c>
      <c r="CT2" s="4" t="s">
        <v>70</v>
      </c>
      <c r="DI2" s="4" t="s">
        <v>70</v>
      </c>
      <c r="DX2" s="4" t="s">
        <v>70</v>
      </c>
      <c r="EC2" s="4"/>
    </row>
    <row r="3" spans="1:133" ht="12.75">
      <c r="A3" s="1"/>
      <c r="B3" s="2"/>
      <c r="D3" s="7"/>
      <c r="H3" s="4" t="s">
        <v>101</v>
      </c>
      <c r="M3" s="4"/>
      <c r="N3" s="8"/>
      <c r="W3" s="4" t="s">
        <v>101</v>
      </c>
      <c r="AL3" s="4" t="s">
        <v>101</v>
      </c>
      <c r="AQ3" s="4"/>
      <c r="BA3" s="4" t="s">
        <v>101</v>
      </c>
      <c r="BP3" s="4" t="s">
        <v>101</v>
      </c>
      <c r="CE3" s="4" t="s">
        <v>101</v>
      </c>
      <c r="CT3" s="4" t="s">
        <v>101</v>
      </c>
      <c r="DI3" s="4" t="s">
        <v>101</v>
      </c>
      <c r="DX3" s="4" t="s">
        <v>101</v>
      </c>
      <c r="EC3" s="4"/>
    </row>
    <row r="4" spans="1:4" ht="12.75">
      <c r="A4" s="1"/>
      <c r="B4" s="2"/>
      <c r="C4" s="7"/>
      <c r="D4" s="4"/>
    </row>
    <row r="5" spans="1:131" ht="12.75">
      <c r="A5" s="9" t="s">
        <v>0</v>
      </c>
      <c r="C5" s="10" t="s">
        <v>103</v>
      </c>
      <c r="D5" s="11"/>
      <c r="E5" s="12"/>
      <c r="F5" s="12"/>
      <c r="H5" s="13" t="s">
        <v>100</v>
      </c>
      <c r="I5" s="14"/>
      <c r="J5" s="15"/>
      <c r="K5" s="12"/>
      <c r="M5" s="13" t="s">
        <v>102</v>
      </c>
      <c r="N5" s="16"/>
      <c r="O5" s="15"/>
      <c r="P5" s="12"/>
      <c r="R5" s="20" t="s">
        <v>82</v>
      </c>
      <c r="S5" s="18"/>
      <c r="T5" s="19"/>
      <c r="U5" s="12"/>
      <c r="W5" s="17" t="s">
        <v>1</v>
      </c>
      <c r="X5" s="18"/>
      <c r="Y5" s="19"/>
      <c r="Z5" s="12"/>
      <c r="AB5" s="20" t="s">
        <v>92</v>
      </c>
      <c r="AC5" s="18"/>
      <c r="AD5" s="19"/>
      <c r="AE5" s="12"/>
      <c r="AG5" s="20" t="s">
        <v>134</v>
      </c>
      <c r="AH5" s="18"/>
      <c r="AI5" s="19"/>
      <c r="AJ5" s="12"/>
      <c r="AL5" s="17" t="s">
        <v>153</v>
      </c>
      <c r="AM5" s="18"/>
      <c r="AN5" s="19"/>
      <c r="AO5" s="12"/>
      <c r="AQ5" s="17" t="s">
        <v>93</v>
      </c>
      <c r="AR5" s="18"/>
      <c r="AS5" s="19"/>
      <c r="AT5" s="12"/>
      <c r="AV5" s="20" t="s">
        <v>94</v>
      </c>
      <c r="AW5" s="18"/>
      <c r="AX5" s="19"/>
      <c r="AY5" s="12"/>
      <c r="BA5" s="17" t="s">
        <v>2</v>
      </c>
      <c r="BB5" s="18"/>
      <c r="BC5" s="19"/>
      <c r="BD5" s="12"/>
      <c r="BE5" s="21"/>
      <c r="BF5" s="17" t="s">
        <v>154</v>
      </c>
      <c r="BG5" s="18"/>
      <c r="BH5" s="19"/>
      <c r="BI5" s="12"/>
      <c r="BJ5" s="21"/>
      <c r="BK5" s="17" t="s">
        <v>155</v>
      </c>
      <c r="BL5" s="18"/>
      <c r="BM5" s="19"/>
      <c r="BN5" s="12"/>
      <c r="BO5" s="21"/>
      <c r="BP5" s="17" t="s">
        <v>156</v>
      </c>
      <c r="BQ5" s="18"/>
      <c r="BR5" s="19"/>
      <c r="BS5" s="12"/>
      <c r="BT5" s="21"/>
      <c r="BU5" s="17" t="s">
        <v>3</v>
      </c>
      <c r="BV5" s="18"/>
      <c r="BW5" s="19"/>
      <c r="BX5" s="12"/>
      <c r="BZ5" s="17" t="s">
        <v>136</v>
      </c>
      <c r="CA5" s="18"/>
      <c r="CB5" s="19"/>
      <c r="CC5" s="12"/>
      <c r="CE5" s="17" t="s">
        <v>4</v>
      </c>
      <c r="CF5" s="18"/>
      <c r="CG5" s="19"/>
      <c r="CH5" s="12"/>
      <c r="CJ5" s="20" t="s">
        <v>5</v>
      </c>
      <c r="CK5" s="18"/>
      <c r="CL5" s="19"/>
      <c r="CM5" s="12"/>
      <c r="CO5" s="17" t="s">
        <v>118</v>
      </c>
      <c r="CP5" s="18"/>
      <c r="CQ5" s="19"/>
      <c r="CR5" s="12"/>
      <c r="CT5" s="20" t="s">
        <v>6</v>
      </c>
      <c r="CU5" s="18"/>
      <c r="CV5" s="19"/>
      <c r="CW5" s="12"/>
      <c r="CY5" s="20" t="s">
        <v>137</v>
      </c>
      <c r="CZ5" s="18"/>
      <c r="DA5" s="19"/>
      <c r="DB5" s="12"/>
      <c r="DD5" s="20" t="s">
        <v>7</v>
      </c>
      <c r="DE5" s="18"/>
      <c r="DF5" s="19"/>
      <c r="DG5" s="12"/>
      <c r="DI5" s="20" t="s">
        <v>83</v>
      </c>
      <c r="DJ5" s="18"/>
      <c r="DK5" s="19"/>
      <c r="DL5" s="12"/>
      <c r="DN5" s="20" t="s">
        <v>119</v>
      </c>
      <c r="DO5" s="18"/>
      <c r="DP5" s="19"/>
      <c r="DQ5" s="12"/>
      <c r="DS5" s="17" t="s">
        <v>8</v>
      </c>
      <c r="DT5" s="18"/>
      <c r="DU5" s="19"/>
      <c r="DV5" s="12"/>
      <c r="DX5" s="20" t="s">
        <v>9</v>
      </c>
      <c r="DY5" s="18"/>
      <c r="DZ5" s="19"/>
      <c r="EA5" s="12"/>
    </row>
    <row r="6" spans="1:131" s="8" customFormat="1" ht="12.75">
      <c r="A6" s="22" t="s">
        <v>10</v>
      </c>
      <c r="C6" s="42" t="s">
        <v>99</v>
      </c>
      <c r="D6" s="14"/>
      <c r="E6" s="41"/>
      <c r="F6" s="83" t="s">
        <v>157</v>
      </c>
      <c r="G6" s="5"/>
      <c r="H6" s="23">
        <v>0.0305169</v>
      </c>
      <c r="I6" s="24">
        <v>0.0483909</v>
      </c>
      <c r="J6" s="25">
        <v>0.0670396</v>
      </c>
      <c r="K6" s="83" t="s">
        <v>157</v>
      </c>
      <c r="L6" s="5"/>
      <c r="M6" s="23">
        <f>R6+W6+AB6+AQ6+AV6+BA6+BU6+CE6+CJ6+CO6+CT6+DD6+DI6+DN6+DS6+DX6</f>
        <v>0.9694830999999999</v>
      </c>
      <c r="N6" s="26">
        <f>S6+X6+AC6+AH6+AR6+AW6+BB6+BV6+CA6+CF6+CK6+CP6+CU6+CZ6+DE6+DJ6+DO6+DT6+DY6</f>
        <v>0.9516093000000001</v>
      </c>
      <c r="O6" s="26">
        <f>T6+Y6+AD6+AI6+AS6+AX6+BC6+BW6+CB6+CG6+CL6+CQ6+CV6+DA6+DF6+DK6+DP6+DU6+DZ6+AN6+BH6+BM6+BR6</f>
        <v>0.9329605</v>
      </c>
      <c r="P6" s="83" t="s">
        <v>157</v>
      </c>
      <c r="Q6" s="5"/>
      <c r="R6" s="27">
        <v>0.0719816</v>
      </c>
      <c r="S6" s="28">
        <v>0.2263746</v>
      </c>
      <c r="T6" s="25">
        <v>0.2307637</v>
      </c>
      <c r="U6" s="83" t="s">
        <v>157</v>
      </c>
      <c r="V6" s="5"/>
      <c r="W6" s="27">
        <v>0.0072746</v>
      </c>
      <c r="X6" s="28">
        <v>0.0111833</v>
      </c>
      <c r="Y6" s="25">
        <v>0.0114001</v>
      </c>
      <c r="Z6" s="83" t="s">
        <v>157</v>
      </c>
      <c r="AA6" s="5"/>
      <c r="AB6" s="27">
        <v>0.0121449</v>
      </c>
      <c r="AC6" s="28">
        <v>0.0643961</v>
      </c>
      <c r="AD6" s="25">
        <v>0.0672126</v>
      </c>
      <c r="AE6" s="83" t="s">
        <v>157</v>
      </c>
      <c r="AF6" s="5"/>
      <c r="AG6" s="27">
        <v>0</v>
      </c>
      <c r="AH6" s="28">
        <v>0.0075638</v>
      </c>
      <c r="AI6" s="25">
        <v>0.0077105</v>
      </c>
      <c r="AJ6" s="83" t="s">
        <v>157</v>
      </c>
      <c r="AK6" s="5"/>
      <c r="AL6" s="27">
        <v>0</v>
      </c>
      <c r="AM6" s="28">
        <v>0</v>
      </c>
      <c r="AN6" s="25">
        <v>0.000207</v>
      </c>
      <c r="AO6" s="83" t="s">
        <v>157</v>
      </c>
      <c r="AP6" s="5"/>
      <c r="AQ6" s="27">
        <v>0.0038905</v>
      </c>
      <c r="AR6" s="28">
        <v>0.0165988</v>
      </c>
      <c r="AS6" s="25">
        <v>0.0169206</v>
      </c>
      <c r="AT6" s="83" t="s">
        <v>157</v>
      </c>
      <c r="AU6" s="5"/>
      <c r="AV6" s="27">
        <v>0.000217</v>
      </c>
      <c r="AW6" s="28">
        <v>0.0003323</v>
      </c>
      <c r="AX6" s="25">
        <v>0.0003387</v>
      </c>
      <c r="AY6" s="83" t="s">
        <v>157</v>
      </c>
      <c r="BA6" s="27">
        <v>0.0406154</v>
      </c>
      <c r="BB6" s="28">
        <v>0.1077428</v>
      </c>
      <c r="BC6" s="25">
        <v>0.1131247</v>
      </c>
      <c r="BD6" s="83" t="s">
        <v>157</v>
      </c>
      <c r="BE6" s="72"/>
      <c r="BF6" s="27">
        <v>0</v>
      </c>
      <c r="BG6" s="28">
        <v>0</v>
      </c>
      <c r="BH6" s="25">
        <v>0.0001497</v>
      </c>
      <c r="BI6" s="83" t="s">
        <v>157</v>
      </c>
      <c r="BJ6" s="72"/>
      <c r="BK6" s="27">
        <v>0</v>
      </c>
      <c r="BL6" s="28">
        <v>0</v>
      </c>
      <c r="BM6" s="25">
        <v>3.14E-05</v>
      </c>
      <c r="BN6" s="83" t="s">
        <v>157</v>
      </c>
      <c r="BO6" s="72"/>
      <c r="BP6" s="27">
        <v>0</v>
      </c>
      <c r="BQ6" s="28">
        <v>0</v>
      </c>
      <c r="BR6" s="25">
        <v>3.75E-05</v>
      </c>
      <c r="BS6" s="83" t="s">
        <v>157</v>
      </c>
      <c r="BT6" s="72"/>
      <c r="BU6" s="27">
        <v>0.102067</v>
      </c>
      <c r="BV6" s="28">
        <v>0.1814177</v>
      </c>
      <c r="BW6" s="25">
        <v>0.1849432</v>
      </c>
      <c r="BX6" s="83" t="s">
        <v>157</v>
      </c>
      <c r="BZ6" s="27">
        <v>0</v>
      </c>
      <c r="CA6" s="28">
        <v>7.56E-05</v>
      </c>
      <c r="CB6" s="25">
        <v>7.7E-05</v>
      </c>
      <c r="CC6" s="83" t="s">
        <v>157</v>
      </c>
      <c r="CE6" s="27">
        <v>0.0440268</v>
      </c>
      <c r="CF6" s="28">
        <v>0.110271</v>
      </c>
      <c r="CG6" s="25">
        <v>0.132913</v>
      </c>
      <c r="CH6" s="83" t="s">
        <v>157</v>
      </c>
      <c r="CJ6" s="27">
        <v>2.46E-05</v>
      </c>
      <c r="CK6" s="28">
        <v>2.47E-05</v>
      </c>
      <c r="CL6" s="25">
        <v>2.52E-05</v>
      </c>
      <c r="CM6" s="83" t="s">
        <v>157</v>
      </c>
      <c r="CO6" s="27">
        <v>0.001489</v>
      </c>
      <c r="CP6" s="28">
        <v>0.0083579</v>
      </c>
      <c r="CQ6" s="25">
        <v>0.0102696</v>
      </c>
      <c r="CR6" s="83" t="s">
        <v>157</v>
      </c>
      <c r="CT6" s="27">
        <v>0.0127575</v>
      </c>
      <c r="CU6" s="28">
        <v>0.0128846</v>
      </c>
      <c r="CV6" s="25">
        <v>0.0131344</v>
      </c>
      <c r="CW6" s="83" t="s">
        <v>157</v>
      </c>
      <c r="CY6" s="27">
        <v>0</v>
      </c>
      <c r="CZ6" s="28">
        <v>0.0001698</v>
      </c>
      <c r="DA6" s="25">
        <v>0.0001731</v>
      </c>
      <c r="DB6" s="83" t="s">
        <v>157</v>
      </c>
      <c r="DD6" s="27">
        <v>0.1197839</v>
      </c>
      <c r="DE6" s="28">
        <v>0.135472</v>
      </c>
      <c r="DF6" s="25">
        <v>0.1380986</v>
      </c>
      <c r="DG6" s="83" t="s">
        <v>157</v>
      </c>
      <c r="DI6" s="27">
        <v>0.0001253</v>
      </c>
      <c r="DJ6" s="28">
        <v>0.0001256</v>
      </c>
      <c r="DK6" s="25">
        <v>0.0001281</v>
      </c>
      <c r="DL6" s="83" t="s">
        <v>157</v>
      </c>
      <c r="DN6" s="27">
        <v>3.4E-05</v>
      </c>
      <c r="DO6" s="28">
        <v>3.41E-05</v>
      </c>
      <c r="DP6" s="25">
        <v>3.47E-05</v>
      </c>
      <c r="DQ6" s="83" t="s">
        <v>157</v>
      </c>
      <c r="DS6" s="27">
        <v>0.0050674</v>
      </c>
      <c r="DT6" s="28">
        <v>0.0051669</v>
      </c>
      <c r="DU6" s="25">
        <v>0.0052671</v>
      </c>
      <c r="DV6" s="83" t="s">
        <v>157</v>
      </c>
      <c r="DX6" s="27">
        <v>0.5479836</v>
      </c>
      <c r="DY6" s="28">
        <v>0.0634177</v>
      </c>
      <c r="DZ6" s="25">
        <v>0</v>
      </c>
      <c r="EA6" s="83" t="s">
        <v>157</v>
      </c>
    </row>
    <row r="7" spans="1:131" ht="12.75">
      <c r="A7" s="30"/>
      <c r="C7" s="31" t="s">
        <v>11</v>
      </c>
      <c r="D7" s="31" t="s">
        <v>12</v>
      </c>
      <c r="E7" s="31" t="s">
        <v>13</v>
      </c>
      <c r="F7" s="31" t="s">
        <v>158</v>
      </c>
      <c r="H7" s="31" t="s">
        <v>11</v>
      </c>
      <c r="I7" s="31" t="s">
        <v>12</v>
      </c>
      <c r="J7" s="31" t="s">
        <v>13</v>
      </c>
      <c r="K7" s="31" t="s">
        <v>158</v>
      </c>
      <c r="M7" s="31" t="s">
        <v>11</v>
      </c>
      <c r="N7" s="31" t="s">
        <v>12</v>
      </c>
      <c r="O7" s="31" t="s">
        <v>13</v>
      </c>
      <c r="P7" s="31" t="s">
        <v>158</v>
      </c>
      <c r="R7" s="32" t="s">
        <v>11</v>
      </c>
      <c r="S7" s="32" t="s">
        <v>12</v>
      </c>
      <c r="T7" s="32" t="s">
        <v>13</v>
      </c>
      <c r="U7" s="31" t="s">
        <v>158</v>
      </c>
      <c r="W7" s="32" t="s">
        <v>11</v>
      </c>
      <c r="X7" s="32" t="s">
        <v>12</v>
      </c>
      <c r="Y7" s="32" t="s">
        <v>13</v>
      </c>
      <c r="Z7" s="31" t="s">
        <v>158</v>
      </c>
      <c r="AB7" s="32" t="s">
        <v>11</v>
      </c>
      <c r="AC7" s="32" t="s">
        <v>12</v>
      </c>
      <c r="AD7" s="32" t="s">
        <v>13</v>
      </c>
      <c r="AE7" s="31" t="s">
        <v>158</v>
      </c>
      <c r="AG7" s="32" t="s">
        <v>11</v>
      </c>
      <c r="AH7" s="32" t="s">
        <v>12</v>
      </c>
      <c r="AI7" s="32" t="s">
        <v>13</v>
      </c>
      <c r="AJ7" s="31" t="s">
        <v>158</v>
      </c>
      <c r="AL7" s="32" t="s">
        <v>11</v>
      </c>
      <c r="AM7" s="32" t="s">
        <v>12</v>
      </c>
      <c r="AN7" s="32" t="s">
        <v>13</v>
      </c>
      <c r="AO7" s="31" t="s">
        <v>158</v>
      </c>
      <c r="AQ7" s="32" t="s">
        <v>11</v>
      </c>
      <c r="AR7" s="32" t="s">
        <v>12</v>
      </c>
      <c r="AS7" s="32" t="s">
        <v>13</v>
      </c>
      <c r="AT7" s="31" t="s">
        <v>158</v>
      </c>
      <c r="AV7" s="32" t="s">
        <v>11</v>
      </c>
      <c r="AW7" s="32" t="s">
        <v>12</v>
      </c>
      <c r="AX7" s="32" t="s">
        <v>13</v>
      </c>
      <c r="AY7" s="31" t="s">
        <v>158</v>
      </c>
      <c r="BA7" s="32" t="s">
        <v>11</v>
      </c>
      <c r="BB7" s="32" t="s">
        <v>12</v>
      </c>
      <c r="BC7" s="32" t="s">
        <v>13</v>
      </c>
      <c r="BD7" s="31" t="s">
        <v>158</v>
      </c>
      <c r="BE7" s="33"/>
      <c r="BF7" s="32" t="s">
        <v>11</v>
      </c>
      <c r="BG7" s="32" t="s">
        <v>12</v>
      </c>
      <c r="BH7" s="32" t="s">
        <v>13</v>
      </c>
      <c r="BI7" s="31" t="s">
        <v>158</v>
      </c>
      <c r="BJ7" s="33"/>
      <c r="BK7" s="32" t="s">
        <v>11</v>
      </c>
      <c r="BL7" s="32" t="s">
        <v>12</v>
      </c>
      <c r="BM7" s="32" t="s">
        <v>13</v>
      </c>
      <c r="BN7" s="31" t="s">
        <v>158</v>
      </c>
      <c r="BO7" s="33"/>
      <c r="BP7" s="32" t="s">
        <v>11</v>
      </c>
      <c r="BQ7" s="32" t="s">
        <v>12</v>
      </c>
      <c r="BR7" s="32" t="s">
        <v>13</v>
      </c>
      <c r="BS7" s="31" t="s">
        <v>158</v>
      </c>
      <c r="BT7" s="33"/>
      <c r="BU7" s="32" t="s">
        <v>11</v>
      </c>
      <c r="BV7" s="32" t="s">
        <v>12</v>
      </c>
      <c r="BW7" s="32" t="s">
        <v>13</v>
      </c>
      <c r="BX7" s="31" t="s">
        <v>158</v>
      </c>
      <c r="BZ7" s="32" t="s">
        <v>11</v>
      </c>
      <c r="CA7" s="32" t="s">
        <v>12</v>
      </c>
      <c r="CB7" s="32" t="s">
        <v>13</v>
      </c>
      <c r="CC7" s="31" t="s">
        <v>158</v>
      </c>
      <c r="CE7" s="32" t="s">
        <v>11</v>
      </c>
      <c r="CF7" s="32" t="s">
        <v>12</v>
      </c>
      <c r="CG7" s="32" t="s">
        <v>13</v>
      </c>
      <c r="CH7" s="31" t="s">
        <v>158</v>
      </c>
      <c r="CJ7" s="32" t="s">
        <v>11</v>
      </c>
      <c r="CK7" s="32" t="s">
        <v>12</v>
      </c>
      <c r="CL7" s="32" t="s">
        <v>13</v>
      </c>
      <c r="CM7" s="31" t="s">
        <v>158</v>
      </c>
      <c r="CO7" s="32" t="s">
        <v>11</v>
      </c>
      <c r="CP7" s="32" t="s">
        <v>12</v>
      </c>
      <c r="CQ7" s="32" t="s">
        <v>13</v>
      </c>
      <c r="CR7" s="31" t="s">
        <v>158</v>
      </c>
      <c r="CT7" s="32" t="s">
        <v>11</v>
      </c>
      <c r="CU7" s="32" t="s">
        <v>12</v>
      </c>
      <c r="CV7" s="32" t="s">
        <v>13</v>
      </c>
      <c r="CW7" s="31" t="s">
        <v>158</v>
      </c>
      <c r="CY7" s="32" t="s">
        <v>11</v>
      </c>
      <c r="CZ7" s="32" t="s">
        <v>12</v>
      </c>
      <c r="DA7" s="32" t="s">
        <v>13</v>
      </c>
      <c r="DB7" s="31" t="s">
        <v>158</v>
      </c>
      <c r="DD7" s="32" t="s">
        <v>11</v>
      </c>
      <c r="DE7" s="32" t="s">
        <v>12</v>
      </c>
      <c r="DF7" s="32" t="s">
        <v>13</v>
      </c>
      <c r="DG7" s="31" t="s">
        <v>158</v>
      </c>
      <c r="DI7" s="32" t="s">
        <v>11</v>
      </c>
      <c r="DJ7" s="32" t="s">
        <v>12</v>
      </c>
      <c r="DK7" s="32" t="s">
        <v>13</v>
      </c>
      <c r="DL7" s="31" t="s">
        <v>158</v>
      </c>
      <c r="DN7" s="32" t="s">
        <v>11</v>
      </c>
      <c r="DO7" s="32" t="s">
        <v>12</v>
      </c>
      <c r="DP7" s="32" t="s">
        <v>13</v>
      </c>
      <c r="DQ7" s="31" t="s">
        <v>158</v>
      </c>
      <c r="DS7" s="32" t="s">
        <v>11</v>
      </c>
      <c r="DT7" s="32" t="s">
        <v>12</v>
      </c>
      <c r="DU7" s="32" t="s">
        <v>13</v>
      </c>
      <c r="DV7" s="31" t="s">
        <v>158</v>
      </c>
      <c r="DX7" s="32" t="s">
        <v>11</v>
      </c>
      <c r="DY7" s="32" t="s">
        <v>12</v>
      </c>
      <c r="DZ7" s="32" t="s">
        <v>13</v>
      </c>
      <c r="EA7" s="31" t="s">
        <v>158</v>
      </c>
    </row>
    <row r="8" spans="1:146" ht="12.75">
      <c r="A8" s="37">
        <v>43009</v>
      </c>
      <c r="B8" s="38"/>
      <c r="D8" s="3">
        <v>1596906</v>
      </c>
      <c r="E8" s="35">
        <f aca="true" t="shared" si="0" ref="E8:E37">C8+D8</f>
        <v>1596906</v>
      </c>
      <c r="F8" s="35">
        <v>239565</v>
      </c>
      <c r="H8" s="36"/>
      <c r="I8" s="36">
        <v>107056</v>
      </c>
      <c r="J8" s="36">
        <f aca="true" t="shared" si="1" ref="J8:J37">H8+I8</f>
        <v>107056</v>
      </c>
      <c r="K8" s="35">
        <f>'Academic Project '!K8</f>
        <v>16060.341773999997</v>
      </c>
      <c r="M8" s="36"/>
      <c r="N8" s="35">
        <f aca="true" t="shared" si="2" ref="N8:N37">S8+X8+AC8+AH8+AM8+AR8+AW8+BB8+BG8+BL8+BQ8+BV8+CA8+CF8+CK8+CP8+CU8+CZ8+DE8+DJ8+DO8+DT8+DY8</f>
        <v>1489850.220213</v>
      </c>
      <c r="O8" s="36">
        <f aca="true" t="shared" si="3" ref="O8:O37">M8+N8</f>
        <v>1489850.220213</v>
      </c>
      <c r="P8" s="36">
        <f aca="true" t="shared" si="4" ref="P8:P37">U8+Z8+AE8+AJ8+AT8+AY8+BD8+BX8+CC8+CH8+CM8+CR8+CW8+DB8+DG8+DL8+DQ8+DV8+AO8+BI8+BN8+BS8+EA8</f>
        <v>223504.6821825</v>
      </c>
      <c r="R8" s="36"/>
      <c r="S8" s="36">
        <f aca="true" t="shared" si="5" ref="S8:S37">D8*$T$6</f>
        <v>368507.93711219996</v>
      </c>
      <c r="T8" s="36">
        <f aca="true" t="shared" si="6" ref="T8:T37">R8+S8</f>
        <v>368507.93711219996</v>
      </c>
      <c r="U8" s="36">
        <f aca="true" t="shared" si="7" ref="U8:U37">T$6*$F8</f>
        <v>55282.90579049999</v>
      </c>
      <c r="W8" s="36"/>
      <c r="X8" s="36">
        <f aca="true" t="shared" si="8" ref="X8:X37">D8*$Y$6</f>
        <v>18204.8880906</v>
      </c>
      <c r="Y8" s="36">
        <f aca="true" t="shared" si="9" ref="Y8:Y37">W8+X8</f>
        <v>18204.8880906</v>
      </c>
      <c r="Z8" s="36">
        <f aca="true" t="shared" si="10" ref="Z8:Z37">Y$6*$F8</f>
        <v>2731.0649565</v>
      </c>
      <c r="AB8" s="36"/>
      <c r="AC8" s="36">
        <f aca="true" t="shared" si="11" ref="AC8:AC37">D8*$AD$6</f>
        <v>107332.2042156</v>
      </c>
      <c r="AD8" s="36">
        <f aca="true" t="shared" si="12" ref="AD8:AD37">AB8+AC8</f>
        <v>107332.2042156</v>
      </c>
      <c r="AE8" s="36">
        <f aca="true" t="shared" si="13" ref="AE8:AE37">AD$6*$F8</f>
        <v>16101.786519</v>
      </c>
      <c r="AG8" s="36"/>
      <c r="AH8" s="36">
        <f aca="true" t="shared" si="14" ref="AH8:AH37">D8*$AI$6</f>
        <v>12312.943713</v>
      </c>
      <c r="AI8" s="36">
        <f aca="true" t="shared" si="15" ref="AI8:AI37">AG8+AH8</f>
        <v>12312.943713</v>
      </c>
      <c r="AJ8" s="36">
        <f aca="true" t="shared" si="16" ref="AJ8:AJ37">AI$6*$F8</f>
        <v>1847.1659325</v>
      </c>
      <c r="AL8" s="36"/>
      <c r="AM8" s="36">
        <f aca="true" t="shared" si="17" ref="AM8:AM37">D8*$AN$6</f>
        <v>330.55954199999996</v>
      </c>
      <c r="AN8" s="36">
        <f aca="true" t="shared" si="18" ref="AN8:AN37">AL8+AM8</f>
        <v>330.55954199999996</v>
      </c>
      <c r="AO8" s="36">
        <f aca="true" t="shared" si="19" ref="AO8:AO37">AN$6*$F8</f>
        <v>49.589954999999996</v>
      </c>
      <c r="AQ8" s="36"/>
      <c r="AR8" s="36">
        <f aca="true" t="shared" si="20" ref="AR8:AR37">D8*$AS$6</f>
        <v>27020.6076636</v>
      </c>
      <c r="AS8" s="36">
        <f aca="true" t="shared" si="21" ref="AS8:AS37">AQ8+AR8</f>
        <v>27020.6076636</v>
      </c>
      <c r="AT8" s="36">
        <f aca="true" t="shared" si="22" ref="AT8:AT37">AS$6*$F8</f>
        <v>4053.583539</v>
      </c>
      <c r="AV8" s="36"/>
      <c r="AW8" s="36">
        <f aca="true" t="shared" si="23" ref="AW8:AW37">D8*$AX$6</f>
        <v>540.8720622</v>
      </c>
      <c r="AX8" s="5">
        <f aca="true" t="shared" si="24" ref="AX8:AX37">AV8+AW8</f>
        <v>540.8720622</v>
      </c>
      <c r="AY8" s="36">
        <f aca="true" t="shared" si="25" ref="AY8:AY37">AX$6*$F8</f>
        <v>81.1406655</v>
      </c>
      <c r="AZ8" s="5"/>
      <c r="BA8" s="36"/>
      <c r="BB8" s="36">
        <f aca="true" t="shared" si="26" ref="BB8:BB37">D8*$BC$6</f>
        <v>180649.5121782</v>
      </c>
      <c r="BC8" s="5">
        <f aca="true" t="shared" si="27" ref="BC8:BC37">BA8+BB8</f>
        <v>180649.5121782</v>
      </c>
      <c r="BD8" s="36">
        <f aca="true" t="shared" si="28" ref="BD8:BD37">BC$6*$F8</f>
        <v>27100.7187555</v>
      </c>
      <c r="BE8" s="5"/>
      <c r="BF8" s="36"/>
      <c r="BG8" s="36">
        <f aca="true" t="shared" si="29" ref="BG8:BG37">D8*$BH$6</f>
        <v>239.0568282</v>
      </c>
      <c r="BH8" s="5">
        <f aca="true" t="shared" si="30" ref="BH8:BH37">BF8+BG8</f>
        <v>239.0568282</v>
      </c>
      <c r="BI8" s="36">
        <f aca="true" t="shared" si="31" ref="BI8:BI37">BH$6*$F8</f>
        <v>35.8628805</v>
      </c>
      <c r="BJ8" s="5"/>
      <c r="BK8" s="36"/>
      <c r="BL8" s="36">
        <f aca="true" t="shared" si="32" ref="BL8:BL37">D8*$BM$6</f>
        <v>50.1428484</v>
      </c>
      <c r="BM8" s="5">
        <f aca="true" t="shared" si="33" ref="BM8:BM37">BK8+BL8</f>
        <v>50.1428484</v>
      </c>
      <c r="BN8" s="36">
        <f aca="true" t="shared" si="34" ref="BN8:BN37">BM$6*$F8</f>
        <v>7.522340999999999</v>
      </c>
      <c r="BO8" s="5"/>
      <c r="BP8" s="36"/>
      <c r="BQ8" s="36">
        <f aca="true" t="shared" si="35" ref="BQ8:BQ37">D8*$BR$6</f>
        <v>59.88397499999999</v>
      </c>
      <c r="BR8" s="5">
        <f aca="true" t="shared" si="36" ref="BR8:BR37">BP8+BQ8</f>
        <v>59.88397499999999</v>
      </c>
      <c r="BS8" s="36">
        <f aca="true" t="shared" si="37" ref="BS8:BS37">BR$6*$F8</f>
        <v>8.983687499999998</v>
      </c>
      <c r="BT8" s="5"/>
      <c r="BU8" s="36">
        <f aca="true" t="shared" si="38" ref="BU8:BU37">C8*$BW$6</f>
        <v>0</v>
      </c>
      <c r="BV8" s="36">
        <f aca="true" t="shared" si="39" ref="BV8:BV37">D8*$BW$6</f>
        <v>295336.9057392</v>
      </c>
      <c r="BW8" s="5">
        <f aca="true" t="shared" si="40" ref="BW8:BW37">BU8+BV8</f>
        <v>295336.9057392</v>
      </c>
      <c r="BX8" s="36">
        <f aca="true" t="shared" si="41" ref="BX8:BX37">BW$6*$F8</f>
        <v>44305.917708</v>
      </c>
      <c r="BY8" s="5"/>
      <c r="BZ8" s="36"/>
      <c r="CA8" s="36">
        <f aca="true" t="shared" si="42" ref="CA8:CA37">D8*$CB$6</f>
        <v>122.96176200000001</v>
      </c>
      <c r="CB8" s="5">
        <f aca="true" t="shared" si="43" ref="CB8:CB37">BZ8+CA8</f>
        <v>122.96176200000001</v>
      </c>
      <c r="CC8" s="36">
        <f aca="true" t="shared" si="44" ref="CC8:CC37">CB$6*$F8</f>
        <v>18.446505000000002</v>
      </c>
      <c r="CD8" s="5"/>
      <c r="CE8" s="36"/>
      <c r="CF8" s="36">
        <f aca="true" t="shared" si="45" ref="CF8:CF37">D8*$CG$6</f>
        <v>212249.567178</v>
      </c>
      <c r="CG8" s="5">
        <f aca="true" t="shared" si="46" ref="CG8:CG37">CE8+CF8</f>
        <v>212249.567178</v>
      </c>
      <c r="CH8" s="36">
        <f aca="true" t="shared" si="47" ref="CH8:CH37">CG$6*$F8</f>
        <v>31841.302845000002</v>
      </c>
      <c r="CI8" s="5"/>
      <c r="CJ8" s="36"/>
      <c r="CK8" s="36">
        <f aca="true" t="shared" si="48" ref="CK8:CK37">D8*$CL$6</f>
        <v>40.2420312</v>
      </c>
      <c r="CL8" s="5">
        <f aca="true" t="shared" si="49" ref="CL8:CL37">CJ8+CK8</f>
        <v>40.2420312</v>
      </c>
      <c r="CM8" s="36">
        <f aca="true" t="shared" si="50" ref="CM8:CM37">CL$6*$F8</f>
        <v>6.037038</v>
      </c>
      <c r="CN8" s="5"/>
      <c r="CO8" s="36"/>
      <c r="CP8" s="36">
        <f aca="true" t="shared" si="51" ref="CP8:CP37">D8*$CQ$6</f>
        <v>16399.5858576</v>
      </c>
      <c r="CQ8" s="5">
        <f aca="true" t="shared" si="52" ref="CQ8:CQ37">CO8+CP8</f>
        <v>16399.5858576</v>
      </c>
      <c r="CR8" s="36">
        <f aca="true" t="shared" si="53" ref="CR8:CR37">CQ$6*$F8</f>
        <v>2460.236724</v>
      </c>
      <c r="CS8" s="5"/>
      <c r="CT8" s="5"/>
      <c r="CU8" s="36">
        <f aca="true" t="shared" si="54" ref="CU8:CU37">D8*$CV$6</f>
        <v>20974.4021664</v>
      </c>
      <c r="CV8" s="36">
        <f aca="true" t="shared" si="55" ref="CV8:CV37">CT8+CU8</f>
        <v>20974.4021664</v>
      </c>
      <c r="CW8" s="36">
        <f aca="true" t="shared" si="56" ref="CW8:CW37">CV$6*$F8</f>
        <v>3146.542536</v>
      </c>
      <c r="CX8" s="5"/>
      <c r="CY8" s="5"/>
      <c r="CZ8" s="36">
        <f aca="true" t="shared" si="57" ref="CZ8:CZ37">D8*$DA$6</f>
        <v>276.4244286</v>
      </c>
      <c r="DA8" s="36">
        <f aca="true" t="shared" si="58" ref="DA8:DA37">CY8+CZ8</f>
        <v>276.4244286</v>
      </c>
      <c r="DB8" s="36">
        <f aca="true" t="shared" si="59" ref="DB8:DB37">DA$6*$F8</f>
        <v>41.4687015</v>
      </c>
      <c r="DC8" s="5"/>
      <c r="DD8" s="5"/>
      <c r="DE8" s="36">
        <f aca="true" t="shared" si="60" ref="DE8:DE37">D8*$DF$6</f>
        <v>220530.48293159998</v>
      </c>
      <c r="DF8" s="36">
        <f aca="true" t="shared" si="61" ref="DF8:DF37">DD8+DE8</f>
        <v>220530.48293159998</v>
      </c>
      <c r="DG8" s="36">
        <f aca="true" t="shared" si="62" ref="DG8:DG37">DF$6*$F8</f>
        <v>33083.59110899999</v>
      </c>
      <c r="DH8" s="5"/>
      <c r="DI8" s="36"/>
      <c r="DJ8" s="36">
        <f aca="true" t="shared" si="63" ref="DJ8:DJ37">D8*$DK$6</f>
        <v>204.5636586</v>
      </c>
      <c r="DK8" s="5">
        <f aca="true" t="shared" si="64" ref="DK8:DK37">DI8+DJ8</f>
        <v>204.5636586</v>
      </c>
      <c r="DL8" s="36">
        <f aca="true" t="shared" si="65" ref="DL8:DL37">DK$6*$F8</f>
        <v>30.6882765</v>
      </c>
      <c r="DM8" s="5"/>
      <c r="DN8" s="5"/>
      <c r="DO8" s="5">
        <f aca="true" t="shared" si="66" ref="DO8:DO37">D8*$DP$6</f>
        <v>55.4126382</v>
      </c>
      <c r="DP8" s="5">
        <f aca="true" t="shared" si="67" ref="DP8:DP37">DN8+DO8</f>
        <v>55.4126382</v>
      </c>
      <c r="DQ8" s="36">
        <f aca="true" t="shared" si="68" ref="DQ8:DQ37">DP$6*$F8</f>
        <v>8.312905500000001</v>
      </c>
      <c r="DR8" s="5"/>
      <c r="DS8" s="36"/>
      <c r="DT8" s="36">
        <f aca="true" t="shared" si="69" ref="DT8:DT37">D8*$DU$6</f>
        <v>8411.0635926</v>
      </c>
      <c r="DU8" s="5">
        <f aca="true" t="shared" si="70" ref="DU8:DU37">DS8+DT8</f>
        <v>8411.0635926</v>
      </c>
      <c r="DV8" s="36">
        <f aca="true" t="shared" si="71" ref="DV8:DV37">DU$6*$F8</f>
        <v>1261.8128115</v>
      </c>
      <c r="DW8" s="5"/>
      <c r="DX8" s="36"/>
      <c r="DY8" s="36"/>
      <c r="DZ8" s="5"/>
      <c r="EA8" s="36">
        <f aca="true" t="shared" si="72" ref="EA8:EA37">DZ$6*$F8</f>
        <v>0</v>
      </c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</row>
    <row r="9" spans="1:146" ht="12.75">
      <c r="A9" s="37">
        <v>43191</v>
      </c>
      <c r="C9" s="3">
        <v>4855000</v>
      </c>
      <c r="D9" s="3">
        <v>1596906</v>
      </c>
      <c r="E9" s="35">
        <f t="shared" si="0"/>
        <v>6451906</v>
      </c>
      <c r="F9" s="35">
        <v>239565</v>
      </c>
      <c r="H9" s="36">
        <v>325477</v>
      </c>
      <c r="I9" s="36">
        <v>107056</v>
      </c>
      <c r="J9" s="36">
        <f t="shared" si="1"/>
        <v>432533</v>
      </c>
      <c r="K9" s="35">
        <f>'Academic Project '!K9</f>
        <v>16060.341773999997</v>
      </c>
      <c r="M9" s="36">
        <f aca="true" t="shared" si="73" ref="M9:M37">R9+W9+AB9+AG9+AL9+AQ9+AV9+BA9+BF9+BK9+BP9+BU9+BZ9+CE9+CJ9+CO9+CT9+CY9+DD9+DI9+DN9+DS9+DX9</f>
        <v>4529523.2275</v>
      </c>
      <c r="N9" s="35">
        <f t="shared" si="2"/>
        <v>1489850.220213</v>
      </c>
      <c r="O9" s="36">
        <f t="shared" si="3"/>
        <v>6019373.447713</v>
      </c>
      <c r="P9" s="36">
        <f t="shared" si="4"/>
        <v>223504.6821825</v>
      </c>
      <c r="R9" s="36">
        <f aca="true" t="shared" si="74" ref="R9:R37">C9*$T$6</f>
        <v>1120357.7635</v>
      </c>
      <c r="S9" s="36">
        <f t="shared" si="5"/>
        <v>368507.93711219996</v>
      </c>
      <c r="T9" s="36">
        <f t="shared" si="6"/>
        <v>1488865.7006122</v>
      </c>
      <c r="U9" s="36">
        <f t="shared" si="7"/>
        <v>55282.90579049999</v>
      </c>
      <c r="W9" s="36">
        <f aca="true" t="shared" si="75" ref="W9:W37">C9*$Y$6</f>
        <v>55347.4855</v>
      </c>
      <c r="X9" s="36">
        <f t="shared" si="8"/>
        <v>18204.8880906</v>
      </c>
      <c r="Y9" s="36">
        <f t="shared" si="9"/>
        <v>73552.37359060001</v>
      </c>
      <c r="Z9" s="36">
        <f t="shared" si="10"/>
        <v>2731.0649565</v>
      </c>
      <c r="AB9" s="36">
        <f aca="true" t="shared" si="76" ref="AB9:AB37">C9*$AD$6</f>
        <v>326317.173</v>
      </c>
      <c r="AC9" s="36">
        <f t="shared" si="11"/>
        <v>107332.2042156</v>
      </c>
      <c r="AD9" s="36">
        <f t="shared" si="12"/>
        <v>433649.3772156</v>
      </c>
      <c r="AE9" s="36">
        <f t="shared" si="13"/>
        <v>16101.786519</v>
      </c>
      <c r="AG9" s="36">
        <f aca="true" t="shared" si="77" ref="AG9:AG37">C9*$AI$6</f>
        <v>37434.4775</v>
      </c>
      <c r="AH9" s="36">
        <f t="shared" si="14"/>
        <v>12312.943713</v>
      </c>
      <c r="AI9" s="36">
        <f t="shared" si="15"/>
        <v>49747.421213</v>
      </c>
      <c r="AJ9" s="36">
        <f t="shared" si="16"/>
        <v>1847.1659325</v>
      </c>
      <c r="AL9" s="36">
        <f aca="true" t="shared" si="78" ref="AL9:AL37">C9*$AN$6</f>
        <v>1004.9849999999999</v>
      </c>
      <c r="AM9" s="36">
        <f t="shared" si="17"/>
        <v>330.55954199999996</v>
      </c>
      <c r="AN9" s="36">
        <f t="shared" si="18"/>
        <v>1335.5445419999999</v>
      </c>
      <c r="AO9" s="36">
        <f t="shared" si="19"/>
        <v>49.589954999999996</v>
      </c>
      <c r="AQ9" s="36">
        <f aca="true" t="shared" si="79" ref="AQ9:AQ37">C9*$AS$6</f>
        <v>82149.513</v>
      </c>
      <c r="AR9" s="36">
        <f t="shared" si="20"/>
        <v>27020.6076636</v>
      </c>
      <c r="AS9" s="36">
        <f t="shared" si="21"/>
        <v>109170.12066360001</v>
      </c>
      <c r="AT9" s="36">
        <f t="shared" si="22"/>
        <v>4053.583539</v>
      </c>
      <c r="AV9" s="36">
        <f aca="true" t="shared" si="80" ref="AV9:AV37">C9*$AX$6</f>
        <v>1644.3885</v>
      </c>
      <c r="AW9" s="36">
        <f t="shared" si="23"/>
        <v>540.8720622</v>
      </c>
      <c r="AX9" s="5">
        <f t="shared" si="24"/>
        <v>2185.2605622</v>
      </c>
      <c r="AY9" s="36">
        <f t="shared" si="25"/>
        <v>81.1406655</v>
      </c>
      <c r="AZ9" s="5"/>
      <c r="BA9" s="36">
        <f aca="true" t="shared" si="81" ref="BA9:BA37">C9*$BC$6</f>
        <v>549220.4185</v>
      </c>
      <c r="BB9" s="36">
        <f t="shared" si="26"/>
        <v>180649.5121782</v>
      </c>
      <c r="BC9" s="5">
        <f t="shared" si="27"/>
        <v>729869.9306782</v>
      </c>
      <c r="BD9" s="36">
        <f t="shared" si="28"/>
        <v>27100.7187555</v>
      </c>
      <c r="BE9" s="5"/>
      <c r="BF9" s="36">
        <f aca="true" t="shared" si="82" ref="BF9:BF37">C9*$BH$6</f>
        <v>726.7935</v>
      </c>
      <c r="BG9" s="36">
        <f t="shared" si="29"/>
        <v>239.0568282</v>
      </c>
      <c r="BH9" s="5">
        <f t="shared" si="30"/>
        <v>965.8503282</v>
      </c>
      <c r="BI9" s="36">
        <f t="shared" si="31"/>
        <v>35.8628805</v>
      </c>
      <c r="BJ9" s="5"/>
      <c r="BK9" s="36">
        <f aca="true" t="shared" si="83" ref="BK9:BK37">C9*$BM$6</f>
        <v>152.44699999999997</v>
      </c>
      <c r="BL9" s="36">
        <f t="shared" si="32"/>
        <v>50.1428484</v>
      </c>
      <c r="BM9" s="5">
        <f t="shared" si="33"/>
        <v>202.58984839999997</v>
      </c>
      <c r="BN9" s="36">
        <f t="shared" si="34"/>
        <v>7.522340999999999</v>
      </c>
      <c r="BO9" s="5"/>
      <c r="BP9" s="36">
        <f aca="true" t="shared" si="84" ref="BP9:BP37">C9*$BR$6</f>
        <v>182.06249999999997</v>
      </c>
      <c r="BQ9" s="36">
        <f t="shared" si="35"/>
        <v>59.88397499999999</v>
      </c>
      <c r="BR9" s="5">
        <f t="shared" si="36"/>
        <v>241.94647499999996</v>
      </c>
      <c r="BS9" s="36">
        <f t="shared" si="37"/>
        <v>8.983687499999998</v>
      </c>
      <c r="BT9" s="5"/>
      <c r="BU9" s="36">
        <f t="shared" si="38"/>
        <v>897899.236</v>
      </c>
      <c r="BV9" s="36">
        <f t="shared" si="39"/>
        <v>295336.9057392</v>
      </c>
      <c r="BW9" s="5">
        <f t="shared" si="40"/>
        <v>1193236.1417392</v>
      </c>
      <c r="BX9" s="36">
        <f t="shared" si="41"/>
        <v>44305.917708</v>
      </c>
      <c r="BY9" s="5"/>
      <c r="BZ9" s="36">
        <f aca="true" t="shared" si="85" ref="BZ9:BZ37">C9*$CB$6</f>
        <v>373.835</v>
      </c>
      <c r="CA9" s="36">
        <f t="shared" si="42"/>
        <v>122.96176200000001</v>
      </c>
      <c r="CB9" s="5">
        <f t="shared" si="43"/>
        <v>496.796762</v>
      </c>
      <c r="CC9" s="36">
        <f t="shared" si="44"/>
        <v>18.446505000000002</v>
      </c>
      <c r="CD9" s="5"/>
      <c r="CE9" s="36">
        <f aca="true" t="shared" si="86" ref="CE9:CE37">C9*$CG$6</f>
        <v>645292.615</v>
      </c>
      <c r="CF9" s="36">
        <f t="shared" si="45"/>
        <v>212249.567178</v>
      </c>
      <c r="CG9" s="5">
        <f t="shared" si="46"/>
        <v>857542.182178</v>
      </c>
      <c r="CH9" s="36">
        <f t="shared" si="47"/>
        <v>31841.302845000002</v>
      </c>
      <c r="CI9" s="5"/>
      <c r="CJ9" s="36">
        <f aca="true" t="shared" si="87" ref="CJ9:CJ37">C9*$CL$6</f>
        <v>122.34599999999999</v>
      </c>
      <c r="CK9" s="36">
        <f t="shared" si="48"/>
        <v>40.2420312</v>
      </c>
      <c r="CL9" s="5">
        <f t="shared" si="49"/>
        <v>162.5880312</v>
      </c>
      <c r="CM9" s="36">
        <f t="shared" si="50"/>
        <v>6.037038</v>
      </c>
      <c r="CN9" s="5"/>
      <c r="CO9" s="36">
        <f aca="true" t="shared" si="88" ref="CO9:CO37">C9*$CQ$6</f>
        <v>49858.908</v>
      </c>
      <c r="CP9" s="36">
        <f t="shared" si="51"/>
        <v>16399.5858576</v>
      </c>
      <c r="CQ9" s="5">
        <f t="shared" si="52"/>
        <v>66258.4938576</v>
      </c>
      <c r="CR9" s="36">
        <f t="shared" si="53"/>
        <v>2460.236724</v>
      </c>
      <c r="CS9" s="5"/>
      <c r="CT9" s="5">
        <f aca="true" t="shared" si="89" ref="CT9:CT37">C9*$CV$6</f>
        <v>63767.511999999995</v>
      </c>
      <c r="CU9" s="36">
        <f t="shared" si="54"/>
        <v>20974.4021664</v>
      </c>
      <c r="CV9" s="36">
        <f t="shared" si="55"/>
        <v>84741.91416639999</v>
      </c>
      <c r="CW9" s="36">
        <f t="shared" si="56"/>
        <v>3146.542536</v>
      </c>
      <c r="CX9" s="5"/>
      <c r="CY9" s="5">
        <f aca="true" t="shared" si="90" ref="CY9:CY37">C9*$DA$6</f>
        <v>840.4005000000001</v>
      </c>
      <c r="CZ9" s="36">
        <f t="shared" si="57"/>
        <v>276.4244286</v>
      </c>
      <c r="DA9" s="36">
        <f t="shared" si="58"/>
        <v>1116.8249286</v>
      </c>
      <c r="DB9" s="36">
        <f t="shared" si="59"/>
        <v>41.4687015</v>
      </c>
      <c r="DC9" s="5"/>
      <c r="DD9" s="5">
        <f aca="true" t="shared" si="91" ref="DD9:DD37">C9*$DF$6</f>
        <v>670468.703</v>
      </c>
      <c r="DE9" s="36">
        <f t="shared" si="60"/>
        <v>220530.48293159998</v>
      </c>
      <c r="DF9" s="36">
        <f t="shared" si="61"/>
        <v>890999.1859315999</v>
      </c>
      <c r="DG9" s="36">
        <f t="shared" si="62"/>
        <v>33083.59110899999</v>
      </c>
      <c r="DH9" s="5"/>
      <c r="DI9" s="36">
        <f aca="true" t="shared" si="92" ref="DI9:DI37">C9*$DK$6</f>
        <v>621.9254999999999</v>
      </c>
      <c r="DJ9" s="36">
        <f t="shared" si="63"/>
        <v>204.5636586</v>
      </c>
      <c r="DK9" s="5">
        <f t="shared" si="64"/>
        <v>826.4891585999999</v>
      </c>
      <c r="DL9" s="36">
        <f t="shared" si="65"/>
        <v>30.6882765</v>
      </c>
      <c r="DM9" s="5"/>
      <c r="DN9" s="5">
        <f aca="true" t="shared" si="93" ref="DN9:DN37">C9*$DP$6</f>
        <v>168.4685</v>
      </c>
      <c r="DO9" s="5">
        <f t="shared" si="66"/>
        <v>55.4126382</v>
      </c>
      <c r="DP9" s="5">
        <f t="shared" si="67"/>
        <v>223.8811382</v>
      </c>
      <c r="DQ9" s="36">
        <f t="shared" si="68"/>
        <v>8.312905500000001</v>
      </c>
      <c r="DR9" s="5"/>
      <c r="DS9" s="36">
        <f aca="true" t="shared" si="94" ref="DS9:DS37">C9*$DU$6</f>
        <v>25571.770500000002</v>
      </c>
      <c r="DT9" s="36">
        <f t="shared" si="69"/>
        <v>8411.0635926</v>
      </c>
      <c r="DU9" s="5">
        <f t="shared" si="70"/>
        <v>33982.8340926</v>
      </c>
      <c r="DV9" s="36">
        <f t="shared" si="71"/>
        <v>1261.8128115</v>
      </c>
      <c r="DW9" s="5"/>
      <c r="DX9" s="36"/>
      <c r="DY9" s="36"/>
      <c r="DZ9" s="5"/>
      <c r="EA9" s="36">
        <f t="shared" si="72"/>
        <v>0</v>
      </c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</row>
    <row r="10" spans="1:146" ht="12.75">
      <c r="A10" s="37">
        <v>43374</v>
      </c>
      <c r="D10" s="3">
        <v>1475531</v>
      </c>
      <c r="E10" s="35">
        <f t="shared" si="0"/>
        <v>1475531</v>
      </c>
      <c r="F10" s="35">
        <v>239565</v>
      </c>
      <c r="H10" s="36"/>
      <c r="I10" s="36">
        <v>98919</v>
      </c>
      <c r="J10" s="36">
        <f t="shared" si="1"/>
        <v>98919</v>
      </c>
      <c r="K10" s="35">
        <f>'Academic Project '!K10</f>
        <v>16060.341773999997</v>
      </c>
      <c r="M10" s="36"/>
      <c r="N10" s="35">
        <f t="shared" si="2"/>
        <v>1376612.1395254997</v>
      </c>
      <c r="O10" s="36">
        <f t="shared" si="3"/>
        <v>1376612.1395254997</v>
      </c>
      <c r="P10" s="36">
        <f t="shared" si="4"/>
        <v>223504.6821825</v>
      </c>
      <c r="R10" s="36"/>
      <c r="S10" s="36">
        <f t="shared" si="5"/>
        <v>340498.9930247</v>
      </c>
      <c r="T10" s="36">
        <f t="shared" si="6"/>
        <v>340498.9930247</v>
      </c>
      <c r="U10" s="36">
        <f t="shared" si="7"/>
        <v>55282.90579049999</v>
      </c>
      <c r="W10" s="36"/>
      <c r="X10" s="36">
        <f t="shared" si="8"/>
        <v>16821.2009531</v>
      </c>
      <c r="Y10" s="36">
        <f t="shared" si="9"/>
        <v>16821.2009531</v>
      </c>
      <c r="Z10" s="36">
        <f t="shared" si="10"/>
        <v>2731.0649565</v>
      </c>
      <c r="AB10" s="36"/>
      <c r="AC10" s="36">
        <f t="shared" si="11"/>
        <v>99174.27489059999</v>
      </c>
      <c r="AD10" s="36">
        <f t="shared" si="12"/>
        <v>99174.27489059999</v>
      </c>
      <c r="AE10" s="36">
        <f t="shared" si="13"/>
        <v>16101.786519</v>
      </c>
      <c r="AG10" s="36"/>
      <c r="AH10" s="36">
        <f t="shared" si="14"/>
        <v>11377.0817755</v>
      </c>
      <c r="AI10" s="36">
        <f t="shared" si="15"/>
        <v>11377.0817755</v>
      </c>
      <c r="AJ10" s="36">
        <f t="shared" si="16"/>
        <v>1847.1659325</v>
      </c>
      <c r="AL10" s="36"/>
      <c r="AM10" s="36">
        <f t="shared" si="17"/>
        <v>305.434917</v>
      </c>
      <c r="AN10" s="36">
        <f t="shared" si="18"/>
        <v>305.434917</v>
      </c>
      <c r="AO10" s="36">
        <f t="shared" si="19"/>
        <v>49.589954999999996</v>
      </c>
      <c r="AQ10" s="36"/>
      <c r="AR10" s="36">
        <f t="shared" si="20"/>
        <v>24966.8698386</v>
      </c>
      <c r="AS10" s="36">
        <f t="shared" si="21"/>
        <v>24966.8698386</v>
      </c>
      <c r="AT10" s="36">
        <f t="shared" si="22"/>
        <v>4053.583539</v>
      </c>
      <c r="AV10" s="36"/>
      <c r="AW10" s="36">
        <f t="shared" si="23"/>
        <v>499.7623497</v>
      </c>
      <c r="AX10" s="5">
        <f t="shared" si="24"/>
        <v>499.7623497</v>
      </c>
      <c r="AY10" s="36">
        <f t="shared" si="25"/>
        <v>81.1406655</v>
      </c>
      <c r="AZ10" s="5"/>
      <c r="BA10" s="36"/>
      <c r="BB10" s="36">
        <f t="shared" si="26"/>
        <v>166919.0017157</v>
      </c>
      <c r="BC10" s="5">
        <f t="shared" si="27"/>
        <v>166919.0017157</v>
      </c>
      <c r="BD10" s="36">
        <f t="shared" si="28"/>
        <v>27100.7187555</v>
      </c>
      <c r="BE10" s="5"/>
      <c r="BF10" s="36"/>
      <c r="BG10" s="36">
        <f t="shared" si="29"/>
        <v>220.8869907</v>
      </c>
      <c r="BH10" s="5">
        <f t="shared" si="30"/>
        <v>220.8869907</v>
      </c>
      <c r="BI10" s="36">
        <f t="shared" si="31"/>
        <v>35.8628805</v>
      </c>
      <c r="BJ10" s="5"/>
      <c r="BK10" s="36"/>
      <c r="BL10" s="36">
        <f t="shared" si="32"/>
        <v>46.3316734</v>
      </c>
      <c r="BM10" s="5">
        <f t="shared" si="33"/>
        <v>46.3316734</v>
      </c>
      <c r="BN10" s="36">
        <f t="shared" si="34"/>
        <v>7.522340999999999</v>
      </c>
      <c r="BO10" s="5"/>
      <c r="BP10" s="36"/>
      <c r="BQ10" s="36">
        <f t="shared" si="35"/>
        <v>55.3324125</v>
      </c>
      <c r="BR10" s="5">
        <f t="shared" si="36"/>
        <v>55.3324125</v>
      </c>
      <c r="BS10" s="36">
        <f t="shared" si="37"/>
        <v>8.983687499999998</v>
      </c>
      <c r="BT10" s="5"/>
      <c r="BU10" s="36">
        <f t="shared" si="38"/>
        <v>0</v>
      </c>
      <c r="BV10" s="36">
        <f t="shared" si="39"/>
        <v>272889.4248392</v>
      </c>
      <c r="BW10" s="5">
        <f t="shared" si="40"/>
        <v>272889.4248392</v>
      </c>
      <c r="BX10" s="36">
        <f t="shared" si="41"/>
        <v>44305.917708</v>
      </c>
      <c r="BY10" s="5"/>
      <c r="BZ10" s="36"/>
      <c r="CA10" s="36">
        <f t="shared" si="42"/>
        <v>113.615887</v>
      </c>
      <c r="CB10" s="5">
        <f t="shared" si="43"/>
        <v>113.615887</v>
      </c>
      <c r="CC10" s="36">
        <f t="shared" si="44"/>
        <v>18.446505000000002</v>
      </c>
      <c r="CD10" s="5"/>
      <c r="CE10" s="36"/>
      <c r="CF10" s="36">
        <f t="shared" si="45"/>
        <v>196117.251803</v>
      </c>
      <c r="CG10" s="5">
        <f t="shared" si="46"/>
        <v>196117.251803</v>
      </c>
      <c r="CH10" s="36">
        <f t="shared" si="47"/>
        <v>31841.302845000002</v>
      </c>
      <c r="CI10" s="5"/>
      <c r="CJ10" s="36"/>
      <c r="CK10" s="36">
        <f t="shared" si="48"/>
        <v>37.1833812</v>
      </c>
      <c r="CL10" s="5">
        <f t="shared" si="49"/>
        <v>37.1833812</v>
      </c>
      <c r="CM10" s="36">
        <f t="shared" si="50"/>
        <v>6.037038</v>
      </c>
      <c r="CN10" s="5"/>
      <c r="CO10" s="36"/>
      <c r="CP10" s="36">
        <f t="shared" si="51"/>
        <v>15153.1131576</v>
      </c>
      <c r="CQ10" s="5">
        <f t="shared" si="52"/>
        <v>15153.1131576</v>
      </c>
      <c r="CR10" s="36">
        <f t="shared" si="53"/>
        <v>2460.236724</v>
      </c>
      <c r="CS10" s="5"/>
      <c r="CT10" s="5"/>
      <c r="CU10" s="36">
        <f t="shared" si="54"/>
        <v>19380.2143664</v>
      </c>
      <c r="CV10" s="36">
        <f t="shared" si="55"/>
        <v>19380.2143664</v>
      </c>
      <c r="CW10" s="36">
        <f t="shared" si="56"/>
        <v>3146.542536</v>
      </c>
      <c r="CX10" s="5"/>
      <c r="CY10" s="5"/>
      <c r="CZ10" s="36">
        <f t="shared" si="57"/>
        <v>255.4144161</v>
      </c>
      <c r="DA10" s="36">
        <f t="shared" si="58"/>
        <v>255.4144161</v>
      </c>
      <c r="DB10" s="36">
        <f t="shared" si="59"/>
        <v>41.4687015</v>
      </c>
      <c r="DC10" s="5"/>
      <c r="DD10" s="5"/>
      <c r="DE10" s="36">
        <f t="shared" si="60"/>
        <v>203768.7653566</v>
      </c>
      <c r="DF10" s="36">
        <f t="shared" si="61"/>
        <v>203768.7653566</v>
      </c>
      <c r="DG10" s="36">
        <f t="shared" si="62"/>
        <v>33083.59110899999</v>
      </c>
      <c r="DH10" s="5"/>
      <c r="DI10" s="36"/>
      <c r="DJ10" s="36">
        <f t="shared" si="63"/>
        <v>189.0155211</v>
      </c>
      <c r="DK10" s="5">
        <f t="shared" si="64"/>
        <v>189.0155211</v>
      </c>
      <c r="DL10" s="36">
        <f t="shared" si="65"/>
        <v>30.6882765</v>
      </c>
      <c r="DM10" s="5"/>
      <c r="DN10" s="5"/>
      <c r="DO10" s="5">
        <f t="shared" si="66"/>
        <v>51.200925700000006</v>
      </c>
      <c r="DP10" s="5">
        <f t="shared" si="67"/>
        <v>51.200925700000006</v>
      </c>
      <c r="DQ10" s="36">
        <f t="shared" si="68"/>
        <v>8.312905500000001</v>
      </c>
      <c r="DR10" s="5"/>
      <c r="DS10" s="36"/>
      <c r="DT10" s="36">
        <f t="shared" si="69"/>
        <v>7771.7693301</v>
      </c>
      <c r="DU10" s="5">
        <f t="shared" si="70"/>
        <v>7771.7693301</v>
      </c>
      <c r="DV10" s="36">
        <f t="shared" si="71"/>
        <v>1261.8128115</v>
      </c>
      <c r="DW10" s="5"/>
      <c r="DX10" s="36"/>
      <c r="DY10" s="36"/>
      <c r="DZ10" s="5"/>
      <c r="EA10" s="36">
        <f t="shared" si="72"/>
        <v>0</v>
      </c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</row>
    <row r="11" spans="1:146" ht="12.75">
      <c r="A11" s="37">
        <v>43556</v>
      </c>
      <c r="C11" s="3">
        <v>5100000</v>
      </c>
      <c r="D11" s="3">
        <v>1475531</v>
      </c>
      <c r="E11" s="35">
        <f t="shared" si="0"/>
        <v>6575531</v>
      </c>
      <c r="F11" s="35">
        <v>239565</v>
      </c>
      <c r="H11" s="36">
        <v>341902</v>
      </c>
      <c r="I11" s="36">
        <v>98919</v>
      </c>
      <c r="J11" s="36">
        <f t="shared" si="1"/>
        <v>440821</v>
      </c>
      <c r="K11" s="35">
        <f>'Academic Project '!K11</f>
        <v>16060.341773999997</v>
      </c>
      <c r="M11" s="36">
        <f t="shared" si="73"/>
        <v>4758098.55</v>
      </c>
      <c r="N11" s="35">
        <f t="shared" si="2"/>
        <v>1376612.1395254997</v>
      </c>
      <c r="O11" s="36">
        <f t="shared" si="3"/>
        <v>6134710.6895255</v>
      </c>
      <c r="P11" s="36">
        <f t="shared" si="4"/>
        <v>223504.6821825</v>
      </c>
      <c r="R11" s="36">
        <f t="shared" si="74"/>
        <v>1176894.8699999999</v>
      </c>
      <c r="S11" s="36">
        <f t="shared" si="5"/>
        <v>340498.9930247</v>
      </c>
      <c r="T11" s="36">
        <f t="shared" si="6"/>
        <v>1517393.8630247</v>
      </c>
      <c r="U11" s="36">
        <f t="shared" si="7"/>
        <v>55282.90579049999</v>
      </c>
      <c r="W11" s="36">
        <f t="shared" si="75"/>
        <v>58140.51</v>
      </c>
      <c r="X11" s="36">
        <f t="shared" si="8"/>
        <v>16821.2009531</v>
      </c>
      <c r="Y11" s="36">
        <f t="shared" si="9"/>
        <v>74961.7109531</v>
      </c>
      <c r="Z11" s="36">
        <f t="shared" si="10"/>
        <v>2731.0649565</v>
      </c>
      <c r="AB11" s="36">
        <f t="shared" si="76"/>
        <v>342784.26</v>
      </c>
      <c r="AC11" s="36">
        <f t="shared" si="11"/>
        <v>99174.27489059999</v>
      </c>
      <c r="AD11" s="36">
        <f t="shared" si="12"/>
        <v>441958.5348906</v>
      </c>
      <c r="AE11" s="36">
        <f t="shared" si="13"/>
        <v>16101.786519</v>
      </c>
      <c r="AG11" s="36">
        <f t="shared" si="77"/>
        <v>39323.55</v>
      </c>
      <c r="AH11" s="36">
        <f t="shared" si="14"/>
        <v>11377.0817755</v>
      </c>
      <c r="AI11" s="36">
        <f t="shared" si="15"/>
        <v>50700.631775500005</v>
      </c>
      <c r="AJ11" s="36">
        <f t="shared" si="16"/>
        <v>1847.1659325</v>
      </c>
      <c r="AL11" s="36">
        <f t="shared" si="78"/>
        <v>1055.7</v>
      </c>
      <c r="AM11" s="36">
        <f t="shared" si="17"/>
        <v>305.434917</v>
      </c>
      <c r="AN11" s="36">
        <f t="shared" si="18"/>
        <v>1361.134917</v>
      </c>
      <c r="AO11" s="36">
        <f t="shared" si="19"/>
        <v>49.589954999999996</v>
      </c>
      <c r="AQ11" s="36">
        <f t="shared" si="79"/>
        <v>86295.06</v>
      </c>
      <c r="AR11" s="36">
        <f t="shared" si="20"/>
        <v>24966.8698386</v>
      </c>
      <c r="AS11" s="36">
        <f t="shared" si="21"/>
        <v>111261.9298386</v>
      </c>
      <c r="AT11" s="36">
        <f t="shared" si="22"/>
        <v>4053.583539</v>
      </c>
      <c r="AV11" s="36">
        <f t="shared" si="80"/>
        <v>1727.37</v>
      </c>
      <c r="AW11" s="36">
        <f t="shared" si="23"/>
        <v>499.7623497</v>
      </c>
      <c r="AX11" s="5">
        <f t="shared" si="24"/>
        <v>2227.1323497</v>
      </c>
      <c r="AY11" s="36">
        <f t="shared" si="25"/>
        <v>81.1406655</v>
      </c>
      <c r="AZ11" s="5"/>
      <c r="BA11" s="36">
        <f t="shared" si="81"/>
        <v>576935.97</v>
      </c>
      <c r="BB11" s="36">
        <f t="shared" si="26"/>
        <v>166919.0017157</v>
      </c>
      <c r="BC11" s="5">
        <f t="shared" si="27"/>
        <v>743854.9717157</v>
      </c>
      <c r="BD11" s="36">
        <f t="shared" si="28"/>
        <v>27100.7187555</v>
      </c>
      <c r="BE11" s="5"/>
      <c r="BF11" s="36">
        <f t="shared" si="82"/>
        <v>763.47</v>
      </c>
      <c r="BG11" s="36">
        <f t="shared" si="29"/>
        <v>220.8869907</v>
      </c>
      <c r="BH11" s="5">
        <f t="shared" si="30"/>
        <v>984.3569907000001</v>
      </c>
      <c r="BI11" s="36">
        <f t="shared" si="31"/>
        <v>35.8628805</v>
      </c>
      <c r="BJ11" s="5"/>
      <c r="BK11" s="36">
        <f t="shared" si="83"/>
        <v>160.14</v>
      </c>
      <c r="BL11" s="36">
        <f t="shared" si="32"/>
        <v>46.3316734</v>
      </c>
      <c r="BM11" s="5">
        <f t="shared" si="33"/>
        <v>206.4716734</v>
      </c>
      <c r="BN11" s="36">
        <f t="shared" si="34"/>
        <v>7.522340999999999</v>
      </c>
      <c r="BO11" s="5"/>
      <c r="BP11" s="36">
        <f t="shared" si="84"/>
        <v>191.24999999999997</v>
      </c>
      <c r="BQ11" s="36">
        <f t="shared" si="35"/>
        <v>55.3324125</v>
      </c>
      <c r="BR11" s="5">
        <f t="shared" si="36"/>
        <v>246.58241249999998</v>
      </c>
      <c r="BS11" s="36">
        <f t="shared" si="37"/>
        <v>8.983687499999998</v>
      </c>
      <c r="BT11" s="5"/>
      <c r="BU11" s="36">
        <f t="shared" si="38"/>
        <v>943210.3200000001</v>
      </c>
      <c r="BV11" s="36">
        <f t="shared" si="39"/>
        <v>272889.4248392</v>
      </c>
      <c r="BW11" s="5">
        <f t="shared" si="40"/>
        <v>1216099.7448392</v>
      </c>
      <c r="BX11" s="36">
        <f t="shared" si="41"/>
        <v>44305.917708</v>
      </c>
      <c r="BY11" s="5"/>
      <c r="BZ11" s="36">
        <f t="shared" si="85"/>
        <v>392.7</v>
      </c>
      <c r="CA11" s="36">
        <f t="shared" si="42"/>
        <v>113.615887</v>
      </c>
      <c r="CB11" s="5">
        <f t="shared" si="43"/>
        <v>506.315887</v>
      </c>
      <c r="CC11" s="36">
        <f t="shared" si="44"/>
        <v>18.446505000000002</v>
      </c>
      <c r="CD11" s="5"/>
      <c r="CE11" s="36">
        <f t="shared" si="86"/>
        <v>677856.3</v>
      </c>
      <c r="CF11" s="36">
        <f t="shared" si="45"/>
        <v>196117.251803</v>
      </c>
      <c r="CG11" s="5">
        <f t="shared" si="46"/>
        <v>873973.551803</v>
      </c>
      <c r="CH11" s="36">
        <f t="shared" si="47"/>
        <v>31841.302845000002</v>
      </c>
      <c r="CI11" s="5"/>
      <c r="CJ11" s="36">
        <f t="shared" si="87"/>
        <v>128.52</v>
      </c>
      <c r="CK11" s="36">
        <f t="shared" si="48"/>
        <v>37.1833812</v>
      </c>
      <c r="CL11" s="5">
        <f t="shared" si="49"/>
        <v>165.70338120000002</v>
      </c>
      <c r="CM11" s="36">
        <f t="shared" si="50"/>
        <v>6.037038</v>
      </c>
      <c r="CN11" s="5"/>
      <c r="CO11" s="36">
        <f t="shared" si="88"/>
        <v>52374.96</v>
      </c>
      <c r="CP11" s="36">
        <f t="shared" si="51"/>
        <v>15153.1131576</v>
      </c>
      <c r="CQ11" s="5">
        <f t="shared" si="52"/>
        <v>67528.0731576</v>
      </c>
      <c r="CR11" s="36">
        <f t="shared" si="53"/>
        <v>2460.236724</v>
      </c>
      <c r="CS11" s="5"/>
      <c r="CT11" s="5">
        <f t="shared" si="89"/>
        <v>66985.44</v>
      </c>
      <c r="CU11" s="36">
        <f t="shared" si="54"/>
        <v>19380.2143664</v>
      </c>
      <c r="CV11" s="36">
        <f t="shared" si="55"/>
        <v>86365.6543664</v>
      </c>
      <c r="CW11" s="36">
        <f t="shared" si="56"/>
        <v>3146.542536</v>
      </c>
      <c r="CX11" s="5"/>
      <c r="CY11" s="5">
        <f t="shared" si="90"/>
        <v>882.8100000000001</v>
      </c>
      <c r="CZ11" s="36">
        <f t="shared" si="57"/>
        <v>255.4144161</v>
      </c>
      <c r="DA11" s="36">
        <f t="shared" si="58"/>
        <v>1138.2244161</v>
      </c>
      <c r="DB11" s="36">
        <f t="shared" si="59"/>
        <v>41.4687015</v>
      </c>
      <c r="DC11" s="5"/>
      <c r="DD11" s="5">
        <f t="shared" si="91"/>
        <v>704302.86</v>
      </c>
      <c r="DE11" s="36">
        <f t="shared" si="60"/>
        <v>203768.7653566</v>
      </c>
      <c r="DF11" s="36">
        <f t="shared" si="61"/>
        <v>908071.6253565999</v>
      </c>
      <c r="DG11" s="36">
        <f t="shared" si="62"/>
        <v>33083.59110899999</v>
      </c>
      <c r="DH11" s="5"/>
      <c r="DI11" s="36">
        <f t="shared" si="92"/>
        <v>653.31</v>
      </c>
      <c r="DJ11" s="36">
        <f t="shared" si="63"/>
        <v>189.0155211</v>
      </c>
      <c r="DK11" s="5">
        <f t="shared" si="64"/>
        <v>842.3255211</v>
      </c>
      <c r="DL11" s="36">
        <f t="shared" si="65"/>
        <v>30.6882765</v>
      </c>
      <c r="DM11" s="5"/>
      <c r="DN11" s="5">
        <f t="shared" si="93"/>
        <v>176.97000000000003</v>
      </c>
      <c r="DO11" s="5">
        <f t="shared" si="66"/>
        <v>51.200925700000006</v>
      </c>
      <c r="DP11" s="5">
        <f t="shared" si="67"/>
        <v>228.17092570000003</v>
      </c>
      <c r="DQ11" s="36">
        <f t="shared" si="68"/>
        <v>8.312905500000001</v>
      </c>
      <c r="DR11" s="5"/>
      <c r="DS11" s="36">
        <f t="shared" si="94"/>
        <v>26862.210000000003</v>
      </c>
      <c r="DT11" s="36">
        <f t="shared" si="69"/>
        <v>7771.7693301</v>
      </c>
      <c r="DU11" s="5">
        <f t="shared" si="70"/>
        <v>34633.9793301</v>
      </c>
      <c r="DV11" s="36">
        <f t="shared" si="71"/>
        <v>1261.8128115</v>
      </c>
      <c r="DW11" s="5"/>
      <c r="DX11" s="36"/>
      <c r="DY11" s="36"/>
      <c r="DZ11" s="5"/>
      <c r="EA11" s="36">
        <f t="shared" si="72"/>
        <v>0</v>
      </c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</row>
    <row r="12" spans="1:146" ht="12.75">
      <c r="A12" s="37">
        <v>43739</v>
      </c>
      <c r="D12" s="3">
        <v>1348031</v>
      </c>
      <c r="E12" s="35">
        <f t="shared" si="0"/>
        <v>1348031</v>
      </c>
      <c r="F12" s="35">
        <v>239565</v>
      </c>
      <c r="H12" s="36"/>
      <c r="I12" s="36">
        <v>90371</v>
      </c>
      <c r="J12" s="36">
        <f t="shared" si="1"/>
        <v>90371</v>
      </c>
      <c r="K12" s="35">
        <f>'Academic Project '!K12</f>
        <v>16060.341773999997</v>
      </c>
      <c r="M12" s="36"/>
      <c r="N12" s="35">
        <f t="shared" si="2"/>
        <v>1257659.6757755</v>
      </c>
      <c r="O12" s="36">
        <f t="shared" si="3"/>
        <v>1257659.6757755</v>
      </c>
      <c r="P12" s="36">
        <f t="shared" si="4"/>
        <v>223504.6821825</v>
      </c>
      <c r="R12" s="36"/>
      <c r="S12" s="36">
        <f t="shared" si="5"/>
        <v>311076.6212747</v>
      </c>
      <c r="T12" s="36">
        <f t="shared" si="6"/>
        <v>311076.6212747</v>
      </c>
      <c r="U12" s="36">
        <f t="shared" si="7"/>
        <v>55282.90579049999</v>
      </c>
      <c r="W12" s="36"/>
      <c r="X12" s="36">
        <f t="shared" si="8"/>
        <v>15367.6882031</v>
      </c>
      <c r="Y12" s="36">
        <f t="shared" si="9"/>
        <v>15367.6882031</v>
      </c>
      <c r="Z12" s="36">
        <f t="shared" si="10"/>
        <v>2731.0649565</v>
      </c>
      <c r="AB12" s="36"/>
      <c r="AC12" s="36">
        <f t="shared" si="11"/>
        <v>90604.6683906</v>
      </c>
      <c r="AD12" s="36">
        <f t="shared" si="12"/>
        <v>90604.6683906</v>
      </c>
      <c r="AE12" s="36">
        <f t="shared" si="13"/>
        <v>16101.786519</v>
      </c>
      <c r="AG12" s="36"/>
      <c r="AH12" s="36">
        <f t="shared" si="14"/>
        <v>10393.9930255</v>
      </c>
      <c r="AI12" s="36">
        <f t="shared" si="15"/>
        <v>10393.9930255</v>
      </c>
      <c r="AJ12" s="36">
        <f t="shared" si="16"/>
        <v>1847.1659325</v>
      </c>
      <c r="AL12" s="36"/>
      <c r="AM12" s="36">
        <f t="shared" si="17"/>
        <v>279.042417</v>
      </c>
      <c r="AN12" s="36">
        <f t="shared" si="18"/>
        <v>279.042417</v>
      </c>
      <c r="AO12" s="36">
        <f t="shared" si="19"/>
        <v>49.589954999999996</v>
      </c>
      <c r="AQ12" s="36"/>
      <c r="AR12" s="36">
        <f t="shared" si="20"/>
        <v>22809.4933386</v>
      </c>
      <c r="AS12" s="36">
        <f t="shared" si="21"/>
        <v>22809.4933386</v>
      </c>
      <c r="AT12" s="36">
        <f t="shared" si="22"/>
        <v>4053.583539</v>
      </c>
      <c r="AV12" s="36"/>
      <c r="AW12" s="36">
        <f t="shared" si="23"/>
        <v>456.5780997</v>
      </c>
      <c r="AX12" s="5">
        <f t="shared" si="24"/>
        <v>456.5780997</v>
      </c>
      <c r="AY12" s="36">
        <f t="shared" si="25"/>
        <v>81.1406655</v>
      </c>
      <c r="AZ12" s="5"/>
      <c r="BA12" s="36"/>
      <c r="BB12" s="36">
        <f t="shared" si="26"/>
        <v>152495.60246569998</v>
      </c>
      <c r="BC12" s="5">
        <f t="shared" si="27"/>
        <v>152495.60246569998</v>
      </c>
      <c r="BD12" s="36">
        <f t="shared" si="28"/>
        <v>27100.7187555</v>
      </c>
      <c r="BE12" s="5"/>
      <c r="BF12" s="36"/>
      <c r="BG12" s="36">
        <f t="shared" si="29"/>
        <v>201.80024070000002</v>
      </c>
      <c r="BH12" s="5">
        <f t="shared" si="30"/>
        <v>201.80024070000002</v>
      </c>
      <c r="BI12" s="36">
        <f t="shared" si="31"/>
        <v>35.8628805</v>
      </c>
      <c r="BJ12" s="5"/>
      <c r="BK12" s="36"/>
      <c r="BL12" s="36">
        <f t="shared" si="32"/>
        <v>42.3281734</v>
      </c>
      <c r="BM12" s="5">
        <f t="shared" si="33"/>
        <v>42.3281734</v>
      </c>
      <c r="BN12" s="36">
        <f t="shared" si="34"/>
        <v>7.522340999999999</v>
      </c>
      <c r="BO12" s="5"/>
      <c r="BP12" s="36"/>
      <c r="BQ12" s="36">
        <f t="shared" si="35"/>
        <v>50.5511625</v>
      </c>
      <c r="BR12" s="5">
        <f t="shared" si="36"/>
        <v>50.5511625</v>
      </c>
      <c r="BS12" s="36">
        <f t="shared" si="37"/>
        <v>8.983687499999998</v>
      </c>
      <c r="BT12" s="5"/>
      <c r="BU12" s="36">
        <f t="shared" si="38"/>
        <v>0</v>
      </c>
      <c r="BV12" s="36">
        <f t="shared" si="39"/>
        <v>249309.1668392</v>
      </c>
      <c r="BW12" s="5">
        <f t="shared" si="40"/>
        <v>249309.1668392</v>
      </c>
      <c r="BX12" s="36">
        <f t="shared" si="41"/>
        <v>44305.917708</v>
      </c>
      <c r="BY12" s="5"/>
      <c r="BZ12" s="36"/>
      <c r="CA12" s="36">
        <f t="shared" si="42"/>
        <v>103.798387</v>
      </c>
      <c r="CB12" s="5">
        <f t="shared" si="43"/>
        <v>103.798387</v>
      </c>
      <c r="CC12" s="36">
        <f t="shared" si="44"/>
        <v>18.446505000000002</v>
      </c>
      <c r="CD12" s="5"/>
      <c r="CE12" s="36"/>
      <c r="CF12" s="36">
        <f t="shared" si="45"/>
        <v>179170.844303</v>
      </c>
      <c r="CG12" s="5">
        <f t="shared" si="46"/>
        <v>179170.844303</v>
      </c>
      <c r="CH12" s="36">
        <f t="shared" si="47"/>
        <v>31841.302845000002</v>
      </c>
      <c r="CI12" s="5"/>
      <c r="CJ12" s="36"/>
      <c r="CK12" s="36">
        <f t="shared" si="48"/>
        <v>33.9703812</v>
      </c>
      <c r="CL12" s="5">
        <f t="shared" si="49"/>
        <v>33.9703812</v>
      </c>
      <c r="CM12" s="36">
        <f t="shared" si="50"/>
        <v>6.037038</v>
      </c>
      <c r="CN12" s="5"/>
      <c r="CO12" s="36"/>
      <c r="CP12" s="36">
        <f t="shared" si="51"/>
        <v>13843.7391576</v>
      </c>
      <c r="CQ12" s="5">
        <f t="shared" si="52"/>
        <v>13843.7391576</v>
      </c>
      <c r="CR12" s="36">
        <f t="shared" si="53"/>
        <v>2460.236724</v>
      </c>
      <c r="CS12" s="5"/>
      <c r="CT12" s="5"/>
      <c r="CU12" s="36">
        <f t="shared" si="54"/>
        <v>17705.578366399997</v>
      </c>
      <c r="CV12" s="36">
        <f t="shared" si="55"/>
        <v>17705.578366399997</v>
      </c>
      <c r="CW12" s="36">
        <f t="shared" si="56"/>
        <v>3146.542536</v>
      </c>
      <c r="CX12" s="5"/>
      <c r="CY12" s="5"/>
      <c r="CZ12" s="36">
        <f t="shared" si="57"/>
        <v>233.3441661</v>
      </c>
      <c r="DA12" s="36">
        <f t="shared" si="58"/>
        <v>233.3441661</v>
      </c>
      <c r="DB12" s="36">
        <f t="shared" si="59"/>
        <v>41.4687015</v>
      </c>
      <c r="DC12" s="5"/>
      <c r="DD12" s="5"/>
      <c r="DE12" s="36">
        <f t="shared" si="60"/>
        <v>186161.19385659997</v>
      </c>
      <c r="DF12" s="36">
        <f t="shared" si="61"/>
        <v>186161.19385659997</v>
      </c>
      <c r="DG12" s="36">
        <f t="shared" si="62"/>
        <v>33083.59110899999</v>
      </c>
      <c r="DH12" s="5"/>
      <c r="DI12" s="36"/>
      <c r="DJ12" s="36">
        <f t="shared" si="63"/>
        <v>172.6827711</v>
      </c>
      <c r="DK12" s="5">
        <f t="shared" si="64"/>
        <v>172.6827711</v>
      </c>
      <c r="DL12" s="36">
        <f t="shared" si="65"/>
        <v>30.6882765</v>
      </c>
      <c r="DM12" s="5"/>
      <c r="DN12" s="5"/>
      <c r="DO12" s="5">
        <f t="shared" si="66"/>
        <v>46.776675700000006</v>
      </c>
      <c r="DP12" s="5">
        <f t="shared" si="67"/>
        <v>46.776675700000006</v>
      </c>
      <c r="DQ12" s="36">
        <f t="shared" si="68"/>
        <v>8.312905500000001</v>
      </c>
      <c r="DR12" s="5"/>
      <c r="DS12" s="36"/>
      <c r="DT12" s="36">
        <f t="shared" si="69"/>
        <v>7100.2140801000005</v>
      </c>
      <c r="DU12" s="5">
        <f t="shared" si="70"/>
        <v>7100.2140801000005</v>
      </c>
      <c r="DV12" s="36">
        <f t="shared" si="71"/>
        <v>1261.8128115</v>
      </c>
      <c r="DW12" s="5"/>
      <c r="DX12" s="36"/>
      <c r="DY12" s="36"/>
      <c r="DZ12" s="5"/>
      <c r="EA12" s="36">
        <f t="shared" si="72"/>
        <v>0</v>
      </c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</row>
    <row r="13" spans="1:146" ht="12.75">
      <c r="A13" s="37">
        <v>43922</v>
      </c>
      <c r="C13" s="3">
        <v>5355000</v>
      </c>
      <c r="D13" s="3">
        <v>1348031</v>
      </c>
      <c r="E13" s="35">
        <f t="shared" si="0"/>
        <v>6703031</v>
      </c>
      <c r="F13" s="35">
        <v>239565</v>
      </c>
      <c r="H13" s="36">
        <v>358997</v>
      </c>
      <c r="I13" s="36">
        <v>90371</v>
      </c>
      <c r="J13" s="36">
        <f t="shared" si="1"/>
        <v>449368</v>
      </c>
      <c r="K13" s="35">
        <f>'Academic Project '!K13</f>
        <v>16060.341773999997</v>
      </c>
      <c r="M13" s="36">
        <f t="shared" si="73"/>
        <v>4996003.4775</v>
      </c>
      <c r="N13" s="35">
        <f t="shared" si="2"/>
        <v>1257659.6757755</v>
      </c>
      <c r="O13" s="36">
        <f t="shared" si="3"/>
        <v>6253663.1532755</v>
      </c>
      <c r="P13" s="36">
        <f t="shared" si="4"/>
        <v>223504.6821825</v>
      </c>
      <c r="R13" s="36">
        <f t="shared" si="74"/>
        <v>1235739.6135</v>
      </c>
      <c r="S13" s="36">
        <f t="shared" si="5"/>
        <v>311076.6212747</v>
      </c>
      <c r="T13" s="36">
        <f t="shared" si="6"/>
        <v>1546816.2347747</v>
      </c>
      <c r="U13" s="36">
        <f t="shared" si="7"/>
        <v>55282.90579049999</v>
      </c>
      <c r="W13" s="36">
        <f t="shared" si="75"/>
        <v>61047.5355</v>
      </c>
      <c r="X13" s="36">
        <f t="shared" si="8"/>
        <v>15367.6882031</v>
      </c>
      <c r="Y13" s="36">
        <f t="shared" si="9"/>
        <v>76415.2237031</v>
      </c>
      <c r="Z13" s="36">
        <f t="shared" si="10"/>
        <v>2731.0649565</v>
      </c>
      <c r="AB13" s="36">
        <f t="shared" si="76"/>
        <v>359923.473</v>
      </c>
      <c r="AC13" s="36">
        <f t="shared" si="11"/>
        <v>90604.6683906</v>
      </c>
      <c r="AD13" s="36">
        <f t="shared" si="12"/>
        <v>450528.1413906</v>
      </c>
      <c r="AE13" s="36">
        <f t="shared" si="13"/>
        <v>16101.786519</v>
      </c>
      <c r="AG13" s="36">
        <f t="shared" si="77"/>
        <v>41289.7275</v>
      </c>
      <c r="AH13" s="36">
        <f t="shared" si="14"/>
        <v>10393.9930255</v>
      </c>
      <c r="AI13" s="36">
        <f t="shared" si="15"/>
        <v>51683.7205255</v>
      </c>
      <c r="AJ13" s="36">
        <f t="shared" si="16"/>
        <v>1847.1659325</v>
      </c>
      <c r="AL13" s="36">
        <f t="shared" si="78"/>
        <v>1108.485</v>
      </c>
      <c r="AM13" s="36">
        <f t="shared" si="17"/>
        <v>279.042417</v>
      </c>
      <c r="AN13" s="36">
        <f t="shared" si="18"/>
        <v>1387.5274169999998</v>
      </c>
      <c r="AO13" s="36">
        <f t="shared" si="19"/>
        <v>49.589954999999996</v>
      </c>
      <c r="AQ13" s="36">
        <f t="shared" si="79"/>
        <v>90609.81300000001</v>
      </c>
      <c r="AR13" s="36">
        <f t="shared" si="20"/>
        <v>22809.4933386</v>
      </c>
      <c r="AS13" s="36">
        <f t="shared" si="21"/>
        <v>113419.30633860001</v>
      </c>
      <c r="AT13" s="36">
        <f t="shared" si="22"/>
        <v>4053.583539</v>
      </c>
      <c r="AV13" s="36">
        <f t="shared" si="80"/>
        <v>1813.7385</v>
      </c>
      <c r="AW13" s="36">
        <f t="shared" si="23"/>
        <v>456.5780997</v>
      </c>
      <c r="AX13" s="5">
        <f t="shared" si="24"/>
        <v>2270.3165997</v>
      </c>
      <c r="AY13" s="36">
        <f t="shared" si="25"/>
        <v>81.1406655</v>
      </c>
      <c r="AZ13" s="5"/>
      <c r="BA13" s="36">
        <f t="shared" si="81"/>
        <v>605782.7685</v>
      </c>
      <c r="BB13" s="36">
        <f t="shared" si="26"/>
        <v>152495.60246569998</v>
      </c>
      <c r="BC13" s="5">
        <f t="shared" si="27"/>
        <v>758278.3709657</v>
      </c>
      <c r="BD13" s="36">
        <f t="shared" si="28"/>
        <v>27100.7187555</v>
      </c>
      <c r="BE13" s="5"/>
      <c r="BF13" s="36">
        <f t="shared" si="82"/>
        <v>801.6435</v>
      </c>
      <c r="BG13" s="36">
        <f t="shared" si="29"/>
        <v>201.80024070000002</v>
      </c>
      <c r="BH13" s="5">
        <f t="shared" si="30"/>
        <v>1003.4437407</v>
      </c>
      <c r="BI13" s="36">
        <f t="shared" si="31"/>
        <v>35.8628805</v>
      </c>
      <c r="BJ13" s="5"/>
      <c r="BK13" s="36">
        <f t="shared" si="83"/>
        <v>168.147</v>
      </c>
      <c r="BL13" s="36">
        <f t="shared" si="32"/>
        <v>42.3281734</v>
      </c>
      <c r="BM13" s="5">
        <f t="shared" si="33"/>
        <v>210.4751734</v>
      </c>
      <c r="BN13" s="36">
        <f t="shared" si="34"/>
        <v>7.522340999999999</v>
      </c>
      <c r="BO13" s="5"/>
      <c r="BP13" s="36">
        <f t="shared" si="84"/>
        <v>200.81249999999997</v>
      </c>
      <c r="BQ13" s="36">
        <f t="shared" si="35"/>
        <v>50.5511625</v>
      </c>
      <c r="BR13" s="5">
        <f t="shared" si="36"/>
        <v>251.36366249999998</v>
      </c>
      <c r="BS13" s="36">
        <f t="shared" si="37"/>
        <v>8.983687499999998</v>
      </c>
      <c r="BT13" s="5"/>
      <c r="BU13" s="36">
        <f t="shared" si="38"/>
        <v>990370.836</v>
      </c>
      <c r="BV13" s="36">
        <f t="shared" si="39"/>
        <v>249309.1668392</v>
      </c>
      <c r="BW13" s="5">
        <f t="shared" si="40"/>
        <v>1239680.0028392</v>
      </c>
      <c r="BX13" s="36">
        <f t="shared" si="41"/>
        <v>44305.917708</v>
      </c>
      <c r="BY13" s="5"/>
      <c r="BZ13" s="36">
        <f t="shared" si="85"/>
        <v>412.335</v>
      </c>
      <c r="CA13" s="36">
        <f t="shared" si="42"/>
        <v>103.798387</v>
      </c>
      <c r="CB13" s="5">
        <f t="shared" si="43"/>
        <v>516.133387</v>
      </c>
      <c r="CC13" s="36">
        <f t="shared" si="44"/>
        <v>18.446505000000002</v>
      </c>
      <c r="CD13" s="5"/>
      <c r="CE13" s="36">
        <f t="shared" si="86"/>
        <v>711749.115</v>
      </c>
      <c r="CF13" s="36">
        <f t="shared" si="45"/>
        <v>179170.844303</v>
      </c>
      <c r="CG13" s="5">
        <f t="shared" si="46"/>
        <v>890919.959303</v>
      </c>
      <c r="CH13" s="36">
        <f t="shared" si="47"/>
        <v>31841.302845000002</v>
      </c>
      <c r="CI13" s="5"/>
      <c r="CJ13" s="36">
        <f t="shared" si="87"/>
        <v>134.946</v>
      </c>
      <c r="CK13" s="36">
        <f t="shared" si="48"/>
        <v>33.9703812</v>
      </c>
      <c r="CL13" s="5">
        <f t="shared" si="49"/>
        <v>168.9163812</v>
      </c>
      <c r="CM13" s="36">
        <f t="shared" si="50"/>
        <v>6.037038</v>
      </c>
      <c r="CN13" s="5"/>
      <c r="CO13" s="36">
        <f t="shared" si="88"/>
        <v>54993.708</v>
      </c>
      <c r="CP13" s="36">
        <f t="shared" si="51"/>
        <v>13843.7391576</v>
      </c>
      <c r="CQ13" s="5">
        <f t="shared" si="52"/>
        <v>68837.44715759999</v>
      </c>
      <c r="CR13" s="36">
        <f t="shared" si="53"/>
        <v>2460.236724</v>
      </c>
      <c r="CS13" s="5"/>
      <c r="CT13" s="5">
        <f t="shared" si="89"/>
        <v>70334.712</v>
      </c>
      <c r="CU13" s="36">
        <f t="shared" si="54"/>
        <v>17705.578366399997</v>
      </c>
      <c r="CV13" s="36">
        <f t="shared" si="55"/>
        <v>88040.2903664</v>
      </c>
      <c r="CW13" s="36">
        <f t="shared" si="56"/>
        <v>3146.542536</v>
      </c>
      <c r="CX13" s="5"/>
      <c r="CY13" s="5">
        <f t="shared" si="90"/>
        <v>926.9505</v>
      </c>
      <c r="CZ13" s="36">
        <f t="shared" si="57"/>
        <v>233.3441661</v>
      </c>
      <c r="DA13" s="36">
        <f t="shared" si="58"/>
        <v>1160.2946661</v>
      </c>
      <c r="DB13" s="36">
        <f t="shared" si="59"/>
        <v>41.4687015</v>
      </c>
      <c r="DC13" s="5"/>
      <c r="DD13" s="5">
        <f t="shared" si="91"/>
        <v>739518.0029999999</v>
      </c>
      <c r="DE13" s="36">
        <f t="shared" si="60"/>
        <v>186161.19385659997</v>
      </c>
      <c r="DF13" s="36">
        <f t="shared" si="61"/>
        <v>925679.1968565999</v>
      </c>
      <c r="DG13" s="36">
        <f t="shared" si="62"/>
        <v>33083.59110899999</v>
      </c>
      <c r="DH13" s="5"/>
      <c r="DI13" s="36">
        <f t="shared" si="92"/>
        <v>685.9755</v>
      </c>
      <c r="DJ13" s="36">
        <f t="shared" si="63"/>
        <v>172.6827711</v>
      </c>
      <c r="DK13" s="5">
        <f t="shared" si="64"/>
        <v>858.6582711</v>
      </c>
      <c r="DL13" s="36">
        <f t="shared" si="65"/>
        <v>30.6882765</v>
      </c>
      <c r="DM13" s="5"/>
      <c r="DN13" s="5">
        <f t="shared" si="93"/>
        <v>185.81850000000003</v>
      </c>
      <c r="DO13" s="5">
        <f t="shared" si="66"/>
        <v>46.776675700000006</v>
      </c>
      <c r="DP13" s="5">
        <f t="shared" si="67"/>
        <v>232.59517570000003</v>
      </c>
      <c r="DQ13" s="36">
        <f t="shared" si="68"/>
        <v>8.312905500000001</v>
      </c>
      <c r="DR13" s="5"/>
      <c r="DS13" s="36">
        <f t="shared" si="94"/>
        <v>28205.3205</v>
      </c>
      <c r="DT13" s="36">
        <f t="shared" si="69"/>
        <v>7100.2140801000005</v>
      </c>
      <c r="DU13" s="5">
        <f t="shared" si="70"/>
        <v>35305.5345801</v>
      </c>
      <c r="DV13" s="36">
        <f t="shared" si="71"/>
        <v>1261.8128115</v>
      </c>
      <c r="DW13" s="5"/>
      <c r="DX13" s="36"/>
      <c r="DY13" s="36"/>
      <c r="DZ13" s="5"/>
      <c r="EA13" s="36">
        <f t="shared" si="72"/>
        <v>0</v>
      </c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</row>
    <row r="14" spans="1:146" ht="12.75">
      <c r="A14" s="37">
        <v>44105</v>
      </c>
      <c r="D14" s="3">
        <v>1214156</v>
      </c>
      <c r="E14" s="35">
        <f t="shared" si="0"/>
        <v>1214156</v>
      </c>
      <c r="F14" s="35">
        <v>239565</v>
      </c>
      <c r="H14" s="36"/>
      <c r="I14" s="36">
        <v>81397</v>
      </c>
      <c r="J14" s="36">
        <f t="shared" si="1"/>
        <v>81397</v>
      </c>
      <c r="K14" s="35">
        <f>'Academic Project '!K14</f>
        <v>16060.341773999997</v>
      </c>
      <c r="M14" s="36"/>
      <c r="N14" s="35">
        <f t="shared" si="2"/>
        <v>1132759.588838</v>
      </c>
      <c r="O14" s="36">
        <f t="shared" si="3"/>
        <v>1132759.588838</v>
      </c>
      <c r="P14" s="36">
        <f t="shared" si="4"/>
        <v>223504.6821825</v>
      </c>
      <c r="R14" s="36"/>
      <c r="S14" s="36">
        <f t="shared" si="5"/>
        <v>280183.1309372</v>
      </c>
      <c r="T14" s="36">
        <f t="shared" si="6"/>
        <v>280183.1309372</v>
      </c>
      <c r="U14" s="36">
        <f t="shared" si="7"/>
        <v>55282.90579049999</v>
      </c>
      <c r="W14" s="36"/>
      <c r="X14" s="36">
        <f t="shared" si="8"/>
        <v>13841.4998156</v>
      </c>
      <c r="Y14" s="36">
        <f t="shared" si="9"/>
        <v>13841.4998156</v>
      </c>
      <c r="Z14" s="36">
        <f t="shared" si="10"/>
        <v>2731.0649565</v>
      </c>
      <c r="AB14" s="36"/>
      <c r="AC14" s="36">
        <f t="shared" si="11"/>
        <v>81606.58156559999</v>
      </c>
      <c r="AD14" s="36">
        <f t="shared" si="12"/>
        <v>81606.58156559999</v>
      </c>
      <c r="AE14" s="36">
        <f t="shared" si="13"/>
        <v>16101.786519</v>
      </c>
      <c r="AG14" s="36"/>
      <c r="AH14" s="36">
        <f t="shared" si="14"/>
        <v>9361.749838</v>
      </c>
      <c r="AI14" s="36">
        <f t="shared" si="15"/>
        <v>9361.749838</v>
      </c>
      <c r="AJ14" s="36">
        <f t="shared" si="16"/>
        <v>1847.1659325</v>
      </c>
      <c r="AL14" s="36"/>
      <c r="AM14" s="36">
        <f t="shared" si="17"/>
        <v>251.330292</v>
      </c>
      <c r="AN14" s="36">
        <f t="shared" si="18"/>
        <v>251.330292</v>
      </c>
      <c r="AO14" s="36">
        <f t="shared" si="19"/>
        <v>49.589954999999996</v>
      </c>
      <c r="AQ14" s="36"/>
      <c r="AR14" s="36">
        <f t="shared" si="20"/>
        <v>20544.2480136</v>
      </c>
      <c r="AS14" s="36">
        <f t="shared" si="21"/>
        <v>20544.2480136</v>
      </c>
      <c r="AT14" s="36">
        <f t="shared" si="22"/>
        <v>4053.583539</v>
      </c>
      <c r="AV14" s="36"/>
      <c r="AW14" s="36">
        <f t="shared" si="23"/>
        <v>411.2346372</v>
      </c>
      <c r="AX14" s="5">
        <f t="shared" si="24"/>
        <v>411.2346372</v>
      </c>
      <c r="AY14" s="36">
        <f t="shared" si="25"/>
        <v>81.1406655</v>
      </c>
      <c r="AZ14" s="5"/>
      <c r="BA14" s="36"/>
      <c r="BB14" s="36">
        <f t="shared" si="26"/>
        <v>137351.0332532</v>
      </c>
      <c r="BC14" s="5">
        <f t="shared" si="27"/>
        <v>137351.0332532</v>
      </c>
      <c r="BD14" s="36">
        <f t="shared" si="28"/>
        <v>27100.7187555</v>
      </c>
      <c r="BE14" s="5"/>
      <c r="BF14" s="36"/>
      <c r="BG14" s="36">
        <f t="shared" si="29"/>
        <v>181.75915320000001</v>
      </c>
      <c r="BH14" s="5">
        <f t="shared" si="30"/>
        <v>181.75915320000001</v>
      </c>
      <c r="BI14" s="36">
        <f t="shared" si="31"/>
        <v>35.8628805</v>
      </c>
      <c r="BJ14" s="5"/>
      <c r="BK14" s="36"/>
      <c r="BL14" s="36">
        <f t="shared" si="32"/>
        <v>38.1244984</v>
      </c>
      <c r="BM14" s="5">
        <f t="shared" si="33"/>
        <v>38.1244984</v>
      </c>
      <c r="BN14" s="36">
        <f t="shared" si="34"/>
        <v>7.522340999999999</v>
      </c>
      <c r="BO14" s="5"/>
      <c r="BP14" s="36"/>
      <c r="BQ14" s="36">
        <f t="shared" si="35"/>
        <v>45.530849999999994</v>
      </c>
      <c r="BR14" s="5">
        <f t="shared" si="36"/>
        <v>45.530849999999994</v>
      </c>
      <c r="BS14" s="36">
        <f t="shared" si="37"/>
        <v>8.983687499999998</v>
      </c>
      <c r="BT14" s="5"/>
      <c r="BU14" s="36">
        <f t="shared" si="38"/>
        <v>0</v>
      </c>
      <c r="BV14" s="36">
        <f t="shared" si="39"/>
        <v>224549.8959392</v>
      </c>
      <c r="BW14" s="5">
        <f t="shared" si="40"/>
        <v>224549.8959392</v>
      </c>
      <c r="BX14" s="36">
        <f t="shared" si="41"/>
        <v>44305.917708</v>
      </c>
      <c r="BY14" s="5"/>
      <c r="BZ14" s="36"/>
      <c r="CA14" s="36">
        <f t="shared" si="42"/>
        <v>93.49001200000001</v>
      </c>
      <c r="CB14" s="5">
        <f t="shared" si="43"/>
        <v>93.49001200000001</v>
      </c>
      <c r="CC14" s="36">
        <f t="shared" si="44"/>
        <v>18.446505000000002</v>
      </c>
      <c r="CD14" s="5"/>
      <c r="CE14" s="36"/>
      <c r="CF14" s="36">
        <f t="shared" si="45"/>
        <v>161377.116428</v>
      </c>
      <c r="CG14" s="5">
        <f t="shared" si="46"/>
        <v>161377.116428</v>
      </c>
      <c r="CH14" s="36">
        <f t="shared" si="47"/>
        <v>31841.302845000002</v>
      </c>
      <c r="CI14" s="5"/>
      <c r="CJ14" s="36"/>
      <c r="CK14" s="36">
        <f t="shared" si="48"/>
        <v>30.5967312</v>
      </c>
      <c r="CL14" s="5">
        <f t="shared" si="49"/>
        <v>30.5967312</v>
      </c>
      <c r="CM14" s="36">
        <f t="shared" si="50"/>
        <v>6.037038</v>
      </c>
      <c r="CN14" s="5"/>
      <c r="CO14" s="36"/>
      <c r="CP14" s="36">
        <f t="shared" si="51"/>
        <v>12468.8964576</v>
      </c>
      <c r="CQ14" s="5">
        <f t="shared" si="52"/>
        <v>12468.8964576</v>
      </c>
      <c r="CR14" s="36">
        <f t="shared" si="53"/>
        <v>2460.236724</v>
      </c>
      <c r="CS14" s="5"/>
      <c r="CT14" s="5"/>
      <c r="CU14" s="36">
        <f t="shared" si="54"/>
        <v>15947.2105664</v>
      </c>
      <c r="CV14" s="36">
        <f t="shared" si="55"/>
        <v>15947.2105664</v>
      </c>
      <c r="CW14" s="36">
        <f t="shared" si="56"/>
        <v>3146.542536</v>
      </c>
      <c r="CX14" s="5"/>
      <c r="CY14" s="5"/>
      <c r="CZ14" s="36">
        <f t="shared" si="57"/>
        <v>210.17040360000001</v>
      </c>
      <c r="DA14" s="36">
        <f t="shared" si="58"/>
        <v>210.17040360000001</v>
      </c>
      <c r="DB14" s="36">
        <f t="shared" si="59"/>
        <v>41.4687015</v>
      </c>
      <c r="DC14" s="5"/>
      <c r="DD14" s="5"/>
      <c r="DE14" s="36">
        <f t="shared" si="60"/>
        <v>167673.24378159997</v>
      </c>
      <c r="DF14" s="36">
        <f t="shared" si="61"/>
        <v>167673.24378159997</v>
      </c>
      <c r="DG14" s="36">
        <f t="shared" si="62"/>
        <v>33083.59110899999</v>
      </c>
      <c r="DH14" s="5"/>
      <c r="DI14" s="36"/>
      <c r="DJ14" s="36">
        <f t="shared" si="63"/>
        <v>155.5333836</v>
      </c>
      <c r="DK14" s="5">
        <f t="shared" si="64"/>
        <v>155.5333836</v>
      </c>
      <c r="DL14" s="36">
        <f t="shared" si="65"/>
        <v>30.6882765</v>
      </c>
      <c r="DM14" s="5"/>
      <c r="DN14" s="5"/>
      <c r="DO14" s="5">
        <f t="shared" si="66"/>
        <v>42.131213200000005</v>
      </c>
      <c r="DP14" s="5">
        <f t="shared" si="67"/>
        <v>42.131213200000005</v>
      </c>
      <c r="DQ14" s="36">
        <f t="shared" si="68"/>
        <v>8.312905500000001</v>
      </c>
      <c r="DR14" s="5"/>
      <c r="DS14" s="36"/>
      <c r="DT14" s="36">
        <f t="shared" si="69"/>
        <v>6395.0810676</v>
      </c>
      <c r="DU14" s="5">
        <f t="shared" si="70"/>
        <v>6395.0810676</v>
      </c>
      <c r="DV14" s="36">
        <f t="shared" si="71"/>
        <v>1261.8128115</v>
      </c>
      <c r="DW14" s="5"/>
      <c r="DX14" s="36"/>
      <c r="DY14" s="36"/>
      <c r="DZ14" s="5"/>
      <c r="EA14" s="36">
        <f t="shared" si="72"/>
        <v>0</v>
      </c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</row>
    <row r="15" spans="1:146" ht="12.75">
      <c r="A15" s="37">
        <v>44287</v>
      </c>
      <c r="C15" s="3">
        <v>5620000</v>
      </c>
      <c r="D15" s="3">
        <v>1214156</v>
      </c>
      <c r="E15" s="35">
        <f t="shared" si="0"/>
        <v>6834156</v>
      </c>
      <c r="F15" s="35">
        <v>239565</v>
      </c>
      <c r="H15" s="36">
        <v>376763</v>
      </c>
      <c r="I15" s="36">
        <v>81397</v>
      </c>
      <c r="J15" s="36">
        <f t="shared" si="1"/>
        <v>458160</v>
      </c>
      <c r="K15" s="35">
        <f>'Academic Project '!K15</f>
        <v>16060.341773999997</v>
      </c>
      <c r="M15" s="36">
        <f t="shared" si="73"/>
        <v>5243238.01</v>
      </c>
      <c r="N15" s="35">
        <f t="shared" si="2"/>
        <v>1132759.588838</v>
      </c>
      <c r="O15" s="36">
        <f t="shared" si="3"/>
        <v>6375997.598838</v>
      </c>
      <c r="P15" s="36">
        <f t="shared" si="4"/>
        <v>223504.6821825</v>
      </c>
      <c r="R15" s="36">
        <f t="shared" si="74"/>
        <v>1296891.994</v>
      </c>
      <c r="S15" s="36">
        <f t="shared" si="5"/>
        <v>280183.1309372</v>
      </c>
      <c r="T15" s="36">
        <f t="shared" si="6"/>
        <v>1577075.1249372</v>
      </c>
      <c r="U15" s="36">
        <f t="shared" si="7"/>
        <v>55282.90579049999</v>
      </c>
      <c r="W15" s="36">
        <f t="shared" si="75"/>
        <v>64068.562</v>
      </c>
      <c r="X15" s="36">
        <f t="shared" si="8"/>
        <v>13841.4998156</v>
      </c>
      <c r="Y15" s="36">
        <f t="shared" si="9"/>
        <v>77910.0618156</v>
      </c>
      <c r="Z15" s="36">
        <f t="shared" si="10"/>
        <v>2731.0649565</v>
      </c>
      <c r="AB15" s="36">
        <f t="shared" si="76"/>
        <v>377734.812</v>
      </c>
      <c r="AC15" s="36">
        <f t="shared" si="11"/>
        <v>81606.58156559999</v>
      </c>
      <c r="AD15" s="36">
        <f t="shared" si="12"/>
        <v>459341.3935656</v>
      </c>
      <c r="AE15" s="36">
        <f t="shared" si="13"/>
        <v>16101.786519</v>
      </c>
      <c r="AG15" s="36">
        <f t="shared" si="77"/>
        <v>43333.01</v>
      </c>
      <c r="AH15" s="36">
        <f t="shared" si="14"/>
        <v>9361.749838</v>
      </c>
      <c r="AI15" s="36">
        <f t="shared" si="15"/>
        <v>52694.759838</v>
      </c>
      <c r="AJ15" s="36">
        <f t="shared" si="16"/>
        <v>1847.1659325</v>
      </c>
      <c r="AL15" s="36">
        <f t="shared" si="78"/>
        <v>1163.34</v>
      </c>
      <c r="AM15" s="36">
        <f t="shared" si="17"/>
        <v>251.330292</v>
      </c>
      <c r="AN15" s="36">
        <f t="shared" si="18"/>
        <v>1414.6702919999998</v>
      </c>
      <c r="AO15" s="36">
        <f t="shared" si="19"/>
        <v>49.589954999999996</v>
      </c>
      <c r="AQ15" s="36">
        <f t="shared" si="79"/>
        <v>95093.77200000001</v>
      </c>
      <c r="AR15" s="36">
        <f t="shared" si="20"/>
        <v>20544.2480136</v>
      </c>
      <c r="AS15" s="36">
        <f t="shared" si="21"/>
        <v>115638.0200136</v>
      </c>
      <c r="AT15" s="36">
        <f t="shared" si="22"/>
        <v>4053.583539</v>
      </c>
      <c r="AV15" s="36">
        <f t="shared" si="80"/>
        <v>1903.494</v>
      </c>
      <c r="AW15" s="36">
        <f t="shared" si="23"/>
        <v>411.2346372</v>
      </c>
      <c r="AX15" s="5">
        <f t="shared" si="24"/>
        <v>2314.7286372</v>
      </c>
      <c r="AY15" s="36">
        <f t="shared" si="25"/>
        <v>81.1406655</v>
      </c>
      <c r="AZ15" s="5"/>
      <c r="BA15" s="36">
        <f t="shared" si="81"/>
        <v>635760.814</v>
      </c>
      <c r="BB15" s="36">
        <f t="shared" si="26"/>
        <v>137351.0332532</v>
      </c>
      <c r="BC15" s="5">
        <f t="shared" si="27"/>
        <v>773111.8472532</v>
      </c>
      <c r="BD15" s="36">
        <f t="shared" si="28"/>
        <v>27100.7187555</v>
      </c>
      <c r="BE15" s="5"/>
      <c r="BF15" s="36">
        <f t="shared" si="82"/>
        <v>841.3140000000001</v>
      </c>
      <c r="BG15" s="36">
        <f t="shared" si="29"/>
        <v>181.75915320000001</v>
      </c>
      <c r="BH15" s="5">
        <f t="shared" si="30"/>
        <v>1023.0731532000001</v>
      </c>
      <c r="BI15" s="36">
        <f t="shared" si="31"/>
        <v>35.8628805</v>
      </c>
      <c r="BJ15" s="5"/>
      <c r="BK15" s="36">
        <f t="shared" si="83"/>
        <v>176.468</v>
      </c>
      <c r="BL15" s="36">
        <f t="shared" si="32"/>
        <v>38.1244984</v>
      </c>
      <c r="BM15" s="5">
        <f t="shared" si="33"/>
        <v>214.59249839999998</v>
      </c>
      <c r="BN15" s="36">
        <f t="shared" si="34"/>
        <v>7.522340999999999</v>
      </c>
      <c r="BO15" s="5"/>
      <c r="BP15" s="36">
        <f t="shared" si="84"/>
        <v>210.74999999999997</v>
      </c>
      <c r="BQ15" s="36">
        <f t="shared" si="35"/>
        <v>45.530849999999994</v>
      </c>
      <c r="BR15" s="5">
        <f t="shared" si="36"/>
        <v>256.28085</v>
      </c>
      <c r="BS15" s="36">
        <f t="shared" si="37"/>
        <v>8.983687499999998</v>
      </c>
      <c r="BT15" s="5"/>
      <c r="BU15" s="36">
        <f t="shared" si="38"/>
        <v>1039380.784</v>
      </c>
      <c r="BV15" s="36">
        <f t="shared" si="39"/>
        <v>224549.8959392</v>
      </c>
      <c r="BW15" s="5">
        <f t="shared" si="40"/>
        <v>1263930.6799392</v>
      </c>
      <c r="BX15" s="36">
        <f t="shared" si="41"/>
        <v>44305.917708</v>
      </c>
      <c r="BY15" s="5"/>
      <c r="BZ15" s="36">
        <f t="shared" si="85"/>
        <v>432.74</v>
      </c>
      <c r="CA15" s="36">
        <f t="shared" si="42"/>
        <v>93.49001200000001</v>
      </c>
      <c r="CB15" s="5">
        <f t="shared" si="43"/>
        <v>526.230012</v>
      </c>
      <c r="CC15" s="36">
        <f t="shared" si="44"/>
        <v>18.446505000000002</v>
      </c>
      <c r="CD15" s="5"/>
      <c r="CE15" s="36">
        <f t="shared" si="86"/>
        <v>746971.06</v>
      </c>
      <c r="CF15" s="36">
        <f t="shared" si="45"/>
        <v>161377.116428</v>
      </c>
      <c r="CG15" s="5">
        <f t="shared" si="46"/>
        <v>908348.1764280001</v>
      </c>
      <c r="CH15" s="36">
        <f t="shared" si="47"/>
        <v>31841.302845000002</v>
      </c>
      <c r="CI15" s="5"/>
      <c r="CJ15" s="36">
        <f t="shared" si="87"/>
        <v>141.624</v>
      </c>
      <c r="CK15" s="36">
        <f t="shared" si="48"/>
        <v>30.5967312</v>
      </c>
      <c r="CL15" s="5">
        <f t="shared" si="49"/>
        <v>172.2207312</v>
      </c>
      <c r="CM15" s="36">
        <f t="shared" si="50"/>
        <v>6.037038</v>
      </c>
      <c r="CN15" s="5"/>
      <c r="CO15" s="36">
        <f t="shared" si="88"/>
        <v>57715.152</v>
      </c>
      <c r="CP15" s="36">
        <f t="shared" si="51"/>
        <v>12468.8964576</v>
      </c>
      <c r="CQ15" s="5">
        <f t="shared" si="52"/>
        <v>70184.0484576</v>
      </c>
      <c r="CR15" s="36">
        <f t="shared" si="53"/>
        <v>2460.236724</v>
      </c>
      <c r="CS15" s="5"/>
      <c r="CT15" s="5">
        <f t="shared" si="89"/>
        <v>73815.328</v>
      </c>
      <c r="CU15" s="36">
        <f t="shared" si="54"/>
        <v>15947.2105664</v>
      </c>
      <c r="CV15" s="36">
        <f t="shared" si="55"/>
        <v>89762.53856639999</v>
      </c>
      <c r="CW15" s="36">
        <f t="shared" si="56"/>
        <v>3146.542536</v>
      </c>
      <c r="CX15" s="5"/>
      <c r="CY15" s="5">
        <f t="shared" si="90"/>
        <v>972.822</v>
      </c>
      <c r="CZ15" s="36">
        <f t="shared" si="57"/>
        <v>210.17040360000001</v>
      </c>
      <c r="DA15" s="36">
        <f t="shared" si="58"/>
        <v>1182.9924036</v>
      </c>
      <c r="DB15" s="36">
        <f t="shared" si="59"/>
        <v>41.4687015</v>
      </c>
      <c r="DC15" s="5"/>
      <c r="DD15" s="5">
        <f t="shared" si="91"/>
        <v>776114.132</v>
      </c>
      <c r="DE15" s="36">
        <f t="shared" si="60"/>
        <v>167673.24378159997</v>
      </c>
      <c r="DF15" s="36">
        <f t="shared" si="61"/>
        <v>943787.3757815999</v>
      </c>
      <c r="DG15" s="36">
        <f t="shared" si="62"/>
        <v>33083.59110899999</v>
      </c>
      <c r="DH15" s="5"/>
      <c r="DI15" s="36">
        <f t="shared" si="92"/>
        <v>719.922</v>
      </c>
      <c r="DJ15" s="36">
        <f t="shared" si="63"/>
        <v>155.5333836</v>
      </c>
      <c r="DK15" s="5">
        <f t="shared" si="64"/>
        <v>875.4553836</v>
      </c>
      <c r="DL15" s="36">
        <f t="shared" si="65"/>
        <v>30.6882765</v>
      </c>
      <c r="DM15" s="5"/>
      <c r="DN15" s="5">
        <f t="shared" si="93"/>
        <v>195.014</v>
      </c>
      <c r="DO15" s="5">
        <f t="shared" si="66"/>
        <v>42.131213200000005</v>
      </c>
      <c r="DP15" s="5">
        <f t="shared" si="67"/>
        <v>237.1452132</v>
      </c>
      <c r="DQ15" s="36">
        <f t="shared" si="68"/>
        <v>8.312905500000001</v>
      </c>
      <c r="DR15" s="5"/>
      <c r="DS15" s="36">
        <f t="shared" si="94"/>
        <v>29601.102000000003</v>
      </c>
      <c r="DT15" s="36">
        <f t="shared" si="69"/>
        <v>6395.0810676</v>
      </c>
      <c r="DU15" s="5">
        <f t="shared" si="70"/>
        <v>35996.1830676</v>
      </c>
      <c r="DV15" s="36">
        <f t="shared" si="71"/>
        <v>1261.8128115</v>
      </c>
      <c r="DW15" s="5"/>
      <c r="DX15" s="36"/>
      <c r="DY15" s="36"/>
      <c r="DZ15" s="5"/>
      <c r="EA15" s="36">
        <f t="shared" si="72"/>
        <v>0</v>
      </c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</row>
    <row r="16" spans="1:146" ht="12.75">
      <c r="A16" s="37">
        <v>44470</v>
      </c>
      <c r="D16" s="3">
        <v>1073656</v>
      </c>
      <c r="E16" s="35">
        <f t="shared" si="0"/>
        <v>1073656</v>
      </c>
      <c r="F16" s="35">
        <v>239565</v>
      </c>
      <c r="H16" s="36"/>
      <c r="I16" s="36">
        <v>71977</v>
      </c>
      <c r="J16" s="36">
        <f t="shared" si="1"/>
        <v>71977</v>
      </c>
      <c r="K16" s="35">
        <f>'Academic Project '!K16</f>
        <v>16060.341773999997</v>
      </c>
      <c r="M16" s="36"/>
      <c r="N16" s="35">
        <f t="shared" si="2"/>
        <v>1001678.6385880002</v>
      </c>
      <c r="O16" s="36">
        <f t="shared" si="3"/>
        <v>1001678.6385880002</v>
      </c>
      <c r="P16" s="36">
        <f t="shared" si="4"/>
        <v>223504.6821825</v>
      </c>
      <c r="R16" s="36"/>
      <c r="S16" s="36">
        <f t="shared" si="5"/>
        <v>247760.8310872</v>
      </c>
      <c r="T16" s="36">
        <f t="shared" si="6"/>
        <v>247760.8310872</v>
      </c>
      <c r="U16" s="36">
        <f t="shared" si="7"/>
        <v>55282.90579049999</v>
      </c>
      <c r="W16" s="36"/>
      <c r="X16" s="36">
        <f t="shared" si="8"/>
        <v>12239.7857656</v>
      </c>
      <c r="Y16" s="36">
        <f t="shared" si="9"/>
        <v>12239.7857656</v>
      </c>
      <c r="Z16" s="36">
        <f t="shared" si="10"/>
        <v>2731.0649565</v>
      </c>
      <c r="AB16" s="36"/>
      <c r="AC16" s="36">
        <f t="shared" si="11"/>
        <v>72163.2112656</v>
      </c>
      <c r="AD16" s="36">
        <f t="shared" si="12"/>
        <v>72163.2112656</v>
      </c>
      <c r="AE16" s="36">
        <f t="shared" si="13"/>
        <v>16101.786519</v>
      </c>
      <c r="AG16" s="36"/>
      <c r="AH16" s="36">
        <f t="shared" si="14"/>
        <v>8278.424588</v>
      </c>
      <c r="AI16" s="36">
        <f t="shared" si="15"/>
        <v>8278.424588</v>
      </c>
      <c r="AJ16" s="36">
        <f t="shared" si="16"/>
        <v>1847.1659325</v>
      </c>
      <c r="AL16" s="36"/>
      <c r="AM16" s="36">
        <f t="shared" si="17"/>
        <v>222.246792</v>
      </c>
      <c r="AN16" s="36">
        <f t="shared" si="18"/>
        <v>222.246792</v>
      </c>
      <c r="AO16" s="36">
        <f t="shared" si="19"/>
        <v>49.589954999999996</v>
      </c>
      <c r="AQ16" s="36"/>
      <c r="AR16" s="36">
        <f t="shared" si="20"/>
        <v>18166.9037136</v>
      </c>
      <c r="AS16" s="36">
        <f t="shared" si="21"/>
        <v>18166.9037136</v>
      </c>
      <c r="AT16" s="36">
        <f t="shared" si="22"/>
        <v>4053.583539</v>
      </c>
      <c r="AV16" s="36"/>
      <c r="AW16" s="36">
        <f t="shared" si="23"/>
        <v>363.6472872</v>
      </c>
      <c r="AX16" s="5">
        <f t="shared" si="24"/>
        <v>363.6472872</v>
      </c>
      <c r="AY16" s="36">
        <f t="shared" si="25"/>
        <v>81.1406655</v>
      </c>
      <c r="AZ16" s="5"/>
      <c r="BA16" s="36"/>
      <c r="BB16" s="36">
        <f t="shared" si="26"/>
        <v>121457.0129032</v>
      </c>
      <c r="BC16" s="5">
        <f t="shared" si="27"/>
        <v>121457.0129032</v>
      </c>
      <c r="BD16" s="36">
        <f t="shared" si="28"/>
        <v>27100.7187555</v>
      </c>
      <c r="BE16" s="5"/>
      <c r="BF16" s="36"/>
      <c r="BG16" s="36">
        <f t="shared" si="29"/>
        <v>160.72630320000002</v>
      </c>
      <c r="BH16" s="5">
        <f t="shared" si="30"/>
        <v>160.72630320000002</v>
      </c>
      <c r="BI16" s="36">
        <f t="shared" si="31"/>
        <v>35.8628805</v>
      </c>
      <c r="BJ16" s="5"/>
      <c r="BK16" s="36"/>
      <c r="BL16" s="36">
        <f t="shared" si="32"/>
        <v>33.7127984</v>
      </c>
      <c r="BM16" s="5">
        <f t="shared" si="33"/>
        <v>33.7127984</v>
      </c>
      <c r="BN16" s="36">
        <f t="shared" si="34"/>
        <v>7.522340999999999</v>
      </c>
      <c r="BO16" s="5"/>
      <c r="BP16" s="36"/>
      <c r="BQ16" s="36">
        <f t="shared" si="35"/>
        <v>40.2621</v>
      </c>
      <c r="BR16" s="5">
        <f t="shared" si="36"/>
        <v>40.2621</v>
      </c>
      <c r="BS16" s="36">
        <f t="shared" si="37"/>
        <v>8.983687499999998</v>
      </c>
      <c r="BT16" s="5"/>
      <c r="BU16" s="36">
        <f t="shared" si="38"/>
        <v>0</v>
      </c>
      <c r="BV16" s="36">
        <f t="shared" si="39"/>
        <v>198565.3763392</v>
      </c>
      <c r="BW16" s="5">
        <f t="shared" si="40"/>
        <v>198565.3763392</v>
      </c>
      <c r="BX16" s="36">
        <f t="shared" si="41"/>
        <v>44305.917708</v>
      </c>
      <c r="BY16" s="5"/>
      <c r="BZ16" s="36"/>
      <c r="CA16" s="36">
        <f t="shared" si="42"/>
        <v>82.671512</v>
      </c>
      <c r="CB16" s="5">
        <f t="shared" si="43"/>
        <v>82.671512</v>
      </c>
      <c r="CC16" s="36">
        <f t="shared" si="44"/>
        <v>18.446505000000002</v>
      </c>
      <c r="CD16" s="5"/>
      <c r="CE16" s="36"/>
      <c r="CF16" s="36">
        <f t="shared" si="45"/>
        <v>142702.839928</v>
      </c>
      <c r="CG16" s="5">
        <f t="shared" si="46"/>
        <v>142702.839928</v>
      </c>
      <c r="CH16" s="36">
        <f t="shared" si="47"/>
        <v>31841.302845000002</v>
      </c>
      <c r="CI16" s="5"/>
      <c r="CJ16" s="36"/>
      <c r="CK16" s="36">
        <f t="shared" si="48"/>
        <v>27.0561312</v>
      </c>
      <c r="CL16" s="5">
        <f t="shared" si="49"/>
        <v>27.0561312</v>
      </c>
      <c r="CM16" s="36">
        <f t="shared" si="50"/>
        <v>6.037038</v>
      </c>
      <c r="CN16" s="5"/>
      <c r="CO16" s="36"/>
      <c r="CP16" s="36">
        <f t="shared" si="51"/>
        <v>11026.0176576</v>
      </c>
      <c r="CQ16" s="5">
        <f t="shared" si="52"/>
        <v>11026.0176576</v>
      </c>
      <c r="CR16" s="36">
        <f t="shared" si="53"/>
        <v>2460.236724</v>
      </c>
      <c r="CS16" s="5"/>
      <c r="CT16" s="5"/>
      <c r="CU16" s="36">
        <f t="shared" si="54"/>
        <v>14101.827366399999</v>
      </c>
      <c r="CV16" s="36">
        <f t="shared" si="55"/>
        <v>14101.827366399999</v>
      </c>
      <c r="CW16" s="36">
        <f t="shared" si="56"/>
        <v>3146.542536</v>
      </c>
      <c r="CX16" s="5"/>
      <c r="CY16" s="5"/>
      <c r="CZ16" s="36">
        <f t="shared" si="57"/>
        <v>185.84985360000002</v>
      </c>
      <c r="DA16" s="36">
        <f t="shared" si="58"/>
        <v>185.84985360000002</v>
      </c>
      <c r="DB16" s="36">
        <f t="shared" si="59"/>
        <v>41.4687015</v>
      </c>
      <c r="DC16" s="5"/>
      <c r="DD16" s="5"/>
      <c r="DE16" s="36">
        <f t="shared" si="60"/>
        <v>148270.39048159998</v>
      </c>
      <c r="DF16" s="36">
        <f t="shared" si="61"/>
        <v>148270.39048159998</v>
      </c>
      <c r="DG16" s="36">
        <f t="shared" si="62"/>
        <v>33083.59110899999</v>
      </c>
      <c r="DH16" s="5"/>
      <c r="DI16" s="36"/>
      <c r="DJ16" s="36">
        <f t="shared" si="63"/>
        <v>137.5353336</v>
      </c>
      <c r="DK16" s="5">
        <f t="shared" si="64"/>
        <v>137.5353336</v>
      </c>
      <c r="DL16" s="36">
        <f t="shared" si="65"/>
        <v>30.6882765</v>
      </c>
      <c r="DM16" s="5"/>
      <c r="DN16" s="5"/>
      <c r="DO16" s="5">
        <f t="shared" si="66"/>
        <v>37.2558632</v>
      </c>
      <c r="DP16" s="5">
        <f t="shared" si="67"/>
        <v>37.2558632</v>
      </c>
      <c r="DQ16" s="36">
        <f t="shared" si="68"/>
        <v>8.312905500000001</v>
      </c>
      <c r="DR16" s="5"/>
      <c r="DS16" s="36"/>
      <c r="DT16" s="36">
        <f t="shared" si="69"/>
        <v>5655.0535176</v>
      </c>
      <c r="DU16" s="5">
        <f t="shared" si="70"/>
        <v>5655.0535176</v>
      </c>
      <c r="DV16" s="36">
        <f t="shared" si="71"/>
        <v>1261.8128115</v>
      </c>
      <c r="DW16" s="5"/>
      <c r="DX16" s="36"/>
      <c r="DY16" s="36"/>
      <c r="DZ16" s="5"/>
      <c r="EA16" s="36">
        <f t="shared" si="72"/>
        <v>0</v>
      </c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</row>
    <row r="17" spans="1:146" ht="12.75">
      <c r="A17" s="37">
        <v>44652</v>
      </c>
      <c r="C17" s="3">
        <v>5905000</v>
      </c>
      <c r="D17" s="3">
        <v>1073656</v>
      </c>
      <c r="E17" s="35">
        <f t="shared" si="0"/>
        <v>6978656</v>
      </c>
      <c r="F17" s="35">
        <v>239565</v>
      </c>
      <c r="H17" s="36">
        <v>395869</v>
      </c>
      <c r="I17" s="36">
        <v>71977</v>
      </c>
      <c r="J17" s="36">
        <f t="shared" si="1"/>
        <v>467846</v>
      </c>
      <c r="K17" s="35">
        <f>'Academic Project '!K17</f>
        <v>16060.341773999997</v>
      </c>
      <c r="M17" s="36">
        <f t="shared" si="73"/>
        <v>5509131.7524999995</v>
      </c>
      <c r="N17" s="35">
        <f t="shared" si="2"/>
        <v>1001678.6385880002</v>
      </c>
      <c r="O17" s="36">
        <f t="shared" si="3"/>
        <v>6510810.391088</v>
      </c>
      <c r="P17" s="36">
        <f t="shared" si="4"/>
        <v>223504.6821825</v>
      </c>
      <c r="R17" s="36">
        <f t="shared" si="74"/>
        <v>1362659.6485</v>
      </c>
      <c r="S17" s="36">
        <f t="shared" si="5"/>
        <v>247760.8310872</v>
      </c>
      <c r="T17" s="36">
        <f t="shared" si="6"/>
        <v>1610420.4795871999</v>
      </c>
      <c r="U17" s="36">
        <f t="shared" si="7"/>
        <v>55282.90579049999</v>
      </c>
      <c r="W17" s="36">
        <f t="shared" si="75"/>
        <v>67317.5905</v>
      </c>
      <c r="X17" s="36">
        <f t="shared" si="8"/>
        <v>12239.7857656</v>
      </c>
      <c r="Y17" s="36">
        <f t="shared" si="9"/>
        <v>79557.3762656</v>
      </c>
      <c r="Z17" s="36">
        <f t="shared" si="10"/>
        <v>2731.0649565</v>
      </c>
      <c r="AB17" s="36">
        <f t="shared" si="76"/>
        <v>396890.403</v>
      </c>
      <c r="AC17" s="36">
        <f t="shared" si="11"/>
        <v>72163.2112656</v>
      </c>
      <c r="AD17" s="36">
        <f t="shared" si="12"/>
        <v>469053.6142656</v>
      </c>
      <c r="AE17" s="36">
        <f t="shared" si="13"/>
        <v>16101.786519</v>
      </c>
      <c r="AG17" s="36">
        <f t="shared" si="77"/>
        <v>45530.5025</v>
      </c>
      <c r="AH17" s="36">
        <f t="shared" si="14"/>
        <v>8278.424588</v>
      </c>
      <c r="AI17" s="36">
        <f t="shared" si="15"/>
        <v>53808.927088000004</v>
      </c>
      <c r="AJ17" s="36">
        <f t="shared" si="16"/>
        <v>1847.1659325</v>
      </c>
      <c r="AL17" s="36">
        <f t="shared" si="78"/>
        <v>1222.335</v>
      </c>
      <c r="AM17" s="36">
        <f t="shared" si="17"/>
        <v>222.246792</v>
      </c>
      <c r="AN17" s="36">
        <f t="shared" si="18"/>
        <v>1444.581792</v>
      </c>
      <c r="AO17" s="36">
        <f t="shared" si="19"/>
        <v>49.589954999999996</v>
      </c>
      <c r="AQ17" s="36">
        <f t="shared" si="79"/>
        <v>99916.14300000001</v>
      </c>
      <c r="AR17" s="36">
        <f t="shared" si="20"/>
        <v>18166.9037136</v>
      </c>
      <c r="AS17" s="36">
        <f t="shared" si="21"/>
        <v>118083.04671360001</v>
      </c>
      <c r="AT17" s="36">
        <f t="shared" si="22"/>
        <v>4053.583539</v>
      </c>
      <c r="AV17" s="36">
        <f t="shared" si="80"/>
        <v>2000.0235</v>
      </c>
      <c r="AW17" s="36">
        <f t="shared" si="23"/>
        <v>363.6472872</v>
      </c>
      <c r="AX17" s="5">
        <f t="shared" si="24"/>
        <v>2363.6707872</v>
      </c>
      <c r="AY17" s="36">
        <f t="shared" si="25"/>
        <v>81.1406655</v>
      </c>
      <c r="AZ17" s="5"/>
      <c r="BA17" s="36">
        <f t="shared" si="81"/>
        <v>668001.3535</v>
      </c>
      <c r="BB17" s="36">
        <f t="shared" si="26"/>
        <v>121457.0129032</v>
      </c>
      <c r="BC17" s="5">
        <f t="shared" si="27"/>
        <v>789458.3664032</v>
      </c>
      <c r="BD17" s="36">
        <f t="shared" si="28"/>
        <v>27100.7187555</v>
      </c>
      <c r="BE17" s="5"/>
      <c r="BF17" s="36">
        <f t="shared" si="82"/>
        <v>883.9785</v>
      </c>
      <c r="BG17" s="36">
        <f t="shared" si="29"/>
        <v>160.72630320000002</v>
      </c>
      <c r="BH17" s="5">
        <f t="shared" si="30"/>
        <v>1044.7048032</v>
      </c>
      <c r="BI17" s="36">
        <f t="shared" si="31"/>
        <v>35.8628805</v>
      </c>
      <c r="BJ17" s="5"/>
      <c r="BK17" s="36">
        <f t="shared" si="83"/>
        <v>185.41699999999997</v>
      </c>
      <c r="BL17" s="36">
        <f t="shared" si="32"/>
        <v>33.7127984</v>
      </c>
      <c r="BM17" s="5">
        <f t="shared" si="33"/>
        <v>219.12979839999997</v>
      </c>
      <c r="BN17" s="36">
        <f t="shared" si="34"/>
        <v>7.522340999999999</v>
      </c>
      <c r="BO17" s="5"/>
      <c r="BP17" s="36">
        <f t="shared" si="84"/>
        <v>221.43749999999997</v>
      </c>
      <c r="BQ17" s="36">
        <f t="shared" si="35"/>
        <v>40.2621</v>
      </c>
      <c r="BR17" s="5">
        <f t="shared" si="36"/>
        <v>261.6996</v>
      </c>
      <c r="BS17" s="36">
        <f t="shared" si="37"/>
        <v>8.983687499999998</v>
      </c>
      <c r="BT17" s="5"/>
      <c r="BU17" s="36">
        <f t="shared" si="38"/>
        <v>1092089.596</v>
      </c>
      <c r="BV17" s="36">
        <f t="shared" si="39"/>
        <v>198565.3763392</v>
      </c>
      <c r="BW17" s="5">
        <f t="shared" si="40"/>
        <v>1290654.9723391999</v>
      </c>
      <c r="BX17" s="36">
        <f t="shared" si="41"/>
        <v>44305.917708</v>
      </c>
      <c r="BY17" s="5"/>
      <c r="BZ17" s="36">
        <f t="shared" si="85"/>
        <v>454.685</v>
      </c>
      <c r="CA17" s="36">
        <f t="shared" si="42"/>
        <v>82.671512</v>
      </c>
      <c r="CB17" s="5">
        <f t="shared" si="43"/>
        <v>537.3565120000001</v>
      </c>
      <c r="CC17" s="36">
        <f t="shared" si="44"/>
        <v>18.446505000000002</v>
      </c>
      <c r="CD17" s="5"/>
      <c r="CE17" s="36">
        <f t="shared" si="86"/>
        <v>784851.265</v>
      </c>
      <c r="CF17" s="36">
        <f t="shared" si="45"/>
        <v>142702.839928</v>
      </c>
      <c r="CG17" s="5">
        <f t="shared" si="46"/>
        <v>927554.104928</v>
      </c>
      <c r="CH17" s="36">
        <f t="shared" si="47"/>
        <v>31841.302845000002</v>
      </c>
      <c r="CI17" s="5"/>
      <c r="CJ17" s="36">
        <f t="shared" si="87"/>
        <v>148.80599999999998</v>
      </c>
      <c r="CK17" s="36">
        <f t="shared" si="48"/>
        <v>27.0561312</v>
      </c>
      <c r="CL17" s="5">
        <f t="shared" si="49"/>
        <v>175.8621312</v>
      </c>
      <c r="CM17" s="36">
        <f t="shared" si="50"/>
        <v>6.037038</v>
      </c>
      <c r="CN17" s="5"/>
      <c r="CO17" s="36">
        <f t="shared" si="88"/>
        <v>60641.988000000005</v>
      </c>
      <c r="CP17" s="36">
        <f t="shared" si="51"/>
        <v>11026.0176576</v>
      </c>
      <c r="CQ17" s="5">
        <f t="shared" si="52"/>
        <v>71668.0056576</v>
      </c>
      <c r="CR17" s="36">
        <f t="shared" si="53"/>
        <v>2460.236724</v>
      </c>
      <c r="CS17" s="5"/>
      <c r="CT17" s="5">
        <f t="shared" si="89"/>
        <v>77558.632</v>
      </c>
      <c r="CU17" s="36">
        <f t="shared" si="54"/>
        <v>14101.827366399999</v>
      </c>
      <c r="CV17" s="36">
        <f t="shared" si="55"/>
        <v>91660.4593664</v>
      </c>
      <c r="CW17" s="36">
        <f t="shared" si="56"/>
        <v>3146.542536</v>
      </c>
      <c r="CX17" s="5"/>
      <c r="CY17" s="5">
        <f t="shared" si="90"/>
        <v>1022.1555000000001</v>
      </c>
      <c r="CZ17" s="36">
        <f t="shared" si="57"/>
        <v>185.84985360000002</v>
      </c>
      <c r="DA17" s="36">
        <f t="shared" si="58"/>
        <v>1208.0053536</v>
      </c>
      <c r="DB17" s="36">
        <f t="shared" si="59"/>
        <v>41.4687015</v>
      </c>
      <c r="DC17" s="5"/>
      <c r="DD17" s="5">
        <f t="shared" si="91"/>
        <v>815472.2329999999</v>
      </c>
      <c r="DE17" s="36">
        <f t="shared" si="60"/>
        <v>148270.39048159998</v>
      </c>
      <c r="DF17" s="36">
        <f t="shared" si="61"/>
        <v>963742.6234815998</v>
      </c>
      <c r="DG17" s="36">
        <f t="shared" si="62"/>
        <v>33083.59110899999</v>
      </c>
      <c r="DH17" s="5"/>
      <c r="DI17" s="36">
        <f t="shared" si="92"/>
        <v>756.4304999999999</v>
      </c>
      <c r="DJ17" s="36">
        <f t="shared" si="63"/>
        <v>137.5353336</v>
      </c>
      <c r="DK17" s="5">
        <f t="shared" si="64"/>
        <v>893.9658336</v>
      </c>
      <c r="DL17" s="36">
        <f t="shared" si="65"/>
        <v>30.6882765</v>
      </c>
      <c r="DM17" s="5"/>
      <c r="DN17" s="5">
        <f t="shared" si="93"/>
        <v>204.9035</v>
      </c>
      <c r="DO17" s="5">
        <f t="shared" si="66"/>
        <v>37.2558632</v>
      </c>
      <c r="DP17" s="5">
        <f t="shared" si="67"/>
        <v>242.1593632</v>
      </c>
      <c r="DQ17" s="36">
        <f t="shared" si="68"/>
        <v>8.312905500000001</v>
      </c>
      <c r="DR17" s="5"/>
      <c r="DS17" s="36">
        <f t="shared" si="94"/>
        <v>31102.2255</v>
      </c>
      <c r="DT17" s="36">
        <f t="shared" si="69"/>
        <v>5655.0535176</v>
      </c>
      <c r="DU17" s="5">
        <f t="shared" si="70"/>
        <v>36757.2790176</v>
      </c>
      <c r="DV17" s="36">
        <f t="shared" si="71"/>
        <v>1261.8128115</v>
      </c>
      <c r="DW17" s="5"/>
      <c r="DX17" s="36"/>
      <c r="DY17" s="36"/>
      <c r="DZ17" s="5"/>
      <c r="EA17" s="36">
        <f t="shared" si="72"/>
        <v>0</v>
      </c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</row>
    <row r="18" spans="1:146" ht="12.75">
      <c r="A18" s="37">
        <v>44835</v>
      </c>
      <c r="D18" s="3">
        <v>926031</v>
      </c>
      <c r="E18" s="35">
        <f t="shared" si="0"/>
        <v>926031</v>
      </c>
      <c r="F18" s="35">
        <v>239565</v>
      </c>
      <c r="H18" s="36"/>
      <c r="I18" s="36">
        <v>62081</v>
      </c>
      <c r="J18" s="36">
        <f t="shared" si="1"/>
        <v>62081</v>
      </c>
      <c r="K18" s="35">
        <f>'Academic Project '!K18</f>
        <v>16060.341773999997</v>
      </c>
      <c r="M18" s="36"/>
      <c r="N18" s="35">
        <f t="shared" si="2"/>
        <v>863950.3447754999</v>
      </c>
      <c r="O18" s="36">
        <f t="shared" si="3"/>
        <v>863950.3447754999</v>
      </c>
      <c r="P18" s="36">
        <f t="shared" si="4"/>
        <v>223504.6821825</v>
      </c>
      <c r="R18" s="36"/>
      <c r="S18" s="36">
        <f t="shared" si="5"/>
        <v>213694.3398747</v>
      </c>
      <c r="T18" s="36">
        <f t="shared" si="6"/>
        <v>213694.3398747</v>
      </c>
      <c r="U18" s="36">
        <f t="shared" si="7"/>
        <v>55282.90579049999</v>
      </c>
      <c r="W18" s="36"/>
      <c r="X18" s="36">
        <f t="shared" si="8"/>
        <v>10556.8460031</v>
      </c>
      <c r="Y18" s="36">
        <f t="shared" si="9"/>
        <v>10556.8460031</v>
      </c>
      <c r="Z18" s="36">
        <f t="shared" si="10"/>
        <v>2731.0649565</v>
      </c>
      <c r="AB18" s="36"/>
      <c r="AC18" s="36">
        <f t="shared" si="11"/>
        <v>62240.9511906</v>
      </c>
      <c r="AD18" s="36">
        <f t="shared" si="12"/>
        <v>62240.9511906</v>
      </c>
      <c r="AE18" s="36">
        <f t="shared" si="13"/>
        <v>16101.786519</v>
      </c>
      <c r="AG18" s="36"/>
      <c r="AH18" s="36">
        <f t="shared" si="14"/>
        <v>7140.162025500001</v>
      </c>
      <c r="AI18" s="36">
        <f t="shared" si="15"/>
        <v>7140.162025500001</v>
      </c>
      <c r="AJ18" s="36">
        <f t="shared" si="16"/>
        <v>1847.1659325</v>
      </c>
      <c r="AL18" s="36"/>
      <c r="AM18" s="36">
        <f t="shared" si="17"/>
        <v>191.688417</v>
      </c>
      <c r="AN18" s="36">
        <f t="shared" si="18"/>
        <v>191.688417</v>
      </c>
      <c r="AO18" s="36">
        <f t="shared" si="19"/>
        <v>49.589954999999996</v>
      </c>
      <c r="AQ18" s="36"/>
      <c r="AR18" s="36">
        <f t="shared" si="20"/>
        <v>15669.0001386</v>
      </c>
      <c r="AS18" s="36">
        <f t="shared" si="21"/>
        <v>15669.0001386</v>
      </c>
      <c r="AT18" s="36">
        <f t="shared" si="22"/>
        <v>4053.583539</v>
      </c>
      <c r="AV18" s="36"/>
      <c r="AW18" s="36">
        <f t="shared" si="23"/>
        <v>313.6466997</v>
      </c>
      <c r="AX18" s="5">
        <f t="shared" si="24"/>
        <v>313.6466997</v>
      </c>
      <c r="AY18" s="36">
        <f t="shared" si="25"/>
        <v>81.1406655</v>
      </c>
      <c r="AZ18" s="5"/>
      <c r="BA18" s="36"/>
      <c r="BB18" s="36">
        <f t="shared" si="26"/>
        <v>104756.9790657</v>
      </c>
      <c r="BC18" s="5">
        <f t="shared" si="27"/>
        <v>104756.9790657</v>
      </c>
      <c r="BD18" s="36">
        <f t="shared" si="28"/>
        <v>27100.7187555</v>
      </c>
      <c r="BE18" s="5"/>
      <c r="BF18" s="36"/>
      <c r="BG18" s="36">
        <f t="shared" si="29"/>
        <v>138.6268407</v>
      </c>
      <c r="BH18" s="5">
        <f t="shared" si="30"/>
        <v>138.6268407</v>
      </c>
      <c r="BI18" s="36">
        <f t="shared" si="31"/>
        <v>35.8628805</v>
      </c>
      <c r="BJ18" s="5"/>
      <c r="BK18" s="36"/>
      <c r="BL18" s="36">
        <f t="shared" si="32"/>
        <v>29.0773734</v>
      </c>
      <c r="BM18" s="5">
        <f t="shared" si="33"/>
        <v>29.0773734</v>
      </c>
      <c r="BN18" s="36">
        <f t="shared" si="34"/>
        <v>7.522340999999999</v>
      </c>
      <c r="BO18" s="5"/>
      <c r="BP18" s="36"/>
      <c r="BQ18" s="36">
        <f t="shared" si="35"/>
        <v>34.726162499999994</v>
      </c>
      <c r="BR18" s="5">
        <f t="shared" si="36"/>
        <v>34.726162499999994</v>
      </c>
      <c r="BS18" s="36">
        <f t="shared" si="37"/>
        <v>8.983687499999998</v>
      </c>
      <c r="BT18" s="5"/>
      <c r="BU18" s="36">
        <f t="shared" si="38"/>
        <v>0</v>
      </c>
      <c r="BV18" s="36">
        <f t="shared" si="39"/>
        <v>171263.1364392</v>
      </c>
      <c r="BW18" s="5">
        <f t="shared" si="40"/>
        <v>171263.1364392</v>
      </c>
      <c r="BX18" s="36">
        <f t="shared" si="41"/>
        <v>44305.917708</v>
      </c>
      <c r="BY18" s="5"/>
      <c r="BZ18" s="36"/>
      <c r="CA18" s="36">
        <f t="shared" si="42"/>
        <v>71.304387</v>
      </c>
      <c r="CB18" s="5">
        <f t="shared" si="43"/>
        <v>71.304387</v>
      </c>
      <c r="CC18" s="36">
        <f t="shared" si="44"/>
        <v>18.446505000000002</v>
      </c>
      <c r="CD18" s="5"/>
      <c r="CE18" s="36"/>
      <c r="CF18" s="36">
        <f t="shared" si="45"/>
        <v>123081.558303</v>
      </c>
      <c r="CG18" s="5">
        <f t="shared" si="46"/>
        <v>123081.558303</v>
      </c>
      <c r="CH18" s="36">
        <f t="shared" si="47"/>
        <v>31841.302845000002</v>
      </c>
      <c r="CI18" s="5"/>
      <c r="CJ18" s="36"/>
      <c r="CK18" s="36">
        <f t="shared" si="48"/>
        <v>23.3359812</v>
      </c>
      <c r="CL18" s="5">
        <f t="shared" si="49"/>
        <v>23.3359812</v>
      </c>
      <c r="CM18" s="36">
        <f t="shared" si="50"/>
        <v>6.037038</v>
      </c>
      <c r="CN18" s="5"/>
      <c r="CO18" s="36"/>
      <c r="CP18" s="36">
        <f t="shared" si="51"/>
        <v>9509.9679576</v>
      </c>
      <c r="CQ18" s="5">
        <f t="shared" si="52"/>
        <v>9509.9679576</v>
      </c>
      <c r="CR18" s="36">
        <f t="shared" si="53"/>
        <v>2460.236724</v>
      </c>
      <c r="CS18" s="5"/>
      <c r="CT18" s="5"/>
      <c r="CU18" s="36">
        <f t="shared" si="54"/>
        <v>12162.861566399999</v>
      </c>
      <c r="CV18" s="36">
        <f t="shared" si="55"/>
        <v>12162.861566399999</v>
      </c>
      <c r="CW18" s="36">
        <f t="shared" si="56"/>
        <v>3146.542536</v>
      </c>
      <c r="CX18" s="5"/>
      <c r="CY18" s="5"/>
      <c r="CZ18" s="36">
        <f t="shared" si="57"/>
        <v>160.29596610000002</v>
      </c>
      <c r="DA18" s="36">
        <f t="shared" si="58"/>
        <v>160.29596610000002</v>
      </c>
      <c r="DB18" s="36">
        <f t="shared" si="59"/>
        <v>41.4687015</v>
      </c>
      <c r="DC18" s="5"/>
      <c r="DD18" s="5"/>
      <c r="DE18" s="36">
        <f t="shared" si="60"/>
        <v>127883.58465659998</v>
      </c>
      <c r="DF18" s="36">
        <f t="shared" si="61"/>
        <v>127883.58465659998</v>
      </c>
      <c r="DG18" s="36">
        <f t="shared" si="62"/>
        <v>33083.59110899999</v>
      </c>
      <c r="DH18" s="5"/>
      <c r="DI18" s="36"/>
      <c r="DJ18" s="36">
        <f t="shared" si="63"/>
        <v>118.6245711</v>
      </c>
      <c r="DK18" s="5">
        <f t="shared" si="64"/>
        <v>118.6245711</v>
      </c>
      <c r="DL18" s="36">
        <f t="shared" si="65"/>
        <v>30.6882765</v>
      </c>
      <c r="DM18" s="5"/>
      <c r="DN18" s="5"/>
      <c r="DO18" s="5">
        <f t="shared" si="66"/>
        <v>32.133275700000006</v>
      </c>
      <c r="DP18" s="5">
        <f t="shared" si="67"/>
        <v>32.133275700000006</v>
      </c>
      <c r="DQ18" s="36">
        <f t="shared" si="68"/>
        <v>8.312905500000001</v>
      </c>
      <c r="DR18" s="5"/>
      <c r="DS18" s="36"/>
      <c r="DT18" s="36">
        <f t="shared" si="69"/>
        <v>4877.497880100001</v>
      </c>
      <c r="DU18" s="5">
        <f t="shared" si="70"/>
        <v>4877.497880100001</v>
      </c>
      <c r="DV18" s="36">
        <f t="shared" si="71"/>
        <v>1261.8128115</v>
      </c>
      <c r="DW18" s="5"/>
      <c r="DX18" s="36"/>
      <c r="DY18" s="36"/>
      <c r="DZ18" s="5"/>
      <c r="EA18" s="36">
        <f t="shared" si="72"/>
        <v>0</v>
      </c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</row>
    <row r="19" spans="1:146" ht="12.75">
      <c r="A19" s="37">
        <v>45017</v>
      </c>
      <c r="C19" s="3">
        <v>6200000</v>
      </c>
      <c r="D19" s="3">
        <v>926031</v>
      </c>
      <c r="E19" s="35">
        <f t="shared" si="0"/>
        <v>7126031</v>
      </c>
      <c r="F19" s="35">
        <v>239565</v>
      </c>
      <c r="H19" s="36">
        <v>415646</v>
      </c>
      <c r="I19" s="36">
        <v>62081</v>
      </c>
      <c r="J19" s="36">
        <f t="shared" si="1"/>
        <v>477727</v>
      </c>
      <c r="K19" s="35">
        <f>'Academic Project '!K19</f>
        <v>16060.341773999997</v>
      </c>
      <c r="M19" s="36">
        <f t="shared" si="73"/>
        <v>5784355.1</v>
      </c>
      <c r="N19" s="35">
        <f t="shared" si="2"/>
        <v>863950.3447754999</v>
      </c>
      <c r="O19" s="36">
        <f t="shared" si="3"/>
        <v>6648305.444775499</v>
      </c>
      <c r="P19" s="36">
        <f t="shared" si="4"/>
        <v>223504.6821825</v>
      </c>
      <c r="R19" s="36">
        <f t="shared" si="74"/>
        <v>1430734.94</v>
      </c>
      <c r="S19" s="36">
        <f t="shared" si="5"/>
        <v>213694.3398747</v>
      </c>
      <c r="T19" s="36">
        <f t="shared" si="6"/>
        <v>1644429.2798747</v>
      </c>
      <c r="U19" s="36">
        <f t="shared" si="7"/>
        <v>55282.90579049999</v>
      </c>
      <c r="W19" s="36">
        <f t="shared" si="75"/>
        <v>70680.62</v>
      </c>
      <c r="X19" s="36">
        <f t="shared" si="8"/>
        <v>10556.8460031</v>
      </c>
      <c r="Y19" s="36">
        <f t="shared" si="9"/>
        <v>81237.4660031</v>
      </c>
      <c r="Z19" s="36">
        <f t="shared" si="10"/>
        <v>2731.0649565</v>
      </c>
      <c r="AB19" s="36">
        <f t="shared" si="76"/>
        <v>416718.12</v>
      </c>
      <c r="AC19" s="36">
        <f t="shared" si="11"/>
        <v>62240.9511906</v>
      </c>
      <c r="AD19" s="36">
        <f t="shared" si="12"/>
        <v>478959.0711906</v>
      </c>
      <c r="AE19" s="36">
        <f t="shared" si="13"/>
        <v>16101.786519</v>
      </c>
      <c r="AG19" s="36">
        <f t="shared" si="77"/>
        <v>47805.1</v>
      </c>
      <c r="AH19" s="36">
        <f t="shared" si="14"/>
        <v>7140.162025500001</v>
      </c>
      <c r="AI19" s="36">
        <f t="shared" si="15"/>
        <v>54945.2620255</v>
      </c>
      <c r="AJ19" s="36">
        <f t="shared" si="16"/>
        <v>1847.1659325</v>
      </c>
      <c r="AL19" s="36">
        <f t="shared" si="78"/>
        <v>1283.3999999999999</v>
      </c>
      <c r="AM19" s="36">
        <f t="shared" si="17"/>
        <v>191.688417</v>
      </c>
      <c r="AN19" s="36">
        <f t="shared" si="18"/>
        <v>1475.088417</v>
      </c>
      <c r="AO19" s="36">
        <f t="shared" si="19"/>
        <v>49.589954999999996</v>
      </c>
      <c r="AQ19" s="36">
        <f t="shared" si="79"/>
        <v>104907.72</v>
      </c>
      <c r="AR19" s="36">
        <f t="shared" si="20"/>
        <v>15669.0001386</v>
      </c>
      <c r="AS19" s="36">
        <f t="shared" si="21"/>
        <v>120576.72013860001</v>
      </c>
      <c r="AT19" s="36">
        <f t="shared" si="22"/>
        <v>4053.583539</v>
      </c>
      <c r="AV19" s="36">
        <f t="shared" si="80"/>
        <v>2099.94</v>
      </c>
      <c r="AW19" s="36">
        <f t="shared" si="23"/>
        <v>313.6466997</v>
      </c>
      <c r="AX19" s="5">
        <f t="shared" si="24"/>
        <v>2413.5866997000003</v>
      </c>
      <c r="AY19" s="36">
        <f t="shared" si="25"/>
        <v>81.1406655</v>
      </c>
      <c r="AZ19" s="5"/>
      <c r="BA19" s="36">
        <f t="shared" si="81"/>
        <v>701373.14</v>
      </c>
      <c r="BB19" s="36">
        <f t="shared" si="26"/>
        <v>104756.9790657</v>
      </c>
      <c r="BC19" s="5">
        <f t="shared" si="27"/>
        <v>806130.1190657</v>
      </c>
      <c r="BD19" s="36">
        <f t="shared" si="28"/>
        <v>27100.7187555</v>
      </c>
      <c r="BE19" s="5"/>
      <c r="BF19" s="36">
        <f t="shared" si="82"/>
        <v>928.14</v>
      </c>
      <c r="BG19" s="36">
        <f t="shared" si="29"/>
        <v>138.6268407</v>
      </c>
      <c r="BH19" s="5">
        <f t="shared" si="30"/>
        <v>1066.7668407</v>
      </c>
      <c r="BI19" s="36">
        <f t="shared" si="31"/>
        <v>35.8628805</v>
      </c>
      <c r="BJ19" s="5"/>
      <c r="BK19" s="36">
        <f t="shared" si="83"/>
        <v>194.67999999999998</v>
      </c>
      <c r="BL19" s="36">
        <f t="shared" si="32"/>
        <v>29.0773734</v>
      </c>
      <c r="BM19" s="5">
        <f t="shared" si="33"/>
        <v>223.75737339999998</v>
      </c>
      <c r="BN19" s="36">
        <f t="shared" si="34"/>
        <v>7.522340999999999</v>
      </c>
      <c r="BO19" s="5"/>
      <c r="BP19" s="36">
        <f t="shared" si="84"/>
        <v>232.49999999999997</v>
      </c>
      <c r="BQ19" s="36">
        <f t="shared" si="35"/>
        <v>34.726162499999994</v>
      </c>
      <c r="BR19" s="5">
        <f t="shared" si="36"/>
        <v>267.2261625</v>
      </c>
      <c r="BS19" s="36">
        <f t="shared" si="37"/>
        <v>8.983687499999998</v>
      </c>
      <c r="BT19" s="5"/>
      <c r="BU19" s="36">
        <f t="shared" si="38"/>
        <v>1146647.84</v>
      </c>
      <c r="BV19" s="36">
        <f t="shared" si="39"/>
        <v>171263.1364392</v>
      </c>
      <c r="BW19" s="5">
        <f t="shared" si="40"/>
        <v>1317910.9764392</v>
      </c>
      <c r="BX19" s="36">
        <f t="shared" si="41"/>
        <v>44305.917708</v>
      </c>
      <c r="BY19" s="5"/>
      <c r="BZ19" s="36">
        <f t="shared" si="85"/>
        <v>477.40000000000003</v>
      </c>
      <c r="CA19" s="36">
        <f t="shared" si="42"/>
        <v>71.304387</v>
      </c>
      <c r="CB19" s="5">
        <f t="shared" si="43"/>
        <v>548.704387</v>
      </c>
      <c r="CC19" s="36">
        <f t="shared" si="44"/>
        <v>18.446505000000002</v>
      </c>
      <c r="CD19" s="5"/>
      <c r="CE19" s="36">
        <f t="shared" si="86"/>
        <v>824060.6</v>
      </c>
      <c r="CF19" s="36">
        <f t="shared" si="45"/>
        <v>123081.558303</v>
      </c>
      <c r="CG19" s="5">
        <f t="shared" si="46"/>
        <v>947142.158303</v>
      </c>
      <c r="CH19" s="36">
        <f t="shared" si="47"/>
        <v>31841.302845000002</v>
      </c>
      <c r="CI19" s="5"/>
      <c r="CJ19" s="36">
        <f t="shared" si="87"/>
        <v>156.24</v>
      </c>
      <c r="CK19" s="36">
        <f t="shared" si="48"/>
        <v>23.3359812</v>
      </c>
      <c r="CL19" s="5">
        <f t="shared" si="49"/>
        <v>179.5759812</v>
      </c>
      <c r="CM19" s="36">
        <f t="shared" si="50"/>
        <v>6.037038</v>
      </c>
      <c r="CN19" s="5"/>
      <c r="CO19" s="36">
        <f t="shared" si="88"/>
        <v>63671.520000000004</v>
      </c>
      <c r="CP19" s="36">
        <f t="shared" si="51"/>
        <v>9509.9679576</v>
      </c>
      <c r="CQ19" s="5">
        <f t="shared" si="52"/>
        <v>73181.48795760001</v>
      </c>
      <c r="CR19" s="36">
        <f t="shared" si="53"/>
        <v>2460.236724</v>
      </c>
      <c r="CS19" s="5"/>
      <c r="CT19" s="5">
        <f t="shared" si="89"/>
        <v>81433.28</v>
      </c>
      <c r="CU19" s="36">
        <f t="shared" si="54"/>
        <v>12162.861566399999</v>
      </c>
      <c r="CV19" s="36">
        <f t="shared" si="55"/>
        <v>93596.1415664</v>
      </c>
      <c r="CW19" s="36">
        <f t="shared" si="56"/>
        <v>3146.542536</v>
      </c>
      <c r="CX19" s="5"/>
      <c r="CY19" s="5">
        <f t="shared" si="90"/>
        <v>1073.22</v>
      </c>
      <c r="CZ19" s="36">
        <f t="shared" si="57"/>
        <v>160.29596610000002</v>
      </c>
      <c r="DA19" s="36">
        <f t="shared" si="58"/>
        <v>1233.5159661</v>
      </c>
      <c r="DB19" s="36">
        <f t="shared" si="59"/>
        <v>41.4687015</v>
      </c>
      <c r="DC19" s="5"/>
      <c r="DD19" s="5">
        <f t="shared" si="91"/>
        <v>856211.32</v>
      </c>
      <c r="DE19" s="36">
        <f t="shared" si="60"/>
        <v>127883.58465659998</v>
      </c>
      <c r="DF19" s="36">
        <f t="shared" si="61"/>
        <v>984094.9046566</v>
      </c>
      <c r="DG19" s="36">
        <f t="shared" si="62"/>
        <v>33083.59110899999</v>
      </c>
      <c r="DH19" s="5"/>
      <c r="DI19" s="36">
        <f t="shared" si="92"/>
        <v>794.22</v>
      </c>
      <c r="DJ19" s="36">
        <f t="shared" si="63"/>
        <v>118.6245711</v>
      </c>
      <c r="DK19" s="5">
        <f t="shared" si="64"/>
        <v>912.8445711</v>
      </c>
      <c r="DL19" s="36">
        <f t="shared" si="65"/>
        <v>30.6882765</v>
      </c>
      <c r="DM19" s="5"/>
      <c r="DN19" s="5">
        <f t="shared" si="93"/>
        <v>215.14000000000001</v>
      </c>
      <c r="DO19" s="5">
        <f t="shared" si="66"/>
        <v>32.133275700000006</v>
      </c>
      <c r="DP19" s="5">
        <f t="shared" si="67"/>
        <v>247.27327570000003</v>
      </c>
      <c r="DQ19" s="36">
        <f t="shared" si="68"/>
        <v>8.312905500000001</v>
      </c>
      <c r="DR19" s="5"/>
      <c r="DS19" s="36">
        <f t="shared" si="94"/>
        <v>32656.02</v>
      </c>
      <c r="DT19" s="36">
        <f t="shared" si="69"/>
        <v>4877.497880100001</v>
      </c>
      <c r="DU19" s="5">
        <f t="shared" si="70"/>
        <v>37533.5178801</v>
      </c>
      <c r="DV19" s="36">
        <f t="shared" si="71"/>
        <v>1261.8128115</v>
      </c>
      <c r="DW19" s="5"/>
      <c r="DX19" s="36"/>
      <c r="DY19" s="36"/>
      <c r="DZ19" s="5"/>
      <c r="EA19" s="36">
        <f t="shared" si="72"/>
        <v>0</v>
      </c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</row>
    <row r="20" spans="1:146" ht="12.75">
      <c r="A20" s="37">
        <v>45200</v>
      </c>
      <c r="D20" s="3">
        <v>864031</v>
      </c>
      <c r="E20" s="35">
        <f t="shared" si="0"/>
        <v>864031</v>
      </c>
      <c r="F20" s="35">
        <v>239565</v>
      </c>
      <c r="H20" s="36"/>
      <c r="I20" s="36">
        <v>57924</v>
      </c>
      <c r="J20" s="36">
        <f t="shared" si="1"/>
        <v>57924</v>
      </c>
      <c r="K20" s="35">
        <f>'Academic Project '!K20</f>
        <v>16060.341773999997</v>
      </c>
      <c r="M20" s="36"/>
      <c r="N20" s="35">
        <f t="shared" si="2"/>
        <v>806106.7937754999</v>
      </c>
      <c r="O20" s="36">
        <f t="shared" si="3"/>
        <v>806106.7937754999</v>
      </c>
      <c r="P20" s="36">
        <f t="shared" si="4"/>
        <v>223504.6821825</v>
      </c>
      <c r="R20" s="36"/>
      <c r="S20" s="36">
        <f t="shared" si="5"/>
        <v>199386.9904747</v>
      </c>
      <c r="T20" s="36">
        <f t="shared" si="6"/>
        <v>199386.9904747</v>
      </c>
      <c r="U20" s="36">
        <f t="shared" si="7"/>
        <v>55282.90579049999</v>
      </c>
      <c r="W20" s="36"/>
      <c r="X20" s="36">
        <f t="shared" si="8"/>
        <v>9850.0398031</v>
      </c>
      <c r="Y20" s="36">
        <f t="shared" si="9"/>
        <v>9850.0398031</v>
      </c>
      <c r="Z20" s="36">
        <f t="shared" si="10"/>
        <v>2731.0649565</v>
      </c>
      <c r="AB20" s="36"/>
      <c r="AC20" s="36">
        <f t="shared" si="11"/>
        <v>58073.7699906</v>
      </c>
      <c r="AD20" s="36">
        <f t="shared" si="12"/>
        <v>58073.7699906</v>
      </c>
      <c r="AE20" s="36">
        <f t="shared" si="13"/>
        <v>16101.786519</v>
      </c>
      <c r="AG20" s="36"/>
      <c r="AH20" s="36">
        <f t="shared" si="14"/>
        <v>6662.1110255</v>
      </c>
      <c r="AI20" s="36">
        <f t="shared" si="15"/>
        <v>6662.1110255</v>
      </c>
      <c r="AJ20" s="36">
        <f t="shared" si="16"/>
        <v>1847.1659325</v>
      </c>
      <c r="AL20" s="36"/>
      <c r="AM20" s="36">
        <f t="shared" si="17"/>
        <v>178.85441699999998</v>
      </c>
      <c r="AN20" s="36">
        <f t="shared" si="18"/>
        <v>178.85441699999998</v>
      </c>
      <c r="AO20" s="36">
        <f t="shared" si="19"/>
        <v>49.589954999999996</v>
      </c>
      <c r="AQ20" s="36"/>
      <c r="AR20" s="36">
        <f t="shared" si="20"/>
        <v>14619.9229386</v>
      </c>
      <c r="AS20" s="36">
        <f t="shared" si="21"/>
        <v>14619.9229386</v>
      </c>
      <c r="AT20" s="36">
        <f t="shared" si="22"/>
        <v>4053.583539</v>
      </c>
      <c r="AV20" s="36"/>
      <c r="AW20" s="36">
        <f t="shared" si="23"/>
        <v>292.6472997</v>
      </c>
      <c r="AX20" s="5">
        <f t="shared" si="24"/>
        <v>292.6472997</v>
      </c>
      <c r="AY20" s="36">
        <f t="shared" si="25"/>
        <v>81.1406655</v>
      </c>
      <c r="AZ20" s="5"/>
      <c r="BA20" s="36"/>
      <c r="BB20" s="36">
        <f t="shared" si="26"/>
        <v>97743.2476657</v>
      </c>
      <c r="BC20" s="5">
        <f t="shared" si="27"/>
        <v>97743.2476657</v>
      </c>
      <c r="BD20" s="36">
        <f t="shared" si="28"/>
        <v>27100.7187555</v>
      </c>
      <c r="BE20" s="5"/>
      <c r="BF20" s="36"/>
      <c r="BG20" s="36">
        <f t="shared" si="29"/>
        <v>129.3454407</v>
      </c>
      <c r="BH20" s="5">
        <f t="shared" si="30"/>
        <v>129.3454407</v>
      </c>
      <c r="BI20" s="36">
        <f t="shared" si="31"/>
        <v>35.8628805</v>
      </c>
      <c r="BJ20" s="5"/>
      <c r="BK20" s="36"/>
      <c r="BL20" s="36">
        <f t="shared" si="32"/>
        <v>27.1305734</v>
      </c>
      <c r="BM20" s="5">
        <f t="shared" si="33"/>
        <v>27.1305734</v>
      </c>
      <c r="BN20" s="36">
        <f t="shared" si="34"/>
        <v>7.522340999999999</v>
      </c>
      <c r="BO20" s="5"/>
      <c r="BP20" s="36"/>
      <c r="BQ20" s="36">
        <f t="shared" si="35"/>
        <v>32.4011625</v>
      </c>
      <c r="BR20" s="5">
        <f t="shared" si="36"/>
        <v>32.4011625</v>
      </c>
      <c r="BS20" s="36">
        <f t="shared" si="37"/>
        <v>8.983687499999998</v>
      </c>
      <c r="BT20" s="5"/>
      <c r="BU20" s="36">
        <f t="shared" si="38"/>
        <v>0</v>
      </c>
      <c r="BV20" s="36">
        <f t="shared" si="39"/>
        <v>159796.6580392</v>
      </c>
      <c r="BW20" s="5">
        <f t="shared" si="40"/>
        <v>159796.6580392</v>
      </c>
      <c r="BX20" s="36">
        <f t="shared" si="41"/>
        <v>44305.917708</v>
      </c>
      <c r="BY20" s="5"/>
      <c r="BZ20" s="36"/>
      <c r="CA20" s="36">
        <f t="shared" si="42"/>
        <v>66.530387</v>
      </c>
      <c r="CB20" s="5">
        <f t="shared" si="43"/>
        <v>66.530387</v>
      </c>
      <c r="CC20" s="36">
        <f t="shared" si="44"/>
        <v>18.446505000000002</v>
      </c>
      <c r="CD20" s="5"/>
      <c r="CE20" s="36"/>
      <c r="CF20" s="36">
        <f t="shared" si="45"/>
        <v>114840.952303</v>
      </c>
      <c r="CG20" s="5">
        <f t="shared" si="46"/>
        <v>114840.952303</v>
      </c>
      <c r="CH20" s="36">
        <f t="shared" si="47"/>
        <v>31841.302845000002</v>
      </c>
      <c r="CI20" s="5"/>
      <c r="CJ20" s="36"/>
      <c r="CK20" s="36">
        <f t="shared" si="48"/>
        <v>21.7735812</v>
      </c>
      <c r="CL20" s="5">
        <f t="shared" si="49"/>
        <v>21.7735812</v>
      </c>
      <c r="CM20" s="36">
        <f t="shared" si="50"/>
        <v>6.037038</v>
      </c>
      <c r="CN20" s="5"/>
      <c r="CO20" s="36"/>
      <c r="CP20" s="36">
        <f t="shared" si="51"/>
        <v>8873.2527576</v>
      </c>
      <c r="CQ20" s="5">
        <f t="shared" si="52"/>
        <v>8873.2527576</v>
      </c>
      <c r="CR20" s="36">
        <f t="shared" si="53"/>
        <v>2460.236724</v>
      </c>
      <c r="CS20" s="5"/>
      <c r="CT20" s="5"/>
      <c r="CU20" s="36">
        <f t="shared" si="54"/>
        <v>11348.528766399999</v>
      </c>
      <c r="CV20" s="36">
        <f t="shared" si="55"/>
        <v>11348.528766399999</v>
      </c>
      <c r="CW20" s="36">
        <f t="shared" si="56"/>
        <v>3146.542536</v>
      </c>
      <c r="CX20" s="5"/>
      <c r="CY20" s="5"/>
      <c r="CZ20" s="36">
        <f t="shared" si="57"/>
        <v>149.5637661</v>
      </c>
      <c r="DA20" s="36">
        <f t="shared" si="58"/>
        <v>149.5637661</v>
      </c>
      <c r="DB20" s="36">
        <f t="shared" si="59"/>
        <v>41.4687015</v>
      </c>
      <c r="DC20" s="5"/>
      <c r="DD20" s="5"/>
      <c r="DE20" s="36">
        <f t="shared" si="60"/>
        <v>119321.47145659999</v>
      </c>
      <c r="DF20" s="36">
        <f t="shared" si="61"/>
        <v>119321.47145659999</v>
      </c>
      <c r="DG20" s="36">
        <f t="shared" si="62"/>
        <v>33083.59110899999</v>
      </c>
      <c r="DH20" s="5"/>
      <c r="DI20" s="36"/>
      <c r="DJ20" s="36">
        <f t="shared" si="63"/>
        <v>110.6823711</v>
      </c>
      <c r="DK20" s="5">
        <f t="shared" si="64"/>
        <v>110.6823711</v>
      </c>
      <c r="DL20" s="36">
        <f t="shared" si="65"/>
        <v>30.6882765</v>
      </c>
      <c r="DM20" s="5"/>
      <c r="DN20" s="5"/>
      <c r="DO20" s="5">
        <f t="shared" si="66"/>
        <v>29.981875700000003</v>
      </c>
      <c r="DP20" s="5">
        <f t="shared" si="67"/>
        <v>29.981875700000003</v>
      </c>
      <c r="DQ20" s="36">
        <f t="shared" si="68"/>
        <v>8.312905500000001</v>
      </c>
      <c r="DR20" s="5"/>
      <c r="DS20" s="36"/>
      <c r="DT20" s="36">
        <f t="shared" si="69"/>
        <v>4550.9376801</v>
      </c>
      <c r="DU20" s="5">
        <f t="shared" si="70"/>
        <v>4550.9376801</v>
      </c>
      <c r="DV20" s="36">
        <f t="shared" si="71"/>
        <v>1261.8128115</v>
      </c>
      <c r="DW20" s="5"/>
      <c r="DX20" s="36"/>
      <c r="DY20" s="36"/>
      <c r="DZ20" s="5"/>
      <c r="EA20" s="36">
        <f t="shared" si="72"/>
        <v>0</v>
      </c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</row>
    <row r="21" spans="1:146" ht="12.75">
      <c r="A21" s="37">
        <v>45383</v>
      </c>
      <c r="C21" s="3">
        <v>6320000</v>
      </c>
      <c r="D21" s="3">
        <v>864031</v>
      </c>
      <c r="E21" s="35">
        <f t="shared" si="0"/>
        <v>7184031</v>
      </c>
      <c r="F21" s="35">
        <v>239565</v>
      </c>
      <c r="H21" s="36">
        <v>423690</v>
      </c>
      <c r="I21" s="36">
        <v>57924</v>
      </c>
      <c r="J21" s="36">
        <f t="shared" si="1"/>
        <v>481614</v>
      </c>
      <c r="K21" s="35">
        <f>'Academic Project '!K21</f>
        <v>16060.341773999997</v>
      </c>
      <c r="M21" s="36">
        <f t="shared" si="73"/>
        <v>5896310.3599999985</v>
      </c>
      <c r="N21" s="35">
        <f t="shared" si="2"/>
        <v>806106.7937754999</v>
      </c>
      <c r="O21" s="36">
        <f t="shared" si="3"/>
        <v>6702417.153775498</v>
      </c>
      <c r="P21" s="36">
        <f t="shared" si="4"/>
        <v>223504.6821825</v>
      </c>
      <c r="R21" s="36">
        <f t="shared" si="74"/>
        <v>1458426.584</v>
      </c>
      <c r="S21" s="36">
        <f t="shared" si="5"/>
        <v>199386.9904747</v>
      </c>
      <c r="T21" s="36">
        <f t="shared" si="6"/>
        <v>1657813.5744747</v>
      </c>
      <c r="U21" s="36">
        <f t="shared" si="7"/>
        <v>55282.90579049999</v>
      </c>
      <c r="W21" s="36">
        <f t="shared" si="75"/>
        <v>72048.632</v>
      </c>
      <c r="X21" s="36">
        <f t="shared" si="8"/>
        <v>9850.0398031</v>
      </c>
      <c r="Y21" s="36">
        <f t="shared" si="9"/>
        <v>81898.6718031</v>
      </c>
      <c r="Z21" s="36">
        <f t="shared" si="10"/>
        <v>2731.0649565</v>
      </c>
      <c r="AB21" s="36">
        <f t="shared" si="76"/>
        <v>424783.632</v>
      </c>
      <c r="AC21" s="36">
        <f t="shared" si="11"/>
        <v>58073.7699906</v>
      </c>
      <c r="AD21" s="36">
        <f t="shared" si="12"/>
        <v>482857.4019906</v>
      </c>
      <c r="AE21" s="36">
        <f t="shared" si="13"/>
        <v>16101.786519</v>
      </c>
      <c r="AG21" s="36">
        <f t="shared" si="77"/>
        <v>48730.36</v>
      </c>
      <c r="AH21" s="36">
        <f t="shared" si="14"/>
        <v>6662.1110255</v>
      </c>
      <c r="AI21" s="36">
        <f t="shared" si="15"/>
        <v>55392.4710255</v>
      </c>
      <c r="AJ21" s="36">
        <f t="shared" si="16"/>
        <v>1847.1659325</v>
      </c>
      <c r="AL21" s="36">
        <f t="shared" si="78"/>
        <v>1308.24</v>
      </c>
      <c r="AM21" s="36">
        <f t="shared" si="17"/>
        <v>178.85441699999998</v>
      </c>
      <c r="AN21" s="36">
        <f t="shared" si="18"/>
        <v>1487.094417</v>
      </c>
      <c r="AO21" s="36">
        <f t="shared" si="19"/>
        <v>49.589954999999996</v>
      </c>
      <c r="AQ21" s="36">
        <f t="shared" si="79"/>
        <v>106938.19200000001</v>
      </c>
      <c r="AR21" s="36">
        <f t="shared" si="20"/>
        <v>14619.9229386</v>
      </c>
      <c r="AS21" s="36">
        <f t="shared" si="21"/>
        <v>121558.11493860002</v>
      </c>
      <c r="AT21" s="36">
        <f t="shared" si="22"/>
        <v>4053.583539</v>
      </c>
      <c r="AV21" s="36">
        <f t="shared" si="80"/>
        <v>2140.584</v>
      </c>
      <c r="AW21" s="36">
        <f t="shared" si="23"/>
        <v>292.6472997</v>
      </c>
      <c r="AX21" s="5">
        <f t="shared" si="24"/>
        <v>2433.2312997</v>
      </c>
      <c r="AY21" s="36">
        <f t="shared" si="25"/>
        <v>81.1406655</v>
      </c>
      <c r="AZ21" s="5"/>
      <c r="BA21" s="36">
        <f t="shared" si="81"/>
        <v>714948.1039999999</v>
      </c>
      <c r="BB21" s="36">
        <f t="shared" si="26"/>
        <v>97743.2476657</v>
      </c>
      <c r="BC21" s="5">
        <f t="shared" si="27"/>
        <v>812691.3516657</v>
      </c>
      <c r="BD21" s="36">
        <f t="shared" si="28"/>
        <v>27100.7187555</v>
      </c>
      <c r="BE21" s="5"/>
      <c r="BF21" s="36">
        <f t="shared" si="82"/>
        <v>946.104</v>
      </c>
      <c r="BG21" s="36">
        <f t="shared" si="29"/>
        <v>129.3454407</v>
      </c>
      <c r="BH21" s="5">
        <f t="shared" si="30"/>
        <v>1075.4494407</v>
      </c>
      <c r="BI21" s="36">
        <f t="shared" si="31"/>
        <v>35.8628805</v>
      </c>
      <c r="BJ21" s="5"/>
      <c r="BK21" s="36">
        <f t="shared" si="83"/>
        <v>198.44799999999998</v>
      </c>
      <c r="BL21" s="36">
        <f t="shared" si="32"/>
        <v>27.1305734</v>
      </c>
      <c r="BM21" s="5">
        <f t="shared" si="33"/>
        <v>225.57857339999998</v>
      </c>
      <c r="BN21" s="36">
        <f t="shared" si="34"/>
        <v>7.522340999999999</v>
      </c>
      <c r="BO21" s="5"/>
      <c r="BP21" s="36">
        <f t="shared" si="84"/>
        <v>236.99999999999997</v>
      </c>
      <c r="BQ21" s="36">
        <f t="shared" si="35"/>
        <v>32.4011625</v>
      </c>
      <c r="BR21" s="5">
        <f t="shared" si="36"/>
        <v>269.40116249999994</v>
      </c>
      <c r="BS21" s="36">
        <f t="shared" si="37"/>
        <v>8.983687499999998</v>
      </c>
      <c r="BT21" s="5"/>
      <c r="BU21" s="36">
        <f t="shared" si="38"/>
        <v>1168841.024</v>
      </c>
      <c r="BV21" s="36">
        <f t="shared" si="39"/>
        <v>159796.6580392</v>
      </c>
      <c r="BW21" s="5">
        <f t="shared" si="40"/>
        <v>1328637.6820391999</v>
      </c>
      <c r="BX21" s="36">
        <f t="shared" si="41"/>
        <v>44305.917708</v>
      </c>
      <c r="BY21" s="5"/>
      <c r="BZ21" s="36">
        <f t="shared" si="85"/>
        <v>486.64</v>
      </c>
      <c r="CA21" s="36">
        <f t="shared" si="42"/>
        <v>66.530387</v>
      </c>
      <c r="CB21" s="5">
        <f t="shared" si="43"/>
        <v>553.170387</v>
      </c>
      <c r="CC21" s="36">
        <f t="shared" si="44"/>
        <v>18.446505000000002</v>
      </c>
      <c r="CD21" s="5"/>
      <c r="CE21" s="36">
        <f t="shared" si="86"/>
        <v>840010.16</v>
      </c>
      <c r="CF21" s="36">
        <f t="shared" si="45"/>
        <v>114840.952303</v>
      </c>
      <c r="CG21" s="5">
        <f t="shared" si="46"/>
        <v>954851.1123030001</v>
      </c>
      <c r="CH21" s="36">
        <f t="shared" si="47"/>
        <v>31841.302845000002</v>
      </c>
      <c r="CI21" s="5"/>
      <c r="CJ21" s="36">
        <f t="shared" si="87"/>
        <v>159.26399999999998</v>
      </c>
      <c r="CK21" s="36">
        <f t="shared" si="48"/>
        <v>21.7735812</v>
      </c>
      <c r="CL21" s="5">
        <f t="shared" si="49"/>
        <v>181.03758119999998</v>
      </c>
      <c r="CM21" s="36">
        <f t="shared" si="50"/>
        <v>6.037038</v>
      </c>
      <c r="CN21" s="5"/>
      <c r="CO21" s="36">
        <f t="shared" si="88"/>
        <v>64903.872</v>
      </c>
      <c r="CP21" s="36">
        <f t="shared" si="51"/>
        <v>8873.2527576</v>
      </c>
      <c r="CQ21" s="5">
        <f t="shared" si="52"/>
        <v>73777.1247576</v>
      </c>
      <c r="CR21" s="36">
        <f t="shared" si="53"/>
        <v>2460.236724</v>
      </c>
      <c r="CS21" s="5"/>
      <c r="CT21" s="5">
        <f t="shared" si="89"/>
        <v>83009.408</v>
      </c>
      <c r="CU21" s="36">
        <f t="shared" si="54"/>
        <v>11348.528766399999</v>
      </c>
      <c r="CV21" s="36">
        <f t="shared" si="55"/>
        <v>94357.9367664</v>
      </c>
      <c r="CW21" s="36">
        <f t="shared" si="56"/>
        <v>3146.542536</v>
      </c>
      <c r="CX21" s="5"/>
      <c r="CY21" s="5">
        <f t="shared" si="90"/>
        <v>1093.992</v>
      </c>
      <c r="CZ21" s="36">
        <f t="shared" si="57"/>
        <v>149.5637661</v>
      </c>
      <c r="DA21" s="36">
        <f t="shared" si="58"/>
        <v>1243.5557661</v>
      </c>
      <c r="DB21" s="36">
        <f t="shared" si="59"/>
        <v>41.4687015</v>
      </c>
      <c r="DC21" s="5"/>
      <c r="DD21" s="5">
        <f t="shared" si="91"/>
        <v>872783.1519999999</v>
      </c>
      <c r="DE21" s="36">
        <f t="shared" si="60"/>
        <v>119321.47145659999</v>
      </c>
      <c r="DF21" s="36">
        <f t="shared" si="61"/>
        <v>992104.6234565999</v>
      </c>
      <c r="DG21" s="36">
        <f t="shared" si="62"/>
        <v>33083.59110899999</v>
      </c>
      <c r="DH21" s="5"/>
      <c r="DI21" s="36">
        <f t="shared" si="92"/>
        <v>809.592</v>
      </c>
      <c r="DJ21" s="36">
        <f t="shared" si="63"/>
        <v>110.6823711</v>
      </c>
      <c r="DK21" s="5">
        <f t="shared" si="64"/>
        <v>920.2743710999999</v>
      </c>
      <c r="DL21" s="36">
        <f t="shared" si="65"/>
        <v>30.6882765</v>
      </c>
      <c r="DM21" s="5"/>
      <c r="DN21" s="5">
        <f t="shared" si="93"/>
        <v>219.30400000000003</v>
      </c>
      <c r="DO21" s="5">
        <f t="shared" si="66"/>
        <v>29.981875700000003</v>
      </c>
      <c r="DP21" s="5">
        <f t="shared" si="67"/>
        <v>249.28587570000002</v>
      </c>
      <c r="DQ21" s="36">
        <f t="shared" si="68"/>
        <v>8.312905500000001</v>
      </c>
      <c r="DR21" s="5"/>
      <c r="DS21" s="36">
        <f t="shared" si="94"/>
        <v>33288.072</v>
      </c>
      <c r="DT21" s="36">
        <f t="shared" si="69"/>
        <v>4550.9376801</v>
      </c>
      <c r="DU21" s="5">
        <f t="shared" si="70"/>
        <v>37839.0096801</v>
      </c>
      <c r="DV21" s="36">
        <f t="shared" si="71"/>
        <v>1261.8128115</v>
      </c>
      <c r="DW21" s="5"/>
      <c r="DX21" s="36"/>
      <c r="DY21" s="36"/>
      <c r="DZ21" s="5"/>
      <c r="EA21" s="36">
        <f t="shared" si="72"/>
        <v>0</v>
      </c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</row>
    <row r="22" spans="1:146" ht="12.75">
      <c r="A22" s="37">
        <v>45566</v>
      </c>
      <c r="D22" s="3">
        <v>800831</v>
      </c>
      <c r="E22" s="35">
        <f t="shared" si="0"/>
        <v>800831</v>
      </c>
      <c r="F22" s="35">
        <v>239565</v>
      </c>
      <c r="H22" s="36"/>
      <c r="I22" s="36">
        <v>53687</v>
      </c>
      <c r="J22" s="36">
        <f t="shared" si="1"/>
        <v>53687</v>
      </c>
      <c r="K22" s="35">
        <f>'Academic Project '!K22</f>
        <v>16060.341773999997</v>
      </c>
      <c r="M22" s="36"/>
      <c r="N22" s="35">
        <f t="shared" si="2"/>
        <v>747143.6901754999</v>
      </c>
      <c r="O22" s="36">
        <f t="shared" si="3"/>
        <v>747143.6901754999</v>
      </c>
      <c r="P22" s="36">
        <f t="shared" si="4"/>
        <v>223504.6821825</v>
      </c>
      <c r="R22" s="36"/>
      <c r="S22" s="36">
        <f t="shared" si="5"/>
        <v>184802.7246347</v>
      </c>
      <c r="T22" s="36">
        <f t="shared" si="6"/>
        <v>184802.7246347</v>
      </c>
      <c r="U22" s="36">
        <f t="shared" si="7"/>
        <v>55282.90579049999</v>
      </c>
      <c r="W22" s="36"/>
      <c r="X22" s="36">
        <f t="shared" si="8"/>
        <v>9129.5534831</v>
      </c>
      <c r="Y22" s="36">
        <f t="shared" si="9"/>
        <v>9129.5534831</v>
      </c>
      <c r="Z22" s="36">
        <f t="shared" si="10"/>
        <v>2731.0649565</v>
      </c>
      <c r="AB22" s="36"/>
      <c r="AC22" s="36">
        <f t="shared" si="11"/>
        <v>53825.933670599996</v>
      </c>
      <c r="AD22" s="36">
        <f t="shared" si="12"/>
        <v>53825.933670599996</v>
      </c>
      <c r="AE22" s="36">
        <f t="shared" si="13"/>
        <v>16101.786519</v>
      </c>
      <c r="AG22" s="36"/>
      <c r="AH22" s="36">
        <f t="shared" si="14"/>
        <v>6174.8074255</v>
      </c>
      <c r="AI22" s="36">
        <f t="shared" si="15"/>
        <v>6174.8074255</v>
      </c>
      <c r="AJ22" s="36">
        <f t="shared" si="16"/>
        <v>1847.1659325</v>
      </c>
      <c r="AL22" s="36"/>
      <c r="AM22" s="36">
        <f t="shared" si="17"/>
        <v>165.772017</v>
      </c>
      <c r="AN22" s="36">
        <f t="shared" si="18"/>
        <v>165.772017</v>
      </c>
      <c r="AO22" s="36">
        <f t="shared" si="19"/>
        <v>49.589954999999996</v>
      </c>
      <c r="AQ22" s="36"/>
      <c r="AR22" s="36">
        <f t="shared" si="20"/>
        <v>13550.5410186</v>
      </c>
      <c r="AS22" s="36">
        <f t="shared" si="21"/>
        <v>13550.5410186</v>
      </c>
      <c r="AT22" s="36">
        <f t="shared" si="22"/>
        <v>4053.583539</v>
      </c>
      <c r="AV22" s="36"/>
      <c r="AW22" s="36">
        <f t="shared" si="23"/>
        <v>271.2414597</v>
      </c>
      <c r="AX22" s="5">
        <f t="shared" si="24"/>
        <v>271.2414597</v>
      </c>
      <c r="AY22" s="36">
        <f t="shared" si="25"/>
        <v>81.1406655</v>
      </c>
      <c r="AZ22" s="5"/>
      <c r="BA22" s="36"/>
      <c r="BB22" s="36">
        <f t="shared" si="26"/>
        <v>90593.7666257</v>
      </c>
      <c r="BC22" s="5">
        <f t="shared" si="27"/>
        <v>90593.7666257</v>
      </c>
      <c r="BD22" s="36">
        <f t="shared" si="28"/>
        <v>27100.7187555</v>
      </c>
      <c r="BE22" s="5"/>
      <c r="BF22" s="36"/>
      <c r="BG22" s="36">
        <f t="shared" si="29"/>
        <v>119.8844007</v>
      </c>
      <c r="BH22" s="5">
        <f t="shared" si="30"/>
        <v>119.8844007</v>
      </c>
      <c r="BI22" s="36">
        <f t="shared" si="31"/>
        <v>35.8628805</v>
      </c>
      <c r="BJ22" s="5"/>
      <c r="BK22" s="36"/>
      <c r="BL22" s="36">
        <f t="shared" si="32"/>
        <v>25.146093399999998</v>
      </c>
      <c r="BM22" s="5">
        <f t="shared" si="33"/>
        <v>25.146093399999998</v>
      </c>
      <c r="BN22" s="36">
        <f t="shared" si="34"/>
        <v>7.522340999999999</v>
      </c>
      <c r="BO22" s="5"/>
      <c r="BP22" s="36"/>
      <c r="BQ22" s="36">
        <f t="shared" si="35"/>
        <v>30.031162499999997</v>
      </c>
      <c r="BR22" s="5">
        <f t="shared" si="36"/>
        <v>30.031162499999997</v>
      </c>
      <c r="BS22" s="36">
        <f t="shared" si="37"/>
        <v>8.983687499999998</v>
      </c>
      <c r="BT22" s="5"/>
      <c r="BU22" s="36">
        <f t="shared" si="38"/>
        <v>0</v>
      </c>
      <c r="BV22" s="36">
        <f t="shared" si="39"/>
        <v>148108.2477992</v>
      </c>
      <c r="BW22" s="5">
        <f t="shared" si="40"/>
        <v>148108.2477992</v>
      </c>
      <c r="BX22" s="36">
        <f t="shared" si="41"/>
        <v>44305.917708</v>
      </c>
      <c r="BY22" s="5"/>
      <c r="BZ22" s="36"/>
      <c r="CA22" s="36">
        <f t="shared" si="42"/>
        <v>61.663987</v>
      </c>
      <c r="CB22" s="5">
        <f t="shared" si="43"/>
        <v>61.663987</v>
      </c>
      <c r="CC22" s="36">
        <f t="shared" si="44"/>
        <v>18.446505000000002</v>
      </c>
      <c r="CD22" s="5"/>
      <c r="CE22" s="36"/>
      <c r="CF22" s="36">
        <f t="shared" si="45"/>
        <v>106440.850703</v>
      </c>
      <c r="CG22" s="5">
        <f t="shared" si="46"/>
        <v>106440.850703</v>
      </c>
      <c r="CH22" s="36">
        <f t="shared" si="47"/>
        <v>31841.302845000002</v>
      </c>
      <c r="CI22" s="5"/>
      <c r="CJ22" s="36"/>
      <c r="CK22" s="36">
        <f t="shared" si="48"/>
        <v>20.1809412</v>
      </c>
      <c r="CL22" s="5">
        <f t="shared" si="49"/>
        <v>20.1809412</v>
      </c>
      <c r="CM22" s="36">
        <f t="shared" si="50"/>
        <v>6.037038</v>
      </c>
      <c r="CN22" s="5"/>
      <c r="CO22" s="36"/>
      <c r="CP22" s="36">
        <f t="shared" si="51"/>
        <v>8224.2140376</v>
      </c>
      <c r="CQ22" s="5">
        <f t="shared" si="52"/>
        <v>8224.2140376</v>
      </c>
      <c r="CR22" s="36">
        <f t="shared" si="53"/>
        <v>2460.236724</v>
      </c>
      <c r="CS22" s="5"/>
      <c r="CT22" s="5"/>
      <c r="CU22" s="36">
        <f t="shared" si="54"/>
        <v>10518.4346864</v>
      </c>
      <c r="CV22" s="36">
        <f t="shared" si="55"/>
        <v>10518.4346864</v>
      </c>
      <c r="CW22" s="36">
        <f t="shared" si="56"/>
        <v>3146.542536</v>
      </c>
      <c r="CX22" s="5"/>
      <c r="CY22" s="5"/>
      <c r="CZ22" s="36">
        <f t="shared" si="57"/>
        <v>138.6238461</v>
      </c>
      <c r="DA22" s="36">
        <f t="shared" si="58"/>
        <v>138.6238461</v>
      </c>
      <c r="DB22" s="36">
        <f t="shared" si="59"/>
        <v>41.4687015</v>
      </c>
      <c r="DC22" s="5"/>
      <c r="DD22" s="5"/>
      <c r="DE22" s="36">
        <f t="shared" si="60"/>
        <v>110593.6399366</v>
      </c>
      <c r="DF22" s="36">
        <f t="shared" si="61"/>
        <v>110593.6399366</v>
      </c>
      <c r="DG22" s="36">
        <f t="shared" si="62"/>
        <v>33083.59110899999</v>
      </c>
      <c r="DH22" s="5"/>
      <c r="DI22" s="36"/>
      <c r="DJ22" s="36">
        <f t="shared" si="63"/>
        <v>102.58645109999999</v>
      </c>
      <c r="DK22" s="5">
        <f t="shared" si="64"/>
        <v>102.58645109999999</v>
      </c>
      <c r="DL22" s="36">
        <f t="shared" si="65"/>
        <v>30.6882765</v>
      </c>
      <c r="DM22" s="5"/>
      <c r="DN22" s="5"/>
      <c r="DO22" s="5">
        <f t="shared" si="66"/>
        <v>27.788835700000003</v>
      </c>
      <c r="DP22" s="5">
        <f t="shared" si="67"/>
        <v>27.788835700000003</v>
      </c>
      <c r="DQ22" s="36">
        <f t="shared" si="68"/>
        <v>8.312905500000001</v>
      </c>
      <c r="DR22" s="5"/>
      <c r="DS22" s="36"/>
      <c r="DT22" s="36">
        <f t="shared" si="69"/>
        <v>4218.056960100001</v>
      </c>
      <c r="DU22" s="5">
        <f t="shared" si="70"/>
        <v>4218.056960100001</v>
      </c>
      <c r="DV22" s="36">
        <f t="shared" si="71"/>
        <v>1261.8128115</v>
      </c>
      <c r="DW22" s="5"/>
      <c r="DX22" s="36"/>
      <c r="DY22" s="36"/>
      <c r="DZ22" s="5"/>
      <c r="EA22" s="36">
        <f t="shared" si="72"/>
        <v>0</v>
      </c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</row>
    <row r="23" spans="1:146" ht="12.75">
      <c r="A23" s="37">
        <v>45748</v>
      </c>
      <c r="C23" s="3">
        <v>6450000</v>
      </c>
      <c r="D23" s="3">
        <v>800831</v>
      </c>
      <c r="E23" s="35">
        <f t="shared" si="0"/>
        <v>7250831</v>
      </c>
      <c r="F23" s="35">
        <v>239565</v>
      </c>
      <c r="H23" s="36">
        <v>432405</v>
      </c>
      <c r="I23" s="36">
        <v>53687</v>
      </c>
      <c r="J23" s="36">
        <f t="shared" si="1"/>
        <v>486092</v>
      </c>
      <c r="K23" s="35">
        <f>'Academic Project '!K23</f>
        <v>16060.341773999997</v>
      </c>
      <c r="M23" s="36">
        <f t="shared" si="73"/>
        <v>6017595.225</v>
      </c>
      <c r="N23" s="35">
        <f t="shared" si="2"/>
        <v>747143.6901754999</v>
      </c>
      <c r="O23" s="36">
        <f t="shared" si="3"/>
        <v>6764738.915175499</v>
      </c>
      <c r="P23" s="36">
        <f t="shared" si="4"/>
        <v>223504.6821825</v>
      </c>
      <c r="R23" s="36">
        <f t="shared" si="74"/>
        <v>1488425.865</v>
      </c>
      <c r="S23" s="36">
        <f t="shared" si="5"/>
        <v>184802.7246347</v>
      </c>
      <c r="T23" s="36">
        <f t="shared" si="6"/>
        <v>1673228.5896347</v>
      </c>
      <c r="U23" s="36">
        <f t="shared" si="7"/>
        <v>55282.90579049999</v>
      </c>
      <c r="W23" s="36">
        <f t="shared" si="75"/>
        <v>73530.645</v>
      </c>
      <c r="X23" s="36">
        <f t="shared" si="8"/>
        <v>9129.5534831</v>
      </c>
      <c r="Y23" s="36">
        <f t="shared" si="9"/>
        <v>82660.1984831</v>
      </c>
      <c r="Z23" s="36">
        <f t="shared" si="10"/>
        <v>2731.0649565</v>
      </c>
      <c r="AB23" s="36">
        <f t="shared" si="76"/>
        <v>433521.26999999996</v>
      </c>
      <c r="AC23" s="36">
        <f t="shared" si="11"/>
        <v>53825.933670599996</v>
      </c>
      <c r="AD23" s="36">
        <f t="shared" si="12"/>
        <v>487347.20367059996</v>
      </c>
      <c r="AE23" s="36">
        <f t="shared" si="13"/>
        <v>16101.786519</v>
      </c>
      <c r="AG23" s="36">
        <f t="shared" si="77"/>
        <v>49732.725000000006</v>
      </c>
      <c r="AH23" s="36">
        <f t="shared" si="14"/>
        <v>6174.8074255</v>
      </c>
      <c r="AI23" s="36">
        <f t="shared" si="15"/>
        <v>55907.53242550001</v>
      </c>
      <c r="AJ23" s="36">
        <f t="shared" si="16"/>
        <v>1847.1659325</v>
      </c>
      <c r="AL23" s="36">
        <f t="shared" si="78"/>
        <v>1335.1499999999999</v>
      </c>
      <c r="AM23" s="36">
        <f t="shared" si="17"/>
        <v>165.772017</v>
      </c>
      <c r="AN23" s="36">
        <f t="shared" si="18"/>
        <v>1500.9220169999999</v>
      </c>
      <c r="AO23" s="36">
        <f t="shared" si="19"/>
        <v>49.589954999999996</v>
      </c>
      <c r="AQ23" s="36">
        <f t="shared" si="79"/>
        <v>109137.87000000001</v>
      </c>
      <c r="AR23" s="36">
        <f t="shared" si="20"/>
        <v>13550.5410186</v>
      </c>
      <c r="AS23" s="36">
        <f t="shared" si="21"/>
        <v>122688.41101860002</v>
      </c>
      <c r="AT23" s="36">
        <f t="shared" si="22"/>
        <v>4053.583539</v>
      </c>
      <c r="AV23" s="36">
        <f t="shared" si="80"/>
        <v>2184.615</v>
      </c>
      <c r="AW23" s="36">
        <f t="shared" si="23"/>
        <v>271.2414597</v>
      </c>
      <c r="AX23" s="5">
        <f t="shared" si="24"/>
        <v>2455.8564597</v>
      </c>
      <c r="AY23" s="36">
        <f t="shared" si="25"/>
        <v>81.1406655</v>
      </c>
      <c r="AZ23" s="5"/>
      <c r="BA23" s="36">
        <f t="shared" si="81"/>
        <v>729654.315</v>
      </c>
      <c r="BB23" s="36">
        <f t="shared" si="26"/>
        <v>90593.7666257</v>
      </c>
      <c r="BC23" s="5">
        <f t="shared" si="27"/>
        <v>820248.0816257</v>
      </c>
      <c r="BD23" s="36">
        <f t="shared" si="28"/>
        <v>27100.7187555</v>
      </c>
      <c r="BE23" s="5"/>
      <c r="BF23" s="36">
        <f t="shared" si="82"/>
        <v>965.565</v>
      </c>
      <c r="BG23" s="36">
        <f t="shared" si="29"/>
        <v>119.8844007</v>
      </c>
      <c r="BH23" s="5">
        <f t="shared" si="30"/>
        <v>1085.4494007</v>
      </c>
      <c r="BI23" s="36">
        <f t="shared" si="31"/>
        <v>35.8628805</v>
      </c>
      <c r="BJ23" s="5"/>
      <c r="BK23" s="36">
        <f t="shared" si="83"/>
        <v>202.52999999999997</v>
      </c>
      <c r="BL23" s="36">
        <f t="shared" si="32"/>
        <v>25.146093399999998</v>
      </c>
      <c r="BM23" s="5">
        <f t="shared" si="33"/>
        <v>227.67609339999996</v>
      </c>
      <c r="BN23" s="36">
        <f t="shared" si="34"/>
        <v>7.522340999999999</v>
      </c>
      <c r="BO23" s="5"/>
      <c r="BP23" s="36">
        <f t="shared" si="84"/>
        <v>241.87499999999997</v>
      </c>
      <c r="BQ23" s="36">
        <f t="shared" si="35"/>
        <v>30.031162499999997</v>
      </c>
      <c r="BR23" s="5">
        <f t="shared" si="36"/>
        <v>271.9061625</v>
      </c>
      <c r="BS23" s="36">
        <f t="shared" si="37"/>
        <v>8.983687499999998</v>
      </c>
      <c r="BT23" s="5"/>
      <c r="BU23" s="36">
        <f t="shared" si="38"/>
        <v>1192883.64</v>
      </c>
      <c r="BV23" s="36">
        <f t="shared" si="39"/>
        <v>148108.2477992</v>
      </c>
      <c r="BW23" s="5">
        <f t="shared" si="40"/>
        <v>1340991.8877992</v>
      </c>
      <c r="BX23" s="36">
        <f t="shared" si="41"/>
        <v>44305.917708</v>
      </c>
      <c r="BY23" s="5"/>
      <c r="BZ23" s="36">
        <f t="shared" si="85"/>
        <v>496.65000000000003</v>
      </c>
      <c r="CA23" s="36">
        <f t="shared" si="42"/>
        <v>61.663987</v>
      </c>
      <c r="CB23" s="5">
        <f t="shared" si="43"/>
        <v>558.313987</v>
      </c>
      <c r="CC23" s="36">
        <f t="shared" si="44"/>
        <v>18.446505000000002</v>
      </c>
      <c r="CD23" s="5"/>
      <c r="CE23" s="36">
        <f t="shared" si="86"/>
        <v>857288.85</v>
      </c>
      <c r="CF23" s="36">
        <f t="shared" si="45"/>
        <v>106440.850703</v>
      </c>
      <c r="CG23" s="5">
        <f t="shared" si="46"/>
        <v>963729.700703</v>
      </c>
      <c r="CH23" s="36">
        <f t="shared" si="47"/>
        <v>31841.302845000002</v>
      </c>
      <c r="CI23" s="5"/>
      <c r="CJ23" s="36">
        <f t="shared" si="87"/>
        <v>162.54</v>
      </c>
      <c r="CK23" s="36">
        <f t="shared" si="48"/>
        <v>20.1809412</v>
      </c>
      <c r="CL23" s="5">
        <f t="shared" si="49"/>
        <v>182.7209412</v>
      </c>
      <c r="CM23" s="36">
        <f t="shared" si="50"/>
        <v>6.037038</v>
      </c>
      <c r="CN23" s="5"/>
      <c r="CO23" s="36">
        <f t="shared" si="88"/>
        <v>66238.92</v>
      </c>
      <c r="CP23" s="36">
        <f t="shared" si="51"/>
        <v>8224.2140376</v>
      </c>
      <c r="CQ23" s="5">
        <f t="shared" si="52"/>
        <v>74463.1340376</v>
      </c>
      <c r="CR23" s="36">
        <f t="shared" si="53"/>
        <v>2460.236724</v>
      </c>
      <c r="CS23" s="5"/>
      <c r="CT23" s="5">
        <f t="shared" si="89"/>
        <v>84716.87999999999</v>
      </c>
      <c r="CU23" s="36">
        <f t="shared" si="54"/>
        <v>10518.4346864</v>
      </c>
      <c r="CV23" s="36">
        <f t="shared" si="55"/>
        <v>95235.31468639999</v>
      </c>
      <c r="CW23" s="36">
        <f t="shared" si="56"/>
        <v>3146.542536</v>
      </c>
      <c r="CX23" s="5"/>
      <c r="CY23" s="5">
        <f t="shared" si="90"/>
        <v>1116.4950000000001</v>
      </c>
      <c r="CZ23" s="36">
        <f t="shared" si="57"/>
        <v>138.6238461</v>
      </c>
      <c r="DA23" s="36">
        <f t="shared" si="58"/>
        <v>1255.1188461000002</v>
      </c>
      <c r="DB23" s="36">
        <f t="shared" si="59"/>
        <v>41.4687015</v>
      </c>
      <c r="DC23" s="5"/>
      <c r="DD23" s="5">
        <f t="shared" si="91"/>
        <v>890735.97</v>
      </c>
      <c r="DE23" s="36">
        <f t="shared" si="60"/>
        <v>110593.6399366</v>
      </c>
      <c r="DF23" s="36">
        <f t="shared" si="61"/>
        <v>1001329.6099366</v>
      </c>
      <c r="DG23" s="36">
        <f t="shared" si="62"/>
        <v>33083.59110899999</v>
      </c>
      <c r="DH23" s="5"/>
      <c r="DI23" s="36">
        <f t="shared" si="92"/>
        <v>826.245</v>
      </c>
      <c r="DJ23" s="36">
        <f t="shared" si="63"/>
        <v>102.58645109999999</v>
      </c>
      <c r="DK23" s="5">
        <f t="shared" si="64"/>
        <v>928.8314511</v>
      </c>
      <c r="DL23" s="36">
        <f t="shared" si="65"/>
        <v>30.6882765</v>
      </c>
      <c r="DM23" s="5"/>
      <c r="DN23" s="5">
        <f t="shared" si="93"/>
        <v>223.81500000000003</v>
      </c>
      <c r="DO23" s="5">
        <f t="shared" si="66"/>
        <v>27.788835700000003</v>
      </c>
      <c r="DP23" s="5">
        <f t="shared" si="67"/>
        <v>251.60383570000002</v>
      </c>
      <c r="DQ23" s="36">
        <f t="shared" si="68"/>
        <v>8.312905500000001</v>
      </c>
      <c r="DR23" s="5"/>
      <c r="DS23" s="36">
        <f t="shared" si="94"/>
        <v>33972.795</v>
      </c>
      <c r="DT23" s="36">
        <f t="shared" si="69"/>
        <v>4218.056960100001</v>
      </c>
      <c r="DU23" s="5">
        <f t="shared" si="70"/>
        <v>38190.8519601</v>
      </c>
      <c r="DV23" s="36">
        <f t="shared" si="71"/>
        <v>1261.8128115</v>
      </c>
      <c r="DW23" s="5"/>
      <c r="DX23" s="36"/>
      <c r="DY23" s="36"/>
      <c r="DZ23" s="5"/>
      <c r="EA23" s="36">
        <f t="shared" si="72"/>
        <v>0</v>
      </c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</row>
    <row r="24" spans="1:146" ht="12.75">
      <c r="A24" s="37">
        <v>45931</v>
      </c>
      <c r="D24" s="3">
        <v>728269</v>
      </c>
      <c r="E24" s="35">
        <f t="shared" si="0"/>
        <v>728269</v>
      </c>
      <c r="F24" s="35">
        <v>239565</v>
      </c>
      <c r="H24" s="36"/>
      <c r="I24" s="36">
        <v>48823</v>
      </c>
      <c r="J24" s="36">
        <f t="shared" si="1"/>
        <v>48823</v>
      </c>
      <c r="K24" s="35">
        <f>'Academic Project '!K24</f>
        <v>16060.341773999997</v>
      </c>
      <c r="M24" s="36"/>
      <c r="N24" s="35">
        <f t="shared" si="2"/>
        <v>679446.2103745</v>
      </c>
      <c r="O24" s="36">
        <f t="shared" si="3"/>
        <v>679446.2103745</v>
      </c>
      <c r="P24" s="36">
        <f t="shared" si="4"/>
        <v>223504.6821825</v>
      </c>
      <c r="R24" s="36"/>
      <c r="S24" s="36">
        <f t="shared" si="5"/>
        <v>168058.0490353</v>
      </c>
      <c r="T24" s="36">
        <f t="shared" si="6"/>
        <v>168058.0490353</v>
      </c>
      <c r="U24" s="36">
        <f t="shared" si="7"/>
        <v>55282.90579049999</v>
      </c>
      <c r="W24" s="36"/>
      <c r="X24" s="36">
        <f t="shared" si="8"/>
        <v>8302.3394269</v>
      </c>
      <c r="Y24" s="36">
        <f t="shared" si="9"/>
        <v>8302.3394269</v>
      </c>
      <c r="Z24" s="36">
        <f t="shared" si="10"/>
        <v>2731.0649565</v>
      </c>
      <c r="AB24" s="36"/>
      <c r="AC24" s="36">
        <f t="shared" si="11"/>
        <v>48948.852989399995</v>
      </c>
      <c r="AD24" s="36">
        <f t="shared" si="12"/>
        <v>48948.852989399995</v>
      </c>
      <c r="AE24" s="36">
        <f t="shared" si="13"/>
        <v>16101.786519</v>
      </c>
      <c r="AG24" s="36"/>
      <c r="AH24" s="36">
        <f t="shared" si="14"/>
        <v>5615.3181245000005</v>
      </c>
      <c r="AI24" s="36">
        <f t="shared" si="15"/>
        <v>5615.3181245000005</v>
      </c>
      <c r="AJ24" s="36">
        <f t="shared" si="16"/>
        <v>1847.1659325</v>
      </c>
      <c r="AL24" s="36"/>
      <c r="AM24" s="36">
        <f t="shared" si="17"/>
        <v>150.75168299999999</v>
      </c>
      <c r="AN24" s="36">
        <f t="shared" si="18"/>
        <v>150.75168299999999</v>
      </c>
      <c r="AO24" s="36">
        <f t="shared" si="19"/>
        <v>49.589954999999996</v>
      </c>
      <c r="AQ24" s="36"/>
      <c r="AR24" s="36">
        <f t="shared" si="20"/>
        <v>12322.748441400001</v>
      </c>
      <c r="AS24" s="36">
        <f t="shared" si="21"/>
        <v>12322.748441400001</v>
      </c>
      <c r="AT24" s="36">
        <f t="shared" si="22"/>
        <v>4053.583539</v>
      </c>
      <c r="AV24" s="36"/>
      <c r="AW24" s="36">
        <f t="shared" si="23"/>
        <v>246.6647103</v>
      </c>
      <c r="AX24" s="5">
        <f t="shared" si="24"/>
        <v>246.6647103</v>
      </c>
      <c r="AY24" s="36">
        <f t="shared" si="25"/>
        <v>81.1406655</v>
      </c>
      <c r="AZ24" s="5"/>
      <c r="BA24" s="36"/>
      <c r="BB24" s="36">
        <f t="shared" si="26"/>
        <v>82385.21214429999</v>
      </c>
      <c r="BC24" s="5">
        <f t="shared" si="27"/>
        <v>82385.21214429999</v>
      </c>
      <c r="BD24" s="36">
        <f t="shared" si="28"/>
        <v>27100.7187555</v>
      </c>
      <c r="BE24" s="5"/>
      <c r="BF24" s="36"/>
      <c r="BG24" s="36">
        <f t="shared" si="29"/>
        <v>109.0218693</v>
      </c>
      <c r="BH24" s="5">
        <f t="shared" si="30"/>
        <v>109.0218693</v>
      </c>
      <c r="BI24" s="36">
        <f t="shared" si="31"/>
        <v>35.8628805</v>
      </c>
      <c r="BJ24" s="5"/>
      <c r="BK24" s="36"/>
      <c r="BL24" s="36">
        <f t="shared" si="32"/>
        <v>22.867646599999997</v>
      </c>
      <c r="BM24" s="5">
        <f t="shared" si="33"/>
        <v>22.867646599999997</v>
      </c>
      <c r="BN24" s="36">
        <f t="shared" si="34"/>
        <v>7.522340999999999</v>
      </c>
      <c r="BO24" s="5"/>
      <c r="BP24" s="36"/>
      <c r="BQ24" s="36">
        <f t="shared" si="35"/>
        <v>27.310087499999998</v>
      </c>
      <c r="BR24" s="5">
        <f t="shared" si="36"/>
        <v>27.310087499999998</v>
      </c>
      <c r="BS24" s="36">
        <f t="shared" si="37"/>
        <v>8.983687499999998</v>
      </c>
      <c r="BT24" s="5"/>
      <c r="BU24" s="36">
        <f t="shared" si="38"/>
        <v>0</v>
      </c>
      <c r="BV24" s="36">
        <f t="shared" si="39"/>
        <v>134688.3993208</v>
      </c>
      <c r="BW24" s="5">
        <f t="shared" si="40"/>
        <v>134688.3993208</v>
      </c>
      <c r="BX24" s="36">
        <f t="shared" si="41"/>
        <v>44305.917708</v>
      </c>
      <c r="BY24" s="5"/>
      <c r="BZ24" s="36"/>
      <c r="CA24" s="36">
        <f t="shared" si="42"/>
        <v>56.076713</v>
      </c>
      <c r="CB24" s="5">
        <f t="shared" si="43"/>
        <v>56.076713</v>
      </c>
      <c r="CC24" s="36">
        <f t="shared" si="44"/>
        <v>18.446505000000002</v>
      </c>
      <c r="CD24" s="5"/>
      <c r="CE24" s="36"/>
      <c r="CF24" s="36">
        <f t="shared" si="45"/>
        <v>96796.417597</v>
      </c>
      <c r="CG24" s="5">
        <f t="shared" si="46"/>
        <v>96796.417597</v>
      </c>
      <c r="CH24" s="36">
        <f t="shared" si="47"/>
        <v>31841.302845000002</v>
      </c>
      <c r="CI24" s="5"/>
      <c r="CJ24" s="36"/>
      <c r="CK24" s="36">
        <f t="shared" si="48"/>
        <v>18.3523788</v>
      </c>
      <c r="CL24" s="5">
        <f t="shared" si="49"/>
        <v>18.3523788</v>
      </c>
      <c r="CM24" s="36">
        <f t="shared" si="50"/>
        <v>6.037038</v>
      </c>
      <c r="CN24" s="5"/>
      <c r="CO24" s="36"/>
      <c r="CP24" s="36">
        <f t="shared" si="51"/>
        <v>7479.0313224</v>
      </c>
      <c r="CQ24" s="5">
        <f t="shared" si="52"/>
        <v>7479.0313224</v>
      </c>
      <c r="CR24" s="36">
        <f t="shared" si="53"/>
        <v>2460.236724</v>
      </c>
      <c r="CS24" s="5"/>
      <c r="CT24" s="5"/>
      <c r="CU24" s="36">
        <f t="shared" si="54"/>
        <v>9565.376353599999</v>
      </c>
      <c r="CV24" s="36">
        <f t="shared" si="55"/>
        <v>9565.376353599999</v>
      </c>
      <c r="CW24" s="36">
        <f t="shared" si="56"/>
        <v>3146.542536</v>
      </c>
      <c r="CX24" s="5"/>
      <c r="CY24" s="5"/>
      <c r="CZ24" s="36">
        <f t="shared" si="57"/>
        <v>126.0633639</v>
      </c>
      <c r="DA24" s="36">
        <f t="shared" si="58"/>
        <v>126.0633639</v>
      </c>
      <c r="DB24" s="36">
        <f t="shared" si="59"/>
        <v>41.4687015</v>
      </c>
      <c r="DC24" s="5"/>
      <c r="DD24" s="5"/>
      <c r="DE24" s="36">
        <f t="shared" si="60"/>
        <v>100572.92932339999</v>
      </c>
      <c r="DF24" s="36">
        <f t="shared" si="61"/>
        <v>100572.92932339999</v>
      </c>
      <c r="DG24" s="36">
        <f t="shared" si="62"/>
        <v>33083.59110899999</v>
      </c>
      <c r="DH24" s="5"/>
      <c r="DI24" s="36"/>
      <c r="DJ24" s="36">
        <f t="shared" si="63"/>
        <v>93.2912589</v>
      </c>
      <c r="DK24" s="5">
        <f t="shared" si="64"/>
        <v>93.2912589</v>
      </c>
      <c r="DL24" s="36">
        <f t="shared" si="65"/>
        <v>30.6882765</v>
      </c>
      <c r="DM24" s="5"/>
      <c r="DN24" s="5"/>
      <c r="DO24" s="5">
        <f t="shared" si="66"/>
        <v>25.270934300000004</v>
      </c>
      <c r="DP24" s="5">
        <f t="shared" si="67"/>
        <v>25.270934300000004</v>
      </c>
      <c r="DQ24" s="36">
        <f t="shared" si="68"/>
        <v>8.312905500000001</v>
      </c>
      <c r="DR24" s="5"/>
      <c r="DS24" s="36"/>
      <c r="DT24" s="36">
        <f t="shared" si="69"/>
        <v>3835.8656499000003</v>
      </c>
      <c r="DU24" s="5">
        <f t="shared" si="70"/>
        <v>3835.8656499000003</v>
      </c>
      <c r="DV24" s="36">
        <f t="shared" si="71"/>
        <v>1261.8128115</v>
      </c>
      <c r="DW24" s="5"/>
      <c r="DX24" s="36"/>
      <c r="DY24" s="36"/>
      <c r="DZ24" s="5"/>
      <c r="EA24" s="36">
        <f t="shared" si="72"/>
        <v>0</v>
      </c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</row>
    <row r="25" spans="1:146" ht="12.75">
      <c r="A25" s="37">
        <v>46113</v>
      </c>
      <c r="C25" s="3">
        <v>6595000</v>
      </c>
      <c r="D25" s="3">
        <v>728269</v>
      </c>
      <c r="E25" s="35">
        <f t="shared" si="0"/>
        <v>7323269</v>
      </c>
      <c r="F25" s="35">
        <v>239565</v>
      </c>
      <c r="H25" s="36">
        <v>442126</v>
      </c>
      <c r="I25" s="36">
        <v>48823</v>
      </c>
      <c r="J25" s="36">
        <f t="shared" si="1"/>
        <v>490949</v>
      </c>
      <c r="K25" s="35">
        <f>'Academic Project '!K25</f>
        <v>16060.341773999997</v>
      </c>
      <c r="M25" s="36">
        <f t="shared" si="73"/>
        <v>6152874.4975</v>
      </c>
      <c r="N25" s="35">
        <f t="shared" si="2"/>
        <v>679446.2103745</v>
      </c>
      <c r="O25" s="36">
        <f t="shared" si="3"/>
        <v>6832320.707874499</v>
      </c>
      <c r="P25" s="36">
        <f t="shared" si="4"/>
        <v>223504.6821825</v>
      </c>
      <c r="R25" s="36">
        <f t="shared" si="74"/>
        <v>1521886.6014999999</v>
      </c>
      <c r="S25" s="36">
        <f t="shared" si="5"/>
        <v>168058.0490353</v>
      </c>
      <c r="T25" s="36">
        <f t="shared" si="6"/>
        <v>1689944.6505353</v>
      </c>
      <c r="U25" s="36">
        <f t="shared" si="7"/>
        <v>55282.90579049999</v>
      </c>
      <c r="W25" s="36">
        <f t="shared" si="75"/>
        <v>75183.6595</v>
      </c>
      <c r="X25" s="36">
        <f t="shared" si="8"/>
        <v>8302.3394269</v>
      </c>
      <c r="Y25" s="36">
        <f t="shared" si="9"/>
        <v>83485.99892689999</v>
      </c>
      <c r="Z25" s="36">
        <f t="shared" si="10"/>
        <v>2731.0649565</v>
      </c>
      <c r="AB25" s="36">
        <f t="shared" si="76"/>
        <v>443267.097</v>
      </c>
      <c r="AC25" s="36">
        <f t="shared" si="11"/>
        <v>48948.852989399995</v>
      </c>
      <c r="AD25" s="36">
        <f t="shared" si="12"/>
        <v>492215.9499894</v>
      </c>
      <c r="AE25" s="36">
        <f t="shared" si="13"/>
        <v>16101.786519</v>
      </c>
      <c r="AG25" s="36">
        <f t="shared" si="77"/>
        <v>50850.747500000005</v>
      </c>
      <c r="AH25" s="36">
        <f t="shared" si="14"/>
        <v>5615.3181245000005</v>
      </c>
      <c r="AI25" s="36">
        <f t="shared" si="15"/>
        <v>56466.06562450001</v>
      </c>
      <c r="AJ25" s="36">
        <f t="shared" si="16"/>
        <v>1847.1659325</v>
      </c>
      <c r="AL25" s="36">
        <f t="shared" si="78"/>
        <v>1365.165</v>
      </c>
      <c r="AM25" s="36">
        <f t="shared" si="17"/>
        <v>150.75168299999999</v>
      </c>
      <c r="AN25" s="36">
        <f t="shared" si="18"/>
        <v>1515.916683</v>
      </c>
      <c r="AO25" s="36">
        <f t="shared" si="19"/>
        <v>49.589954999999996</v>
      </c>
      <c r="AQ25" s="36">
        <f t="shared" si="79"/>
        <v>111591.357</v>
      </c>
      <c r="AR25" s="36">
        <f t="shared" si="20"/>
        <v>12322.748441400001</v>
      </c>
      <c r="AS25" s="36">
        <f t="shared" si="21"/>
        <v>123914.10544140001</v>
      </c>
      <c r="AT25" s="36">
        <f t="shared" si="22"/>
        <v>4053.583539</v>
      </c>
      <c r="AV25" s="36">
        <f t="shared" si="80"/>
        <v>2233.7264999999998</v>
      </c>
      <c r="AW25" s="36">
        <f t="shared" si="23"/>
        <v>246.6647103</v>
      </c>
      <c r="AX25" s="5">
        <f t="shared" si="24"/>
        <v>2480.3912103</v>
      </c>
      <c r="AY25" s="36">
        <f t="shared" si="25"/>
        <v>81.1406655</v>
      </c>
      <c r="AZ25" s="5"/>
      <c r="BA25" s="36">
        <f t="shared" si="81"/>
        <v>746057.3964999999</v>
      </c>
      <c r="BB25" s="36">
        <f t="shared" si="26"/>
        <v>82385.21214429999</v>
      </c>
      <c r="BC25" s="5">
        <f t="shared" si="27"/>
        <v>828442.6086442999</v>
      </c>
      <c r="BD25" s="36">
        <f t="shared" si="28"/>
        <v>27100.7187555</v>
      </c>
      <c r="BE25" s="5"/>
      <c r="BF25" s="36">
        <f t="shared" si="82"/>
        <v>987.2715000000001</v>
      </c>
      <c r="BG25" s="36">
        <f t="shared" si="29"/>
        <v>109.0218693</v>
      </c>
      <c r="BH25" s="5">
        <f t="shared" si="30"/>
        <v>1096.2933693</v>
      </c>
      <c r="BI25" s="36">
        <f t="shared" si="31"/>
        <v>35.8628805</v>
      </c>
      <c r="BJ25" s="5"/>
      <c r="BK25" s="36">
        <f t="shared" si="83"/>
        <v>207.08299999999997</v>
      </c>
      <c r="BL25" s="36">
        <f t="shared" si="32"/>
        <v>22.867646599999997</v>
      </c>
      <c r="BM25" s="5">
        <f t="shared" si="33"/>
        <v>229.95064659999997</v>
      </c>
      <c r="BN25" s="36">
        <f t="shared" si="34"/>
        <v>7.522340999999999</v>
      </c>
      <c r="BO25" s="5"/>
      <c r="BP25" s="36">
        <f t="shared" si="84"/>
        <v>247.31249999999997</v>
      </c>
      <c r="BQ25" s="36">
        <f t="shared" si="35"/>
        <v>27.310087499999998</v>
      </c>
      <c r="BR25" s="5">
        <f t="shared" si="36"/>
        <v>274.62258749999995</v>
      </c>
      <c r="BS25" s="36">
        <f t="shared" si="37"/>
        <v>8.983687499999998</v>
      </c>
      <c r="BT25" s="5"/>
      <c r="BU25" s="36">
        <f t="shared" si="38"/>
        <v>1219700.404</v>
      </c>
      <c r="BV25" s="36">
        <f t="shared" si="39"/>
        <v>134688.3993208</v>
      </c>
      <c r="BW25" s="5">
        <f t="shared" si="40"/>
        <v>1354388.8033208002</v>
      </c>
      <c r="BX25" s="36">
        <f t="shared" si="41"/>
        <v>44305.917708</v>
      </c>
      <c r="BY25" s="5"/>
      <c r="BZ25" s="36">
        <f t="shared" si="85"/>
        <v>507.815</v>
      </c>
      <c r="CA25" s="36">
        <f t="shared" si="42"/>
        <v>56.076713</v>
      </c>
      <c r="CB25" s="5">
        <f t="shared" si="43"/>
        <v>563.891713</v>
      </c>
      <c r="CC25" s="36">
        <f t="shared" si="44"/>
        <v>18.446505000000002</v>
      </c>
      <c r="CD25" s="5"/>
      <c r="CE25" s="36">
        <f t="shared" si="86"/>
        <v>876561.235</v>
      </c>
      <c r="CF25" s="36">
        <f t="shared" si="45"/>
        <v>96796.417597</v>
      </c>
      <c r="CG25" s="5">
        <f t="shared" si="46"/>
        <v>973357.652597</v>
      </c>
      <c r="CH25" s="36">
        <f t="shared" si="47"/>
        <v>31841.302845000002</v>
      </c>
      <c r="CI25" s="5"/>
      <c r="CJ25" s="36">
        <f t="shared" si="87"/>
        <v>166.194</v>
      </c>
      <c r="CK25" s="36">
        <f t="shared" si="48"/>
        <v>18.3523788</v>
      </c>
      <c r="CL25" s="5">
        <f t="shared" si="49"/>
        <v>184.54637879999999</v>
      </c>
      <c r="CM25" s="36">
        <f t="shared" si="50"/>
        <v>6.037038</v>
      </c>
      <c r="CN25" s="5"/>
      <c r="CO25" s="36">
        <f t="shared" si="88"/>
        <v>67728.012</v>
      </c>
      <c r="CP25" s="36">
        <f t="shared" si="51"/>
        <v>7479.0313224</v>
      </c>
      <c r="CQ25" s="5">
        <f t="shared" si="52"/>
        <v>75207.0433224</v>
      </c>
      <c r="CR25" s="36">
        <f t="shared" si="53"/>
        <v>2460.236724</v>
      </c>
      <c r="CS25" s="5"/>
      <c r="CT25" s="5">
        <f t="shared" si="89"/>
        <v>86621.36799999999</v>
      </c>
      <c r="CU25" s="36">
        <f t="shared" si="54"/>
        <v>9565.376353599999</v>
      </c>
      <c r="CV25" s="36">
        <f t="shared" si="55"/>
        <v>96186.74435359999</v>
      </c>
      <c r="CW25" s="36">
        <f t="shared" si="56"/>
        <v>3146.542536</v>
      </c>
      <c r="CX25" s="5"/>
      <c r="CY25" s="5">
        <f t="shared" si="90"/>
        <v>1141.5945000000002</v>
      </c>
      <c r="CZ25" s="36">
        <f t="shared" si="57"/>
        <v>126.0633639</v>
      </c>
      <c r="DA25" s="36">
        <f t="shared" si="58"/>
        <v>1267.6578639000002</v>
      </c>
      <c r="DB25" s="36">
        <f t="shared" si="59"/>
        <v>41.4687015</v>
      </c>
      <c r="DC25" s="5"/>
      <c r="DD25" s="5">
        <f t="shared" si="91"/>
        <v>910760.2669999999</v>
      </c>
      <c r="DE25" s="36">
        <f t="shared" si="60"/>
        <v>100572.92932339999</v>
      </c>
      <c r="DF25" s="36">
        <f t="shared" si="61"/>
        <v>1011333.1963233999</v>
      </c>
      <c r="DG25" s="36">
        <f t="shared" si="62"/>
        <v>33083.59110899999</v>
      </c>
      <c r="DH25" s="5"/>
      <c r="DI25" s="36">
        <f t="shared" si="92"/>
        <v>844.8195</v>
      </c>
      <c r="DJ25" s="36">
        <f t="shared" si="63"/>
        <v>93.2912589</v>
      </c>
      <c r="DK25" s="5">
        <f t="shared" si="64"/>
        <v>938.1107589</v>
      </c>
      <c r="DL25" s="36">
        <f t="shared" si="65"/>
        <v>30.6882765</v>
      </c>
      <c r="DM25" s="5"/>
      <c r="DN25" s="5">
        <f t="shared" si="93"/>
        <v>228.84650000000002</v>
      </c>
      <c r="DO25" s="5">
        <f t="shared" si="66"/>
        <v>25.270934300000004</v>
      </c>
      <c r="DP25" s="5">
        <f t="shared" si="67"/>
        <v>254.1174343</v>
      </c>
      <c r="DQ25" s="36">
        <f t="shared" si="68"/>
        <v>8.312905500000001</v>
      </c>
      <c r="DR25" s="5"/>
      <c r="DS25" s="36">
        <f t="shared" si="94"/>
        <v>34736.5245</v>
      </c>
      <c r="DT25" s="36">
        <f t="shared" si="69"/>
        <v>3835.8656499000003</v>
      </c>
      <c r="DU25" s="5">
        <f t="shared" si="70"/>
        <v>38572.3901499</v>
      </c>
      <c r="DV25" s="36">
        <f t="shared" si="71"/>
        <v>1261.8128115</v>
      </c>
      <c r="DW25" s="5"/>
      <c r="DX25" s="36"/>
      <c r="DY25" s="36"/>
      <c r="DZ25" s="5"/>
      <c r="EA25" s="36">
        <f t="shared" si="72"/>
        <v>0</v>
      </c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</row>
    <row r="26" spans="1:146" ht="12.75">
      <c r="A26" s="37">
        <v>46296</v>
      </c>
      <c r="D26" s="3">
        <v>654075</v>
      </c>
      <c r="E26" s="35">
        <f t="shared" si="0"/>
        <v>654075</v>
      </c>
      <c r="F26" s="35">
        <v>239565</v>
      </c>
      <c r="H26" s="36"/>
      <c r="I26" s="36">
        <v>43849</v>
      </c>
      <c r="J26" s="36">
        <f t="shared" si="1"/>
        <v>43849</v>
      </c>
      <c r="K26" s="35">
        <f>'Academic Project '!K26</f>
        <v>16060.341773999997</v>
      </c>
      <c r="M26" s="36"/>
      <c r="N26" s="35">
        <f t="shared" si="2"/>
        <v>610226.1390374999</v>
      </c>
      <c r="O26" s="36">
        <f t="shared" si="3"/>
        <v>610226.1390374999</v>
      </c>
      <c r="P26" s="36">
        <f t="shared" si="4"/>
        <v>223504.6821825</v>
      </c>
      <c r="R26" s="36"/>
      <c r="S26" s="36">
        <f t="shared" si="5"/>
        <v>150936.7670775</v>
      </c>
      <c r="T26" s="36">
        <f t="shared" si="6"/>
        <v>150936.7670775</v>
      </c>
      <c r="U26" s="36">
        <f t="shared" si="7"/>
        <v>55282.90579049999</v>
      </c>
      <c r="W26" s="36"/>
      <c r="X26" s="36">
        <f t="shared" si="8"/>
        <v>7456.5204075</v>
      </c>
      <c r="Y26" s="36">
        <f t="shared" si="9"/>
        <v>7456.5204075</v>
      </c>
      <c r="Z26" s="36">
        <f t="shared" si="10"/>
        <v>2731.0649565</v>
      </c>
      <c r="AB26" s="36"/>
      <c r="AC26" s="36">
        <f t="shared" si="11"/>
        <v>43962.081345</v>
      </c>
      <c r="AD26" s="36">
        <f t="shared" si="12"/>
        <v>43962.081345</v>
      </c>
      <c r="AE26" s="36">
        <f t="shared" si="13"/>
        <v>16101.786519</v>
      </c>
      <c r="AG26" s="36"/>
      <c r="AH26" s="36">
        <f t="shared" si="14"/>
        <v>5043.2452875</v>
      </c>
      <c r="AI26" s="36">
        <f t="shared" si="15"/>
        <v>5043.2452875</v>
      </c>
      <c r="AJ26" s="36">
        <f t="shared" si="16"/>
        <v>1847.1659325</v>
      </c>
      <c r="AL26" s="36"/>
      <c r="AM26" s="36">
        <f t="shared" si="17"/>
        <v>135.39352499999998</v>
      </c>
      <c r="AN26" s="36">
        <f t="shared" si="18"/>
        <v>135.39352499999998</v>
      </c>
      <c r="AO26" s="36">
        <f t="shared" si="19"/>
        <v>49.589954999999996</v>
      </c>
      <c r="AQ26" s="36"/>
      <c r="AR26" s="36">
        <f t="shared" si="20"/>
        <v>11067.341445</v>
      </c>
      <c r="AS26" s="36">
        <f t="shared" si="21"/>
        <v>11067.341445</v>
      </c>
      <c r="AT26" s="36">
        <f t="shared" si="22"/>
        <v>4053.583539</v>
      </c>
      <c r="AV26" s="36"/>
      <c r="AW26" s="36">
        <f t="shared" si="23"/>
        <v>221.5352025</v>
      </c>
      <c r="AX26" s="5">
        <f t="shared" si="24"/>
        <v>221.5352025</v>
      </c>
      <c r="AY26" s="36">
        <f t="shared" si="25"/>
        <v>81.1406655</v>
      </c>
      <c r="AZ26" s="5"/>
      <c r="BA26" s="36"/>
      <c r="BB26" s="36">
        <f t="shared" si="26"/>
        <v>73992.0381525</v>
      </c>
      <c r="BC26" s="5">
        <f t="shared" si="27"/>
        <v>73992.0381525</v>
      </c>
      <c r="BD26" s="36">
        <f t="shared" si="28"/>
        <v>27100.7187555</v>
      </c>
      <c r="BE26" s="5"/>
      <c r="BF26" s="36"/>
      <c r="BG26" s="36">
        <f t="shared" si="29"/>
        <v>97.91502750000001</v>
      </c>
      <c r="BH26" s="5">
        <f t="shared" si="30"/>
        <v>97.91502750000001</v>
      </c>
      <c r="BI26" s="36">
        <f t="shared" si="31"/>
        <v>35.8628805</v>
      </c>
      <c r="BJ26" s="5"/>
      <c r="BK26" s="36"/>
      <c r="BL26" s="36">
        <f t="shared" si="32"/>
        <v>20.537954999999997</v>
      </c>
      <c r="BM26" s="5">
        <f t="shared" si="33"/>
        <v>20.537954999999997</v>
      </c>
      <c r="BN26" s="36">
        <f t="shared" si="34"/>
        <v>7.522340999999999</v>
      </c>
      <c r="BO26" s="5"/>
      <c r="BP26" s="36"/>
      <c r="BQ26" s="36">
        <f t="shared" si="35"/>
        <v>24.5278125</v>
      </c>
      <c r="BR26" s="5">
        <f t="shared" si="36"/>
        <v>24.5278125</v>
      </c>
      <c r="BS26" s="36">
        <f t="shared" si="37"/>
        <v>8.983687499999998</v>
      </c>
      <c r="BT26" s="5"/>
      <c r="BU26" s="36">
        <f t="shared" si="38"/>
        <v>0</v>
      </c>
      <c r="BV26" s="36">
        <f t="shared" si="39"/>
        <v>120966.72354</v>
      </c>
      <c r="BW26" s="5">
        <f t="shared" si="40"/>
        <v>120966.72354</v>
      </c>
      <c r="BX26" s="36">
        <f t="shared" si="41"/>
        <v>44305.917708</v>
      </c>
      <c r="BY26" s="5"/>
      <c r="BZ26" s="36"/>
      <c r="CA26" s="36">
        <f t="shared" si="42"/>
        <v>50.363775000000004</v>
      </c>
      <c r="CB26" s="5">
        <f t="shared" si="43"/>
        <v>50.363775000000004</v>
      </c>
      <c r="CC26" s="36">
        <f t="shared" si="44"/>
        <v>18.446505000000002</v>
      </c>
      <c r="CD26" s="5"/>
      <c r="CE26" s="36"/>
      <c r="CF26" s="36">
        <f t="shared" si="45"/>
        <v>86935.070475</v>
      </c>
      <c r="CG26" s="5">
        <f t="shared" si="46"/>
        <v>86935.070475</v>
      </c>
      <c r="CH26" s="36">
        <f t="shared" si="47"/>
        <v>31841.302845000002</v>
      </c>
      <c r="CI26" s="5"/>
      <c r="CJ26" s="36"/>
      <c r="CK26" s="36">
        <f t="shared" si="48"/>
        <v>16.482689999999998</v>
      </c>
      <c r="CL26" s="5">
        <f t="shared" si="49"/>
        <v>16.482689999999998</v>
      </c>
      <c r="CM26" s="36">
        <f t="shared" si="50"/>
        <v>6.037038</v>
      </c>
      <c r="CN26" s="5"/>
      <c r="CO26" s="36"/>
      <c r="CP26" s="36">
        <f t="shared" si="51"/>
        <v>6717.08862</v>
      </c>
      <c r="CQ26" s="5">
        <f t="shared" si="52"/>
        <v>6717.08862</v>
      </c>
      <c r="CR26" s="36">
        <f t="shared" si="53"/>
        <v>2460.236724</v>
      </c>
      <c r="CS26" s="5"/>
      <c r="CT26" s="5"/>
      <c r="CU26" s="36">
        <f t="shared" si="54"/>
        <v>8590.882679999999</v>
      </c>
      <c r="CV26" s="36">
        <f t="shared" si="55"/>
        <v>8590.882679999999</v>
      </c>
      <c r="CW26" s="36">
        <f t="shared" si="56"/>
        <v>3146.542536</v>
      </c>
      <c r="CX26" s="5"/>
      <c r="CY26" s="5"/>
      <c r="CZ26" s="36">
        <f t="shared" si="57"/>
        <v>113.2203825</v>
      </c>
      <c r="DA26" s="36">
        <f t="shared" si="58"/>
        <v>113.2203825</v>
      </c>
      <c r="DB26" s="36">
        <f t="shared" si="59"/>
        <v>41.4687015</v>
      </c>
      <c r="DC26" s="5"/>
      <c r="DD26" s="5"/>
      <c r="DE26" s="36">
        <f t="shared" si="60"/>
        <v>90326.84179499999</v>
      </c>
      <c r="DF26" s="36">
        <f t="shared" si="61"/>
        <v>90326.84179499999</v>
      </c>
      <c r="DG26" s="36">
        <f t="shared" si="62"/>
        <v>33083.59110899999</v>
      </c>
      <c r="DH26" s="5"/>
      <c r="DI26" s="36"/>
      <c r="DJ26" s="36">
        <f t="shared" si="63"/>
        <v>83.7870075</v>
      </c>
      <c r="DK26" s="5">
        <f t="shared" si="64"/>
        <v>83.7870075</v>
      </c>
      <c r="DL26" s="36">
        <f t="shared" si="65"/>
        <v>30.6882765</v>
      </c>
      <c r="DM26" s="5"/>
      <c r="DN26" s="5"/>
      <c r="DO26" s="5">
        <f t="shared" si="66"/>
        <v>22.6964025</v>
      </c>
      <c r="DP26" s="5">
        <f t="shared" si="67"/>
        <v>22.6964025</v>
      </c>
      <c r="DQ26" s="36">
        <f t="shared" si="68"/>
        <v>8.312905500000001</v>
      </c>
      <c r="DR26" s="5"/>
      <c r="DS26" s="36"/>
      <c r="DT26" s="36">
        <f t="shared" si="69"/>
        <v>3445.0784325</v>
      </c>
      <c r="DU26" s="5">
        <f t="shared" si="70"/>
        <v>3445.0784325</v>
      </c>
      <c r="DV26" s="36">
        <f t="shared" si="71"/>
        <v>1261.8128115</v>
      </c>
      <c r="DW26" s="5"/>
      <c r="DX26" s="36"/>
      <c r="DY26" s="36"/>
      <c r="DZ26" s="5"/>
      <c r="EA26" s="36">
        <f t="shared" si="72"/>
        <v>0</v>
      </c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</row>
    <row r="27" spans="1:146" ht="12.75">
      <c r="A27" s="37">
        <v>46478</v>
      </c>
      <c r="C27" s="3">
        <v>6740000</v>
      </c>
      <c r="D27" s="3">
        <v>654075</v>
      </c>
      <c r="E27" s="35">
        <f t="shared" si="0"/>
        <v>7394075</v>
      </c>
      <c r="F27" s="35">
        <v>239565</v>
      </c>
      <c r="H27" s="36">
        <v>451847</v>
      </c>
      <c r="I27" s="36">
        <v>43849</v>
      </c>
      <c r="J27" s="36">
        <f t="shared" si="1"/>
        <v>495696</v>
      </c>
      <c r="K27" s="35">
        <f>'Academic Project '!K27</f>
        <v>16060.341773999997</v>
      </c>
      <c r="M27" s="36">
        <f t="shared" si="73"/>
        <v>6288153.770000001</v>
      </c>
      <c r="N27" s="35">
        <f t="shared" si="2"/>
        <v>610226.1390374999</v>
      </c>
      <c r="O27" s="36">
        <f t="shared" si="3"/>
        <v>6898379.909037502</v>
      </c>
      <c r="P27" s="36">
        <f t="shared" si="4"/>
        <v>223504.6821825</v>
      </c>
      <c r="R27" s="36">
        <f t="shared" si="74"/>
        <v>1555347.338</v>
      </c>
      <c r="S27" s="36">
        <f t="shared" si="5"/>
        <v>150936.7670775</v>
      </c>
      <c r="T27" s="36">
        <f t="shared" si="6"/>
        <v>1706284.1050775</v>
      </c>
      <c r="U27" s="36">
        <f t="shared" si="7"/>
        <v>55282.90579049999</v>
      </c>
      <c r="W27" s="36">
        <f t="shared" si="75"/>
        <v>76836.674</v>
      </c>
      <c r="X27" s="36">
        <f t="shared" si="8"/>
        <v>7456.5204075</v>
      </c>
      <c r="Y27" s="36">
        <f t="shared" si="9"/>
        <v>84293.1944075</v>
      </c>
      <c r="Z27" s="36">
        <f t="shared" si="10"/>
        <v>2731.0649565</v>
      </c>
      <c r="AB27" s="36">
        <f t="shared" si="76"/>
        <v>453012.924</v>
      </c>
      <c r="AC27" s="36">
        <f t="shared" si="11"/>
        <v>43962.081345</v>
      </c>
      <c r="AD27" s="36">
        <f t="shared" si="12"/>
        <v>496975.005345</v>
      </c>
      <c r="AE27" s="36">
        <f t="shared" si="13"/>
        <v>16101.786519</v>
      </c>
      <c r="AG27" s="36">
        <f t="shared" si="77"/>
        <v>51968.770000000004</v>
      </c>
      <c r="AH27" s="36">
        <f t="shared" si="14"/>
        <v>5043.2452875</v>
      </c>
      <c r="AI27" s="36">
        <f t="shared" si="15"/>
        <v>57012.015287500006</v>
      </c>
      <c r="AJ27" s="36">
        <f t="shared" si="16"/>
        <v>1847.1659325</v>
      </c>
      <c r="AL27" s="36">
        <f t="shared" si="78"/>
        <v>1395.1799999999998</v>
      </c>
      <c r="AM27" s="36">
        <f t="shared" si="17"/>
        <v>135.39352499999998</v>
      </c>
      <c r="AN27" s="36">
        <f t="shared" si="18"/>
        <v>1530.5735249999998</v>
      </c>
      <c r="AO27" s="36">
        <f t="shared" si="19"/>
        <v>49.589954999999996</v>
      </c>
      <c r="AQ27" s="36">
        <f t="shared" si="79"/>
        <v>114044.84400000001</v>
      </c>
      <c r="AR27" s="36">
        <f t="shared" si="20"/>
        <v>11067.341445</v>
      </c>
      <c r="AS27" s="36">
        <f t="shared" si="21"/>
        <v>125112.18544500001</v>
      </c>
      <c r="AT27" s="36">
        <f t="shared" si="22"/>
        <v>4053.583539</v>
      </c>
      <c r="AV27" s="36">
        <f t="shared" si="80"/>
        <v>2282.8379999999997</v>
      </c>
      <c r="AW27" s="36">
        <f t="shared" si="23"/>
        <v>221.5352025</v>
      </c>
      <c r="AX27" s="5">
        <f t="shared" si="24"/>
        <v>2504.3732025</v>
      </c>
      <c r="AY27" s="36">
        <f t="shared" si="25"/>
        <v>81.1406655</v>
      </c>
      <c r="AZ27" s="5"/>
      <c r="BA27" s="36">
        <f t="shared" si="81"/>
        <v>762460.478</v>
      </c>
      <c r="BB27" s="36">
        <f t="shared" si="26"/>
        <v>73992.0381525</v>
      </c>
      <c r="BC27" s="5">
        <f t="shared" si="27"/>
        <v>836452.5161525</v>
      </c>
      <c r="BD27" s="36">
        <f t="shared" si="28"/>
        <v>27100.7187555</v>
      </c>
      <c r="BE27" s="5"/>
      <c r="BF27" s="36">
        <f t="shared" si="82"/>
        <v>1008.9780000000001</v>
      </c>
      <c r="BG27" s="36">
        <f t="shared" si="29"/>
        <v>97.91502750000001</v>
      </c>
      <c r="BH27" s="5">
        <f t="shared" si="30"/>
        <v>1106.8930275</v>
      </c>
      <c r="BI27" s="36">
        <f t="shared" si="31"/>
        <v>35.8628805</v>
      </c>
      <c r="BJ27" s="5"/>
      <c r="BK27" s="36">
        <f t="shared" si="83"/>
        <v>211.636</v>
      </c>
      <c r="BL27" s="36">
        <f t="shared" si="32"/>
        <v>20.537954999999997</v>
      </c>
      <c r="BM27" s="5">
        <f t="shared" si="33"/>
        <v>232.17395499999998</v>
      </c>
      <c r="BN27" s="36">
        <f t="shared" si="34"/>
        <v>7.522340999999999</v>
      </c>
      <c r="BO27" s="5"/>
      <c r="BP27" s="36">
        <f t="shared" si="84"/>
        <v>252.74999999999997</v>
      </c>
      <c r="BQ27" s="36">
        <f t="shared" si="35"/>
        <v>24.5278125</v>
      </c>
      <c r="BR27" s="5">
        <f t="shared" si="36"/>
        <v>277.2778125</v>
      </c>
      <c r="BS27" s="36">
        <f t="shared" si="37"/>
        <v>8.983687499999998</v>
      </c>
      <c r="BT27" s="5"/>
      <c r="BU27" s="36">
        <f t="shared" si="38"/>
        <v>1246517.168</v>
      </c>
      <c r="BV27" s="36">
        <f t="shared" si="39"/>
        <v>120966.72354</v>
      </c>
      <c r="BW27" s="5">
        <f t="shared" si="40"/>
        <v>1367483.89154</v>
      </c>
      <c r="BX27" s="36">
        <f t="shared" si="41"/>
        <v>44305.917708</v>
      </c>
      <c r="BY27" s="5"/>
      <c r="BZ27" s="36">
        <f t="shared" si="85"/>
        <v>518.98</v>
      </c>
      <c r="CA27" s="36">
        <f t="shared" si="42"/>
        <v>50.363775000000004</v>
      </c>
      <c r="CB27" s="5">
        <f t="shared" si="43"/>
        <v>569.343775</v>
      </c>
      <c r="CC27" s="36">
        <f t="shared" si="44"/>
        <v>18.446505000000002</v>
      </c>
      <c r="CD27" s="5"/>
      <c r="CE27" s="36">
        <f t="shared" si="86"/>
        <v>895833.62</v>
      </c>
      <c r="CF27" s="36">
        <f t="shared" si="45"/>
        <v>86935.070475</v>
      </c>
      <c r="CG27" s="5">
        <f t="shared" si="46"/>
        <v>982768.690475</v>
      </c>
      <c r="CH27" s="36">
        <f t="shared" si="47"/>
        <v>31841.302845000002</v>
      </c>
      <c r="CI27" s="5"/>
      <c r="CJ27" s="36">
        <f t="shared" si="87"/>
        <v>169.84799999999998</v>
      </c>
      <c r="CK27" s="36">
        <f t="shared" si="48"/>
        <v>16.482689999999998</v>
      </c>
      <c r="CL27" s="5">
        <f t="shared" si="49"/>
        <v>186.33068999999998</v>
      </c>
      <c r="CM27" s="36">
        <f t="shared" si="50"/>
        <v>6.037038</v>
      </c>
      <c r="CN27" s="5"/>
      <c r="CO27" s="36">
        <f t="shared" si="88"/>
        <v>69217.104</v>
      </c>
      <c r="CP27" s="36">
        <f t="shared" si="51"/>
        <v>6717.08862</v>
      </c>
      <c r="CQ27" s="5">
        <f t="shared" si="52"/>
        <v>75934.19262</v>
      </c>
      <c r="CR27" s="36">
        <f t="shared" si="53"/>
        <v>2460.236724</v>
      </c>
      <c r="CS27" s="5"/>
      <c r="CT27" s="5">
        <f t="shared" si="89"/>
        <v>88525.856</v>
      </c>
      <c r="CU27" s="36">
        <f t="shared" si="54"/>
        <v>8590.882679999999</v>
      </c>
      <c r="CV27" s="36">
        <f t="shared" si="55"/>
        <v>97116.73868</v>
      </c>
      <c r="CW27" s="36">
        <f t="shared" si="56"/>
        <v>3146.542536</v>
      </c>
      <c r="CX27" s="5"/>
      <c r="CY27" s="5">
        <f t="shared" si="90"/>
        <v>1166.694</v>
      </c>
      <c r="CZ27" s="36">
        <f t="shared" si="57"/>
        <v>113.2203825</v>
      </c>
      <c r="DA27" s="36">
        <f t="shared" si="58"/>
        <v>1279.9143824999999</v>
      </c>
      <c r="DB27" s="36">
        <f t="shared" si="59"/>
        <v>41.4687015</v>
      </c>
      <c r="DC27" s="5"/>
      <c r="DD27" s="5">
        <f t="shared" si="91"/>
        <v>930784.5639999999</v>
      </c>
      <c r="DE27" s="36">
        <f t="shared" si="60"/>
        <v>90326.84179499999</v>
      </c>
      <c r="DF27" s="36">
        <f t="shared" si="61"/>
        <v>1021111.4057949999</v>
      </c>
      <c r="DG27" s="36">
        <f t="shared" si="62"/>
        <v>33083.59110899999</v>
      </c>
      <c r="DH27" s="5"/>
      <c r="DI27" s="36">
        <f t="shared" si="92"/>
        <v>863.394</v>
      </c>
      <c r="DJ27" s="36">
        <f t="shared" si="63"/>
        <v>83.7870075</v>
      </c>
      <c r="DK27" s="5">
        <f t="shared" si="64"/>
        <v>947.1810075</v>
      </c>
      <c r="DL27" s="36">
        <f t="shared" si="65"/>
        <v>30.6882765</v>
      </c>
      <c r="DM27" s="5"/>
      <c r="DN27" s="5">
        <f t="shared" si="93"/>
        <v>233.87800000000001</v>
      </c>
      <c r="DO27" s="5">
        <f t="shared" si="66"/>
        <v>22.6964025</v>
      </c>
      <c r="DP27" s="5">
        <f t="shared" si="67"/>
        <v>256.5744025</v>
      </c>
      <c r="DQ27" s="36">
        <f t="shared" si="68"/>
        <v>8.312905500000001</v>
      </c>
      <c r="DR27" s="5"/>
      <c r="DS27" s="36">
        <f t="shared" si="94"/>
        <v>35500.254</v>
      </c>
      <c r="DT27" s="36">
        <f t="shared" si="69"/>
        <v>3445.0784325</v>
      </c>
      <c r="DU27" s="5">
        <f t="shared" si="70"/>
        <v>38945.3324325</v>
      </c>
      <c r="DV27" s="36">
        <f t="shared" si="71"/>
        <v>1261.8128115</v>
      </c>
      <c r="DW27" s="5"/>
      <c r="DX27" s="36"/>
      <c r="DY27" s="36"/>
      <c r="DZ27" s="5"/>
      <c r="EA27" s="36">
        <f t="shared" si="72"/>
        <v>0</v>
      </c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</row>
    <row r="28" spans="1:146" ht="12.75">
      <c r="A28" s="37">
        <v>46661</v>
      </c>
      <c r="D28" s="3">
        <v>552975</v>
      </c>
      <c r="E28" s="35">
        <f t="shared" si="0"/>
        <v>552975</v>
      </c>
      <c r="F28" s="35">
        <v>239565</v>
      </c>
      <c r="H28" s="36"/>
      <c r="I28" s="36">
        <v>37071</v>
      </c>
      <c r="J28" s="36">
        <f t="shared" si="1"/>
        <v>37071</v>
      </c>
      <c r="K28" s="35">
        <f>'Academic Project '!K28</f>
        <v>16060.341773999997</v>
      </c>
      <c r="M28" s="36"/>
      <c r="N28" s="35">
        <f t="shared" si="2"/>
        <v>515903.8324875</v>
      </c>
      <c r="O28" s="36">
        <f t="shared" si="3"/>
        <v>515903.8324875</v>
      </c>
      <c r="P28" s="36">
        <f t="shared" si="4"/>
        <v>223504.6821825</v>
      </c>
      <c r="R28" s="36"/>
      <c r="S28" s="36">
        <f t="shared" si="5"/>
        <v>127606.5570075</v>
      </c>
      <c r="T28" s="36">
        <f t="shared" si="6"/>
        <v>127606.5570075</v>
      </c>
      <c r="U28" s="36">
        <f t="shared" si="7"/>
        <v>55282.90579049999</v>
      </c>
      <c r="W28" s="36"/>
      <c r="X28" s="36">
        <f t="shared" si="8"/>
        <v>6303.9702975</v>
      </c>
      <c r="Y28" s="36">
        <f t="shared" si="9"/>
        <v>6303.9702975</v>
      </c>
      <c r="Z28" s="36">
        <f t="shared" si="10"/>
        <v>2731.0649565</v>
      </c>
      <c r="AB28" s="36"/>
      <c r="AC28" s="36">
        <f t="shared" si="11"/>
        <v>37166.887485</v>
      </c>
      <c r="AD28" s="36">
        <f t="shared" si="12"/>
        <v>37166.887485</v>
      </c>
      <c r="AE28" s="36">
        <f t="shared" si="13"/>
        <v>16101.786519</v>
      </c>
      <c r="AG28" s="36"/>
      <c r="AH28" s="36">
        <f t="shared" si="14"/>
        <v>4263.7137375</v>
      </c>
      <c r="AI28" s="36">
        <f t="shared" si="15"/>
        <v>4263.7137375</v>
      </c>
      <c r="AJ28" s="36">
        <f t="shared" si="16"/>
        <v>1847.1659325</v>
      </c>
      <c r="AL28" s="36"/>
      <c r="AM28" s="36">
        <f t="shared" si="17"/>
        <v>114.465825</v>
      </c>
      <c r="AN28" s="36">
        <f t="shared" si="18"/>
        <v>114.465825</v>
      </c>
      <c r="AO28" s="36">
        <f t="shared" si="19"/>
        <v>49.589954999999996</v>
      </c>
      <c r="AQ28" s="36"/>
      <c r="AR28" s="36">
        <f t="shared" si="20"/>
        <v>9356.668785</v>
      </c>
      <c r="AS28" s="36">
        <f t="shared" si="21"/>
        <v>9356.668785</v>
      </c>
      <c r="AT28" s="36">
        <f t="shared" si="22"/>
        <v>4053.583539</v>
      </c>
      <c r="AV28" s="36"/>
      <c r="AW28" s="36">
        <f t="shared" si="23"/>
        <v>187.2926325</v>
      </c>
      <c r="AX28" s="5">
        <f t="shared" si="24"/>
        <v>187.2926325</v>
      </c>
      <c r="AY28" s="36">
        <f t="shared" si="25"/>
        <v>81.1406655</v>
      </c>
      <c r="AZ28" s="5"/>
      <c r="BA28" s="36"/>
      <c r="BB28" s="36">
        <f t="shared" si="26"/>
        <v>62555.1309825</v>
      </c>
      <c r="BC28" s="5">
        <f t="shared" si="27"/>
        <v>62555.1309825</v>
      </c>
      <c r="BD28" s="36">
        <f t="shared" si="28"/>
        <v>27100.7187555</v>
      </c>
      <c r="BE28" s="5"/>
      <c r="BF28" s="36"/>
      <c r="BG28" s="36">
        <f t="shared" si="29"/>
        <v>82.78035750000001</v>
      </c>
      <c r="BH28" s="5">
        <f t="shared" si="30"/>
        <v>82.78035750000001</v>
      </c>
      <c r="BI28" s="36">
        <f t="shared" si="31"/>
        <v>35.8628805</v>
      </c>
      <c r="BJ28" s="5"/>
      <c r="BK28" s="36"/>
      <c r="BL28" s="36">
        <f t="shared" si="32"/>
        <v>17.363415</v>
      </c>
      <c r="BM28" s="5">
        <f t="shared" si="33"/>
        <v>17.363415</v>
      </c>
      <c r="BN28" s="36">
        <f t="shared" si="34"/>
        <v>7.522340999999999</v>
      </c>
      <c r="BO28" s="5"/>
      <c r="BP28" s="36"/>
      <c r="BQ28" s="36">
        <f t="shared" si="35"/>
        <v>20.736562499999998</v>
      </c>
      <c r="BR28" s="5">
        <f t="shared" si="36"/>
        <v>20.736562499999998</v>
      </c>
      <c r="BS28" s="36">
        <f t="shared" si="37"/>
        <v>8.983687499999998</v>
      </c>
      <c r="BT28" s="5"/>
      <c r="BU28" s="36">
        <f t="shared" si="38"/>
        <v>0</v>
      </c>
      <c r="BV28" s="36">
        <f t="shared" si="39"/>
        <v>102268.96602</v>
      </c>
      <c r="BW28" s="5">
        <f t="shared" si="40"/>
        <v>102268.96602</v>
      </c>
      <c r="BX28" s="36">
        <f t="shared" si="41"/>
        <v>44305.917708</v>
      </c>
      <c r="BY28" s="5"/>
      <c r="BZ28" s="36"/>
      <c r="CA28" s="36">
        <f t="shared" si="42"/>
        <v>42.579075</v>
      </c>
      <c r="CB28" s="5">
        <f t="shared" si="43"/>
        <v>42.579075</v>
      </c>
      <c r="CC28" s="36">
        <f t="shared" si="44"/>
        <v>18.446505000000002</v>
      </c>
      <c r="CD28" s="5"/>
      <c r="CE28" s="36"/>
      <c r="CF28" s="36">
        <f t="shared" si="45"/>
        <v>73497.566175</v>
      </c>
      <c r="CG28" s="5">
        <f t="shared" si="46"/>
        <v>73497.566175</v>
      </c>
      <c r="CH28" s="36">
        <f t="shared" si="47"/>
        <v>31841.302845000002</v>
      </c>
      <c r="CI28" s="5"/>
      <c r="CJ28" s="36"/>
      <c r="CK28" s="36">
        <f t="shared" si="48"/>
        <v>13.93497</v>
      </c>
      <c r="CL28" s="5">
        <f t="shared" si="49"/>
        <v>13.93497</v>
      </c>
      <c r="CM28" s="36">
        <f t="shared" si="50"/>
        <v>6.037038</v>
      </c>
      <c r="CN28" s="5"/>
      <c r="CO28" s="36"/>
      <c r="CP28" s="36">
        <f t="shared" si="51"/>
        <v>5678.83206</v>
      </c>
      <c r="CQ28" s="5">
        <f t="shared" si="52"/>
        <v>5678.83206</v>
      </c>
      <c r="CR28" s="36">
        <f t="shared" si="53"/>
        <v>2460.236724</v>
      </c>
      <c r="CS28" s="5"/>
      <c r="CT28" s="5"/>
      <c r="CU28" s="36">
        <f t="shared" si="54"/>
        <v>7262.994839999999</v>
      </c>
      <c r="CV28" s="36">
        <f t="shared" si="55"/>
        <v>7262.994839999999</v>
      </c>
      <c r="CW28" s="36">
        <f t="shared" si="56"/>
        <v>3146.542536</v>
      </c>
      <c r="CX28" s="5"/>
      <c r="CY28" s="5"/>
      <c r="CZ28" s="36">
        <f t="shared" si="57"/>
        <v>95.7199725</v>
      </c>
      <c r="DA28" s="36">
        <f t="shared" si="58"/>
        <v>95.7199725</v>
      </c>
      <c r="DB28" s="36">
        <f t="shared" si="59"/>
        <v>41.4687015</v>
      </c>
      <c r="DC28" s="5"/>
      <c r="DD28" s="5"/>
      <c r="DE28" s="36">
        <f t="shared" si="60"/>
        <v>76365.073335</v>
      </c>
      <c r="DF28" s="36">
        <f t="shared" si="61"/>
        <v>76365.073335</v>
      </c>
      <c r="DG28" s="36">
        <f t="shared" si="62"/>
        <v>33083.59110899999</v>
      </c>
      <c r="DH28" s="5"/>
      <c r="DI28" s="36"/>
      <c r="DJ28" s="36">
        <f t="shared" si="63"/>
        <v>70.8360975</v>
      </c>
      <c r="DK28" s="5">
        <f t="shared" si="64"/>
        <v>70.8360975</v>
      </c>
      <c r="DL28" s="36">
        <f t="shared" si="65"/>
        <v>30.6882765</v>
      </c>
      <c r="DM28" s="5"/>
      <c r="DN28" s="5"/>
      <c r="DO28" s="5">
        <f t="shared" si="66"/>
        <v>19.1882325</v>
      </c>
      <c r="DP28" s="5">
        <f t="shared" si="67"/>
        <v>19.1882325</v>
      </c>
      <c r="DQ28" s="36">
        <f t="shared" si="68"/>
        <v>8.312905500000001</v>
      </c>
      <c r="DR28" s="5"/>
      <c r="DS28" s="36"/>
      <c r="DT28" s="36">
        <f t="shared" si="69"/>
        <v>2912.5746225000003</v>
      </c>
      <c r="DU28" s="5">
        <f t="shared" si="70"/>
        <v>2912.5746225000003</v>
      </c>
      <c r="DV28" s="36">
        <f t="shared" si="71"/>
        <v>1261.8128115</v>
      </c>
      <c r="DW28" s="5"/>
      <c r="DX28" s="36"/>
      <c r="DY28" s="36"/>
      <c r="DZ28" s="5"/>
      <c r="EA28" s="36">
        <f t="shared" si="72"/>
        <v>0</v>
      </c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</row>
    <row r="29" spans="1:146" ht="12.75">
      <c r="A29" s="37">
        <v>46844</v>
      </c>
      <c r="C29" s="3">
        <v>6945000</v>
      </c>
      <c r="D29" s="3">
        <v>552975</v>
      </c>
      <c r="E29" s="35">
        <f t="shared" si="0"/>
        <v>7497975</v>
      </c>
      <c r="F29" s="35">
        <v>239565</v>
      </c>
      <c r="H29" s="36">
        <v>465590</v>
      </c>
      <c r="I29" s="36">
        <v>37071</v>
      </c>
      <c r="J29" s="36">
        <f t="shared" si="1"/>
        <v>502661</v>
      </c>
      <c r="K29" s="35">
        <f>'Academic Project '!K29</f>
        <v>16060.341773999997</v>
      </c>
      <c r="M29" s="36">
        <f t="shared" si="73"/>
        <v>6479410.6724999985</v>
      </c>
      <c r="N29" s="35">
        <f t="shared" si="2"/>
        <v>515903.8324875</v>
      </c>
      <c r="O29" s="36">
        <f t="shared" si="3"/>
        <v>6995314.504987499</v>
      </c>
      <c r="P29" s="36">
        <f t="shared" si="4"/>
        <v>223504.6821825</v>
      </c>
      <c r="R29" s="36">
        <f t="shared" si="74"/>
        <v>1602653.8965</v>
      </c>
      <c r="S29" s="36">
        <f t="shared" si="5"/>
        <v>127606.5570075</v>
      </c>
      <c r="T29" s="36">
        <f t="shared" si="6"/>
        <v>1730260.4535075</v>
      </c>
      <c r="U29" s="36">
        <f t="shared" si="7"/>
        <v>55282.90579049999</v>
      </c>
      <c r="W29" s="36">
        <f t="shared" si="75"/>
        <v>79173.6945</v>
      </c>
      <c r="X29" s="36">
        <f t="shared" si="8"/>
        <v>6303.9702975</v>
      </c>
      <c r="Y29" s="36">
        <f t="shared" si="9"/>
        <v>85477.6647975</v>
      </c>
      <c r="Z29" s="36">
        <f t="shared" si="10"/>
        <v>2731.0649565</v>
      </c>
      <c r="AB29" s="36">
        <f t="shared" si="76"/>
        <v>466791.507</v>
      </c>
      <c r="AC29" s="36">
        <f t="shared" si="11"/>
        <v>37166.887485</v>
      </c>
      <c r="AD29" s="36">
        <f t="shared" si="12"/>
        <v>503958.394485</v>
      </c>
      <c r="AE29" s="36">
        <f t="shared" si="13"/>
        <v>16101.786519</v>
      </c>
      <c r="AG29" s="36">
        <f t="shared" si="77"/>
        <v>53549.4225</v>
      </c>
      <c r="AH29" s="36">
        <f t="shared" si="14"/>
        <v>4263.7137375</v>
      </c>
      <c r="AI29" s="36">
        <f t="shared" si="15"/>
        <v>57813.1362375</v>
      </c>
      <c r="AJ29" s="36">
        <f t="shared" si="16"/>
        <v>1847.1659325</v>
      </c>
      <c r="AL29" s="36">
        <f t="shared" si="78"/>
        <v>1437.615</v>
      </c>
      <c r="AM29" s="36">
        <f t="shared" si="17"/>
        <v>114.465825</v>
      </c>
      <c r="AN29" s="36">
        <f t="shared" si="18"/>
        <v>1552.080825</v>
      </c>
      <c r="AO29" s="36">
        <f t="shared" si="19"/>
        <v>49.589954999999996</v>
      </c>
      <c r="AQ29" s="36">
        <f t="shared" si="79"/>
        <v>117513.56700000001</v>
      </c>
      <c r="AR29" s="36">
        <f t="shared" si="20"/>
        <v>9356.668785</v>
      </c>
      <c r="AS29" s="36">
        <f t="shared" si="21"/>
        <v>126870.23578500001</v>
      </c>
      <c r="AT29" s="36">
        <f t="shared" si="22"/>
        <v>4053.583539</v>
      </c>
      <c r="AV29" s="36">
        <f t="shared" si="80"/>
        <v>2352.2715</v>
      </c>
      <c r="AW29" s="36">
        <f t="shared" si="23"/>
        <v>187.2926325</v>
      </c>
      <c r="AX29" s="5">
        <f t="shared" si="24"/>
        <v>2539.5641324999997</v>
      </c>
      <c r="AY29" s="36">
        <f t="shared" si="25"/>
        <v>81.1406655</v>
      </c>
      <c r="AZ29" s="5"/>
      <c r="BA29" s="36">
        <f t="shared" si="81"/>
        <v>785651.0414999999</v>
      </c>
      <c r="BB29" s="36">
        <f t="shared" si="26"/>
        <v>62555.1309825</v>
      </c>
      <c r="BC29" s="5">
        <f t="shared" si="27"/>
        <v>848206.1724825</v>
      </c>
      <c r="BD29" s="36">
        <f t="shared" si="28"/>
        <v>27100.7187555</v>
      </c>
      <c r="BE29" s="5"/>
      <c r="BF29" s="36">
        <f t="shared" si="82"/>
        <v>1039.6665</v>
      </c>
      <c r="BG29" s="36">
        <f t="shared" si="29"/>
        <v>82.78035750000001</v>
      </c>
      <c r="BH29" s="5">
        <f t="shared" si="30"/>
        <v>1122.4468575</v>
      </c>
      <c r="BI29" s="36">
        <f t="shared" si="31"/>
        <v>35.8628805</v>
      </c>
      <c r="BJ29" s="5"/>
      <c r="BK29" s="36">
        <f t="shared" si="83"/>
        <v>218.07299999999998</v>
      </c>
      <c r="BL29" s="36">
        <f t="shared" si="32"/>
        <v>17.363415</v>
      </c>
      <c r="BM29" s="5">
        <f t="shared" si="33"/>
        <v>235.43641499999998</v>
      </c>
      <c r="BN29" s="36">
        <f t="shared" si="34"/>
        <v>7.522340999999999</v>
      </c>
      <c r="BO29" s="5"/>
      <c r="BP29" s="36">
        <f t="shared" si="84"/>
        <v>260.4375</v>
      </c>
      <c r="BQ29" s="36">
        <f t="shared" si="35"/>
        <v>20.736562499999998</v>
      </c>
      <c r="BR29" s="5">
        <f t="shared" si="36"/>
        <v>281.1740625</v>
      </c>
      <c r="BS29" s="36">
        <f t="shared" si="37"/>
        <v>8.983687499999998</v>
      </c>
      <c r="BT29" s="5"/>
      <c r="BU29" s="36">
        <f t="shared" si="38"/>
        <v>1284430.524</v>
      </c>
      <c r="BV29" s="36">
        <f t="shared" si="39"/>
        <v>102268.96602</v>
      </c>
      <c r="BW29" s="5">
        <f t="shared" si="40"/>
        <v>1386699.49002</v>
      </c>
      <c r="BX29" s="36">
        <f t="shared" si="41"/>
        <v>44305.917708</v>
      </c>
      <c r="BY29" s="5"/>
      <c r="BZ29" s="36">
        <f t="shared" si="85"/>
        <v>534.765</v>
      </c>
      <c r="CA29" s="36">
        <f t="shared" si="42"/>
        <v>42.579075</v>
      </c>
      <c r="CB29" s="5">
        <f t="shared" si="43"/>
        <v>577.344075</v>
      </c>
      <c r="CC29" s="36">
        <f t="shared" si="44"/>
        <v>18.446505000000002</v>
      </c>
      <c r="CD29" s="5"/>
      <c r="CE29" s="36">
        <f t="shared" si="86"/>
        <v>923080.785</v>
      </c>
      <c r="CF29" s="36">
        <f t="shared" si="45"/>
        <v>73497.566175</v>
      </c>
      <c r="CG29" s="5">
        <f t="shared" si="46"/>
        <v>996578.3511750001</v>
      </c>
      <c r="CH29" s="36">
        <f t="shared" si="47"/>
        <v>31841.302845000002</v>
      </c>
      <c r="CI29" s="5"/>
      <c r="CJ29" s="36">
        <f t="shared" si="87"/>
        <v>175.01399999999998</v>
      </c>
      <c r="CK29" s="36">
        <f t="shared" si="48"/>
        <v>13.93497</v>
      </c>
      <c r="CL29" s="5">
        <f t="shared" si="49"/>
        <v>188.94896999999997</v>
      </c>
      <c r="CM29" s="36">
        <f t="shared" si="50"/>
        <v>6.037038</v>
      </c>
      <c r="CN29" s="5"/>
      <c r="CO29" s="36">
        <f t="shared" si="88"/>
        <v>71322.372</v>
      </c>
      <c r="CP29" s="36">
        <f t="shared" si="51"/>
        <v>5678.83206</v>
      </c>
      <c r="CQ29" s="5">
        <f t="shared" si="52"/>
        <v>77001.20406</v>
      </c>
      <c r="CR29" s="36">
        <f t="shared" si="53"/>
        <v>2460.236724</v>
      </c>
      <c r="CS29" s="5"/>
      <c r="CT29" s="5">
        <f t="shared" si="89"/>
        <v>91218.408</v>
      </c>
      <c r="CU29" s="36">
        <f t="shared" si="54"/>
        <v>7262.994839999999</v>
      </c>
      <c r="CV29" s="36">
        <f t="shared" si="55"/>
        <v>98481.40284</v>
      </c>
      <c r="CW29" s="36">
        <f t="shared" si="56"/>
        <v>3146.542536</v>
      </c>
      <c r="CX29" s="5"/>
      <c r="CY29" s="5">
        <f t="shared" si="90"/>
        <v>1202.1795</v>
      </c>
      <c r="CZ29" s="36">
        <f t="shared" si="57"/>
        <v>95.7199725</v>
      </c>
      <c r="DA29" s="36">
        <f t="shared" si="58"/>
        <v>1297.8994725</v>
      </c>
      <c r="DB29" s="36">
        <f t="shared" si="59"/>
        <v>41.4687015</v>
      </c>
      <c r="DC29" s="5"/>
      <c r="DD29" s="5">
        <f t="shared" si="91"/>
        <v>959094.7769999999</v>
      </c>
      <c r="DE29" s="36">
        <f t="shared" si="60"/>
        <v>76365.073335</v>
      </c>
      <c r="DF29" s="36">
        <f t="shared" si="61"/>
        <v>1035459.8503349999</v>
      </c>
      <c r="DG29" s="36">
        <f t="shared" si="62"/>
        <v>33083.59110899999</v>
      </c>
      <c r="DH29" s="5"/>
      <c r="DI29" s="36">
        <f t="shared" si="92"/>
        <v>889.6545</v>
      </c>
      <c r="DJ29" s="36">
        <f t="shared" si="63"/>
        <v>70.8360975</v>
      </c>
      <c r="DK29" s="5">
        <f t="shared" si="64"/>
        <v>960.4905974999999</v>
      </c>
      <c r="DL29" s="36">
        <f t="shared" si="65"/>
        <v>30.6882765</v>
      </c>
      <c r="DM29" s="5"/>
      <c r="DN29" s="5">
        <f t="shared" si="93"/>
        <v>240.99150000000003</v>
      </c>
      <c r="DO29" s="5">
        <f t="shared" si="66"/>
        <v>19.1882325</v>
      </c>
      <c r="DP29" s="5">
        <f t="shared" si="67"/>
        <v>260.17973250000006</v>
      </c>
      <c r="DQ29" s="36">
        <f t="shared" si="68"/>
        <v>8.312905500000001</v>
      </c>
      <c r="DR29" s="5"/>
      <c r="DS29" s="36">
        <f t="shared" si="94"/>
        <v>36580.0095</v>
      </c>
      <c r="DT29" s="36">
        <f t="shared" si="69"/>
        <v>2912.5746225000003</v>
      </c>
      <c r="DU29" s="5">
        <f t="shared" si="70"/>
        <v>39492.584122500004</v>
      </c>
      <c r="DV29" s="36">
        <f t="shared" si="71"/>
        <v>1261.8128115</v>
      </c>
      <c r="DW29" s="5"/>
      <c r="DX29" s="36"/>
      <c r="DY29" s="36"/>
      <c r="DZ29" s="5"/>
      <c r="EA29" s="36">
        <f t="shared" si="72"/>
        <v>0</v>
      </c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</row>
    <row r="30" spans="1:146" ht="12.75">
      <c r="A30" s="37">
        <v>47027</v>
      </c>
      <c r="D30" s="3">
        <v>448800</v>
      </c>
      <c r="E30" s="35">
        <f t="shared" si="0"/>
        <v>448800</v>
      </c>
      <c r="F30" s="35">
        <v>239565</v>
      </c>
      <c r="H30" s="36"/>
      <c r="I30" s="36">
        <v>30087</v>
      </c>
      <c r="J30" s="36">
        <f t="shared" si="1"/>
        <v>30087</v>
      </c>
      <c r="K30" s="35">
        <f>'Academic Project '!K30</f>
        <v>16060.341773999997</v>
      </c>
      <c r="M30" s="36"/>
      <c r="N30" s="35">
        <f t="shared" si="2"/>
        <v>418712.6724</v>
      </c>
      <c r="O30" s="36">
        <f t="shared" si="3"/>
        <v>418712.6724</v>
      </c>
      <c r="P30" s="36">
        <f t="shared" si="4"/>
        <v>223504.6821825</v>
      </c>
      <c r="R30" s="36"/>
      <c r="S30" s="36">
        <f t="shared" si="5"/>
        <v>103566.74855999999</v>
      </c>
      <c r="T30" s="36">
        <f t="shared" si="6"/>
        <v>103566.74855999999</v>
      </c>
      <c r="U30" s="36">
        <f t="shared" si="7"/>
        <v>55282.90579049999</v>
      </c>
      <c r="W30" s="36"/>
      <c r="X30" s="36">
        <f t="shared" si="8"/>
        <v>5116.36488</v>
      </c>
      <c r="Y30" s="36">
        <f t="shared" si="9"/>
        <v>5116.36488</v>
      </c>
      <c r="Z30" s="36">
        <f t="shared" si="10"/>
        <v>2731.0649565</v>
      </c>
      <c r="AB30" s="36"/>
      <c r="AC30" s="36">
        <f t="shared" si="11"/>
        <v>30165.01488</v>
      </c>
      <c r="AD30" s="36">
        <f t="shared" si="12"/>
        <v>30165.01488</v>
      </c>
      <c r="AE30" s="36">
        <f t="shared" si="13"/>
        <v>16101.786519</v>
      </c>
      <c r="AG30" s="36"/>
      <c r="AH30" s="36">
        <f t="shared" si="14"/>
        <v>3460.4724</v>
      </c>
      <c r="AI30" s="36">
        <f t="shared" si="15"/>
        <v>3460.4724</v>
      </c>
      <c r="AJ30" s="36">
        <f t="shared" si="16"/>
        <v>1847.1659325</v>
      </c>
      <c r="AL30" s="36"/>
      <c r="AM30" s="36">
        <f t="shared" si="17"/>
        <v>92.9016</v>
      </c>
      <c r="AN30" s="36">
        <f t="shared" si="18"/>
        <v>92.9016</v>
      </c>
      <c r="AO30" s="36">
        <f t="shared" si="19"/>
        <v>49.589954999999996</v>
      </c>
      <c r="AQ30" s="36"/>
      <c r="AR30" s="36">
        <f t="shared" si="20"/>
        <v>7593.96528</v>
      </c>
      <c r="AS30" s="36">
        <f t="shared" si="21"/>
        <v>7593.96528</v>
      </c>
      <c r="AT30" s="36">
        <f t="shared" si="22"/>
        <v>4053.583539</v>
      </c>
      <c r="AV30" s="36"/>
      <c r="AW30" s="36">
        <f t="shared" si="23"/>
        <v>152.00856</v>
      </c>
      <c r="AX30" s="5">
        <f t="shared" si="24"/>
        <v>152.00856</v>
      </c>
      <c r="AY30" s="36">
        <f t="shared" si="25"/>
        <v>81.1406655</v>
      </c>
      <c r="AZ30" s="5"/>
      <c r="BA30" s="36"/>
      <c r="BB30" s="36">
        <f t="shared" si="26"/>
        <v>50770.365359999996</v>
      </c>
      <c r="BC30" s="5">
        <f t="shared" si="27"/>
        <v>50770.365359999996</v>
      </c>
      <c r="BD30" s="36">
        <f t="shared" si="28"/>
        <v>27100.7187555</v>
      </c>
      <c r="BE30" s="5"/>
      <c r="BF30" s="36"/>
      <c r="BG30" s="36">
        <f t="shared" si="29"/>
        <v>67.18536</v>
      </c>
      <c r="BH30" s="5">
        <f t="shared" si="30"/>
        <v>67.18536</v>
      </c>
      <c r="BI30" s="36">
        <f t="shared" si="31"/>
        <v>35.8628805</v>
      </c>
      <c r="BJ30" s="5"/>
      <c r="BK30" s="36"/>
      <c r="BL30" s="36">
        <f t="shared" si="32"/>
        <v>14.092319999999999</v>
      </c>
      <c r="BM30" s="5">
        <f t="shared" si="33"/>
        <v>14.092319999999999</v>
      </c>
      <c r="BN30" s="36">
        <f t="shared" si="34"/>
        <v>7.522340999999999</v>
      </c>
      <c r="BO30" s="5"/>
      <c r="BP30" s="36"/>
      <c r="BQ30" s="36">
        <f t="shared" si="35"/>
        <v>16.83</v>
      </c>
      <c r="BR30" s="5">
        <f t="shared" si="36"/>
        <v>16.83</v>
      </c>
      <c r="BS30" s="36">
        <f t="shared" si="37"/>
        <v>8.983687499999998</v>
      </c>
      <c r="BT30" s="5"/>
      <c r="BU30" s="36">
        <f t="shared" si="38"/>
        <v>0</v>
      </c>
      <c r="BV30" s="36">
        <f t="shared" si="39"/>
        <v>83002.50816</v>
      </c>
      <c r="BW30" s="5">
        <f t="shared" si="40"/>
        <v>83002.50816</v>
      </c>
      <c r="BX30" s="36">
        <f t="shared" si="41"/>
        <v>44305.917708</v>
      </c>
      <c r="BY30" s="5"/>
      <c r="BZ30" s="36"/>
      <c r="CA30" s="36">
        <f t="shared" si="42"/>
        <v>34.5576</v>
      </c>
      <c r="CB30" s="5">
        <f t="shared" si="43"/>
        <v>34.5576</v>
      </c>
      <c r="CC30" s="36">
        <f t="shared" si="44"/>
        <v>18.446505000000002</v>
      </c>
      <c r="CD30" s="5"/>
      <c r="CE30" s="36"/>
      <c r="CF30" s="36">
        <f t="shared" si="45"/>
        <v>59651.354400000004</v>
      </c>
      <c r="CG30" s="5">
        <f t="shared" si="46"/>
        <v>59651.354400000004</v>
      </c>
      <c r="CH30" s="36">
        <f t="shared" si="47"/>
        <v>31841.302845000002</v>
      </c>
      <c r="CI30" s="5"/>
      <c r="CJ30" s="36"/>
      <c r="CK30" s="36">
        <f t="shared" si="48"/>
        <v>11.309759999999999</v>
      </c>
      <c r="CL30" s="5">
        <f t="shared" si="49"/>
        <v>11.309759999999999</v>
      </c>
      <c r="CM30" s="36">
        <f t="shared" si="50"/>
        <v>6.037038</v>
      </c>
      <c r="CN30" s="5"/>
      <c r="CO30" s="36"/>
      <c r="CP30" s="36">
        <f t="shared" si="51"/>
        <v>4608.99648</v>
      </c>
      <c r="CQ30" s="5">
        <f t="shared" si="52"/>
        <v>4608.99648</v>
      </c>
      <c r="CR30" s="36">
        <f t="shared" si="53"/>
        <v>2460.236724</v>
      </c>
      <c r="CS30" s="5"/>
      <c r="CT30" s="5"/>
      <c r="CU30" s="36">
        <f t="shared" si="54"/>
        <v>5894.71872</v>
      </c>
      <c r="CV30" s="36">
        <f t="shared" si="55"/>
        <v>5894.71872</v>
      </c>
      <c r="CW30" s="36">
        <f t="shared" si="56"/>
        <v>3146.542536</v>
      </c>
      <c r="CX30" s="5"/>
      <c r="CY30" s="5"/>
      <c r="CZ30" s="36">
        <f t="shared" si="57"/>
        <v>77.68728</v>
      </c>
      <c r="DA30" s="36">
        <f t="shared" si="58"/>
        <v>77.68728</v>
      </c>
      <c r="DB30" s="36">
        <f t="shared" si="59"/>
        <v>41.4687015</v>
      </c>
      <c r="DC30" s="5"/>
      <c r="DD30" s="5"/>
      <c r="DE30" s="36">
        <f t="shared" si="60"/>
        <v>61978.651679999995</v>
      </c>
      <c r="DF30" s="36">
        <f t="shared" si="61"/>
        <v>61978.651679999995</v>
      </c>
      <c r="DG30" s="36">
        <f t="shared" si="62"/>
        <v>33083.59110899999</v>
      </c>
      <c r="DH30" s="5"/>
      <c r="DI30" s="36"/>
      <c r="DJ30" s="36">
        <f t="shared" si="63"/>
        <v>57.491279999999996</v>
      </c>
      <c r="DK30" s="5">
        <f t="shared" si="64"/>
        <v>57.491279999999996</v>
      </c>
      <c r="DL30" s="36">
        <f t="shared" si="65"/>
        <v>30.6882765</v>
      </c>
      <c r="DM30" s="5"/>
      <c r="DN30" s="5"/>
      <c r="DO30" s="5">
        <f t="shared" si="66"/>
        <v>15.573360000000001</v>
      </c>
      <c r="DP30" s="5">
        <f t="shared" si="67"/>
        <v>15.573360000000001</v>
      </c>
      <c r="DQ30" s="36">
        <f t="shared" si="68"/>
        <v>8.312905500000001</v>
      </c>
      <c r="DR30" s="5"/>
      <c r="DS30" s="36"/>
      <c r="DT30" s="36">
        <f t="shared" si="69"/>
        <v>2363.87448</v>
      </c>
      <c r="DU30" s="5">
        <f t="shared" si="70"/>
        <v>2363.87448</v>
      </c>
      <c r="DV30" s="36">
        <f t="shared" si="71"/>
        <v>1261.8128115</v>
      </c>
      <c r="DW30" s="5"/>
      <c r="DX30" s="36"/>
      <c r="DY30" s="36"/>
      <c r="DZ30" s="5"/>
      <c r="EA30" s="36">
        <f t="shared" si="72"/>
        <v>0</v>
      </c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</row>
    <row r="31" spans="1:146" ht="12.75">
      <c r="A31" s="37">
        <v>47209</v>
      </c>
      <c r="C31" s="3">
        <v>7150000</v>
      </c>
      <c r="D31" s="3">
        <v>448800</v>
      </c>
      <c r="E31" s="35">
        <f t="shared" si="0"/>
        <v>7598800</v>
      </c>
      <c r="F31" s="35">
        <v>239565</v>
      </c>
      <c r="H31" s="36">
        <v>479333</v>
      </c>
      <c r="I31" s="36">
        <v>30087</v>
      </c>
      <c r="J31" s="36">
        <f t="shared" si="1"/>
        <v>509420</v>
      </c>
      <c r="K31" s="35">
        <f>'Academic Project '!K31</f>
        <v>16060.341773999997</v>
      </c>
      <c r="M31" s="36">
        <f t="shared" si="73"/>
        <v>6670667.574999999</v>
      </c>
      <c r="N31" s="35">
        <f t="shared" si="2"/>
        <v>418712.6724</v>
      </c>
      <c r="O31" s="36">
        <f t="shared" si="3"/>
        <v>7089380.247399999</v>
      </c>
      <c r="P31" s="36">
        <f t="shared" si="4"/>
        <v>223504.6821825</v>
      </c>
      <c r="R31" s="36">
        <f t="shared" si="74"/>
        <v>1649960.4549999998</v>
      </c>
      <c r="S31" s="36">
        <f t="shared" si="5"/>
        <v>103566.74855999999</v>
      </c>
      <c r="T31" s="36">
        <f t="shared" si="6"/>
        <v>1753527.2035599998</v>
      </c>
      <c r="U31" s="36">
        <f t="shared" si="7"/>
        <v>55282.90579049999</v>
      </c>
      <c r="W31" s="36">
        <f t="shared" si="75"/>
        <v>81510.715</v>
      </c>
      <c r="X31" s="36">
        <f t="shared" si="8"/>
        <v>5116.36488</v>
      </c>
      <c r="Y31" s="36">
        <f t="shared" si="9"/>
        <v>86627.07987999999</v>
      </c>
      <c r="Z31" s="36">
        <f t="shared" si="10"/>
        <v>2731.0649565</v>
      </c>
      <c r="AB31" s="36">
        <f t="shared" si="76"/>
        <v>480570.08999999997</v>
      </c>
      <c r="AC31" s="36">
        <f t="shared" si="11"/>
        <v>30165.01488</v>
      </c>
      <c r="AD31" s="36">
        <f t="shared" si="12"/>
        <v>510735.10487999994</v>
      </c>
      <c r="AE31" s="36">
        <f t="shared" si="13"/>
        <v>16101.786519</v>
      </c>
      <c r="AG31" s="36">
        <f t="shared" si="77"/>
        <v>55130.075000000004</v>
      </c>
      <c r="AH31" s="36">
        <f t="shared" si="14"/>
        <v>3460.4724</v>
      </c>
      <c r="AI31" s="36">
        <f t="shared" si="15"/>
        <v>58590.5474</v>
      </c>
      <c r="AJ31" s="36">
        <f t="shared" si="16"/>
        <v>1847.1659325</v>
      </c>
      <c r="AL31" s="36">
        <f t="shared" si="78"/>
        <v>1480.05</v>
      </c>
      <c r="AM31" s="36">
        <f t="shared" si="17"/>
        <v>92.9016</v>
      </c>
      <c r="AN31" s="36">
        <f t="shared" si="18"/>
        <v>1572.9515999999999</v>
      </c>
      <c r="AO31" s="36">
        <f t="shared" si="19"/>
        <v>49.589954999999996</v>
      </c>
      <c r="AQ31" s="36">
        <f t="shared" si="79"/>
        <v>120982.29000000001</v>
      </c>
      <c r="AR31" s="36">
        <f t="shared" si="20"/>
        <v>7593.96528</v>
      </c>
      <c r="AS31" s="36">
        <f t="shared" si="21"/>
        <v>128576.25528000001</v>
      </c>
      <c r="AT31" s="36">
        <f t="shared" si="22"/>
        <v>4053.583539</v>
      </c>
      <c r="AV31" s="36">
        <f t="shared" si="80"/>
        <v>2421.705</v>
      </c>
      <c r="AW31" s="36">
        <f t="shared" si="23"/>
        <v>152.00856</v>
      </c>
      <c r="AX31" s="5">
        <f t="shared" si="24"/>
        <v>2573.71356</v>
      </c>
      <c r="AY31" s="36">
        <f t="shared" si="25"/>
        <v>81.1406655</v>
      </c>
      <c r="AZ31" s="5"/>
      <c r="BA31" s="36">
        <f t="shared" si="81"/>
        <v>808841.605</v>
      </c>
      <c r="BB31" s="36">
        <f t="shared" si="26"/>
        <v>50770.365359999996</v>
      </c>
      <c r="BC31" s="5">
        <f t="shared" si="27"/>
        <v>859611.9703599999</v>
      </c>
      <c r="BD31" s="36">
        <f t="shared" si="28"/>
        <v>27100.7187555</v>
      </c>
      <c r="BE31" s="5"/>
      <c r="BF31" s="36">
        <f t="shared" si="82"/>
        <v>1070.355</v>
      </c>
      <c r="BG31" s="36">
        <f t="shared" si="29"/>
        <v>67.18536</v>
      </c>
      <c r="BH31" s="5">
        <f t="shared" si="30"/>
        <v>1137.54036</v>
      </c>
      <c r="BI31" s="36">
        <f t="shared" si="31"/>
        <v>35.8628805</v>
      </c>
      <c r="BJ31" s="5"/>
      <c r="BK31" s="36">
        <f t="shared" si="83"/>
        <v>224.51</v>
      </c>
      <c r="BL31" s="36">
        <f t="shared" si="32"/>
        <v>14.092319999999999</v>
      </c>
      <c r="BM31" s="5">
        <f t="shared" si="33"/>
        <v>238.60232</v>
      </c>
      <c r="BN31" s="36">
        <f t="shared" si="34"/>
        <v>7.522340999999999</v>
      </c>
      <c r="BO31" s="5"/>
      <c r="BP31" s="36">
        <f t="shared" si="84"/>
        <v>268.125</v>
      </c>
      <c r="BQ31" s="36">
        <f t="shared" si="35"/>
        <v>16.83</v>
      </c>
      <c r="BR31" s="5">
        <f t="shared" si="36"/>
        <v>284.955</v>
      </c>
      <c r="BS31" s="36">
        <f t="shared" si="37"/>
        <v>8.983687499999998</v>
      </c>
      <c r="BT31" s="5"/>
      <c r="BU31" s="36">
        <f t="shared" si="38"/>
        <v>1322343.8800000001</v>
      </c>
      <c r="BV31" s="36">
        <f t="shared" si="39"/>
        <v>83002.50816</v>
      </c>
      <c r="BW31" s="5">
        <f t="shared" si="40"/>
        <v>1405346.38816</v>
      </c>
      <c r="BX31" s="36">
        <f t="shared" si="41"/>
        <v>44305.917708</v>
      </c>
      <c r="BY31" s="5"/>
      <c r="BZ31" s="36">
        <f t="shared" si="85"/>
        <v>550.55</v>
      </c>
      <c r="CA31" s="36">
        <f t="shared" si="42"/>
        <v>34.5576</v>
      </c>
      <c r="CB31" s="5">
        <f t="shared" si="43"/>
        <v>585.1075999999999</v>
      </c>
      <c r="CC31" s="36">
        <f t="shared" si="44"/>
        <v>18.446505000000002</v>
      </c>
      <c r="CD31" s="5"/>
      <c r="CE31" s="36">
        <f t="shared" si="86"/>
        <v>950327.9500000001</v>
      </c>
      <c r="CF31" s="36">
        <f t="shared" si="45"/>
        <v>59651.354400000004</v>
      </c>
      <c r="CG31" s="5">
        <f t="shared" si="46"/>
        <v>1009979.3044</v>
      </c>
      <c r="CH31" s="36">
        <f t="shared" si="47"/>
        <v>31841.302845000002</v>
      </c>
      <c r="CI31" s="5"/>
      <c r="CJ31" s="36">
        <f t="shared" si="87"/>
        <v>180.18</v>
      </c>
      <c r="CK31" s="36">
        <f t="shared" si="48"/>
        <v>11.309759999999999</v>
      </c>
      <c r="CL31" s="5">
        <f t="shared" si="49"/>
        <v>191.48976000000002</v>
      </c>
      <c r="CM31" s="36">
        <f t="shared" si="50"/>
        <v>6.037038</v>
      </c>
      <c r="CN31" s="5"/>
      <c r="CO31" s="36">
        <f t="shared" si="88"/>
        <v>73427.64</v>
      </c>
      <c r="CP31" s="36">
        <f t="shared" si="51"/>
        <v>4608.99648</v>
      </c>
      <c r="CQ31" s="5">
        <f t="shared" si="52"/>
        <v>78036.63648</v>
      </c>
      <c r="CR31" s="36">
        <f t="shared" si="53"/>
        <v>2460.236724</v>
      </c>
      <c r="CS31" s="5"/>
      <c r="CT31" s="5">
        <f t="shared" si="89"/>
        <v>93910.95999999999</v>
      </c>
      <c r="CU31" s="36">
        <f t="shared" si="54"/>
        <v>5894.71872</v>
      </c>
      <c r="CV31" s="36">
        <f t="shared" si="55"/>
        <v>99805.67872</v>
      </c>
      <c r="CW31" s="36">
        <f t="shared" si="56"/>
        <v>3146.542536</v>
      </c>
      <c r="CX31" s="5"/>
      <c r="CY31" s="5">
        <f t="shared" si="90"/>
        <v>1237.665</v>
      </c>
      <c r="CZ31" s="36">
        <f t="shared" si="57"/>
        <v>77.68728</v>
      </c>
      <c r="DA31" s="36">
        <f t="shared" si="58"/>
        <v>1315.35228</v>
      </c>
      <c r="DB31" s="36">
        <f t="shared" si="59"/>
        <v>41.4687015</v>
      </c>
      <c r="DC31" s="5"/>
      <c r="DD31" s="5">
        <f t="shared" si="91"/>
        <v>987404.9899999999</v>
      </c>
      <c r="DE31" s="36">
        <f t="shared" si="60"/>
        <v>61978.651679999995</v>
      </c>
      <c r="DF31" s="36">
        <f t="shared" si="61"/>
        <v>1049383.64168</v>
      </c>
      <c r="DG31" s="36">
        <f t="shared" si="62"/>
        <v>33083.59110899999</v>
      </c>
      <c r="DH31" s="5"/>
      <c r="DI31" s="36">
        <f t="shared" si="92"/>
        <v>915.915</v>
      </c>
      <c r="DJ31" s="36">
        <f t="shared" si="63"/>
        <v>57.491279999999996</v>
      </c>
      <c r="DK31" s="5">
        <f t="shared" si="64"/>
        <v>973.4062799999999</v>
      </c>
      <c r="DL31" s="36">
        <f t="shared" si="65"/>
        <v>30.6882765</v>
      </c>
      <c r="DM31" s="5"/>
      <c r="DN31" s="5">
        <f t="shared" si="93"/>
        <v>248.10500000000002</v>
      </c>
      <c r="DO31" s="5">
        <f t="shared" si="66"/>
        <v>15.573360000000001</v>
      </c>
      <c r="DP31" s="5">
        <f t="shared" si="67"/>
        <v>263.67836</v>
      </c>
      <c r="DQ31" s="36">
        <f t="shared" si="68"/>
        <v>8.312905500000001</v>
      </c>
      <c r="DR31" s="5"/>
      <c r="DS31" s="36">
        <f t="shared" si="94"/>
        <v>37659.765</v>
      </c>
      <c r="DT31" s="36">
        <f t="shared" si="69"/>
        <v>2363.87448</v>
      </c>
      <c r="DU31" s="5">
        <f t="shared" si="70"/>
        <v>40023.63948</v>
      </c>
      <c r="DV31" s="36">
        <f t="shared" si="71"/>
        <v>1261.8128115</v>
      </c>
      <c r="DW31" s="5"/>
      <c r="DX31" s="36"/>
      <c r="DY31" s="36"/>
      <c r="DZ31" s="5"/>
      <c r="EA31" s="36">
        <f t="shared" si="72"/>
        <v>0</v>
      </c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</row>
    <row r="32" spans="1:146" ht="12.75">
      <c r="A32" s="37">
        <v>47392</v>
      </c>
      <c r="D32" s="3">
        <v>341550</v>
      </c>
      <c r="E32" s="35">
        <f t="shared" si="0"/>
        <v>341550</v>
      </c>
      <c r="F32" s="35">
        <v>239565</v>
      </c>
      <c r="H32" s="36"/>
      <c r="I32" s="36">
        <v>22897</v>
      </c>
      <c r="J32" s="36">
        <f t="shared" si="1"/>
        <v>22897</v>
      </c>
      <c r="K32" s="35">
        <f>'Academic Project '!K32</f>
        <v>16060.341773999997</v>
      </c>
      <c r="M32" s="36"/>
      <c r="N32" s="35">
        <f t="shared" si="2"/>
        <v>318652.658775</v>
      </c>
      <c r="O32" s="36">
        <f t="shared" si="3"/>
        <v>318652.658775</v>
      </c>
      <c r="P32" s="36">
        <f t="shared" si="4"/>
        <v>223504.6821825</v>
      </c>
      <c r="R32" s="36"/>
      <c r="S32" s="36">
        <f t="shared" si="5"/>
        <v>78817.341735</v>
      </c>
      <c r="T32" s="36">
        <f t="shared" si="6"/>
        <v>78817.341735</v>
      </c>
      <c r="U32" s="36">
        <f t="shared" si="7"/>
        <v>55282.90579049999</v>
      </c>
      <c r="W32" s="36"/>
      <c r="X32" s="36">
        <f t="shared" si="8"/>
        <v>3893.704155</v>
      </c>
      <c r="Y32" s="36">
        <f t="shared" si="9"/>
        <v>3893.704155</v>
      </c>
      <c r="Z32" s="36">
        <f t="shared" si="10"/>
        <v>2731.0649565</v>
      </c>
      <c r="AB32" s="36"/>
      <c r="AC32" s="36">
        <f t="shared" si="11"/>
        <v>22956.46353</v>
      </c>
      <c r="AD32" s="36">
        <f t="shared" si="12"/>
        <v>22956.46353</v>
      </c>
      <c r="AE32" s="36">
        <f t="shared" si="13"/>
        <v>16101.786519</v>
      </c>
      <c r="AG32" s="36"/>
      <c r="AH32" s="36">
        <f t="shared" si="14"/>
        <v>2633.521275</v>
      </c>
      <c r="AI32" s="36">
        <f t="shared" si="15"/>
        <v>2633.521275</v>
      </c>
      <c r="AJ32" s="36">
        <f t="shared" si="16"/>
        <v>1847.1659325</v>
      </c>
      <c r="AL32" s="36"/>
      <c r="AM32" s="36">
        <f t="shared" si="17"/>
        <v>70.70085</v>
      </c>
      <c r="AN32" s="36">
        <f t="shared" si="18"/>
        <v>70.70085</v>
      </c>
      <c r="AO32" s="36">
        <f t="shared" si="19"/>
        <v>49.589954999999996</v>
      </c>
      <c r="AQ32" s="36"/>
      <c r="AR32" s="36">
        <f t="shared" si="20"/>
        <v>5779.230930000001</v>
      </c>
      <c r="AS32" s="36">
        <f t="shared" si="21"/>
        <v>5779.230930000001</v>
      </c>
      <c r="AT32" s="36">
        <f t="shared" si="22"/>
        <v>4053.583539</v>
      </c>
      <c r="AV32" s="36"/>
      <c r="AW32" s="36">
        <f t="shared" si="23"/>
        <v>115.682985</v>
      </c>
      <c r="AX32" s="5">
        <f t="shared" si="24"/>
        <v>115.682985</v>
      </c>
      <c r="AY32" s="36">
        <f t="shared" si="25"/>
        <v>81.1406655</v>
      </c>
      <c r="AZ32" s="5"/>
      <c r="BA32" s="36"/>
      <c r="BB32" s="36">
        <f t="shared" si="26"/>
        <v>38637.741285</v>
      </c>
      <c r="BC32" s="5">
        <f t="shared" si="27"/>
        <v>38637.741285</v>
      </c>
      <c r="BD32" s="36">
        <f t="shared" si="28"/>
        <v>27100.7187555</v>
      </c>
      <c r="BE32" s="5"/>
      <c r="BF32" s="36"/>
      <c r="BG32" s="36">
        <f t="shared" si="29"/>
        <v>51.130035</v>
      </c>
      <c r="BH32" s="5">
        <f t="shared" si="30"/>
        <v>51.130035</v>
      </c>
      <c r="BI32" s="36">
        <f t="shared" si="31"/>
        <v>35.8628805</v>
      </c>
      <c r="BJ32" s="5"/>
      <c r="BK32" s="36"/>
      <c r="BL32" s="36">
        <f t="shared" si="32"/>
        <v>10.72467</v>
      </c>
      <c r="BM32" s="5">
        <f t="shared" si="33"/>
        <v>10.72467</v>
      </c>
      <c r="BN32" s="36">
        <f t="shared" si="34"/>
        <v>7.522340999999999</v>
      </c>
      <c r="BO32" s="5"/>
      <c r="BP32" s="36"/>
      <c r="BQ32" s="36">
        <f t="shared" si="35"/>
        <v>12.808124999999999</v>
      </c>
      <c r="BR32" s="5">
        <f t="shared" si="36"/>
        <v>12.808124999999999</v>
      </c>
      <c r="BS32" s="36">
        <f t="shared" si="37"/>
        <v>8.983687499999998</v>
      </c>
      <c r="BT32" s="5"/>
      <c r="BU32" s="36">
        <f t="shared" si="38"/>
        <v>0</v>
      </c>
      <c r="BV32" s="36">
        <f t="shared" si="39"/>
        <v>63167.34996</v>
      </c>
      <c r="BW32" s="5">
        <f t="shared" si="40"/>
        <v>63167.34996</v>
      </c>
      <c r="BX32" s="36">
        <f t="shared" si="41"/>
        <v>44305.917708</v>
      </c>
      <c r="BY32" s="5"/>
      <c r="BZ32" s="36"/>
      <c r="CA32" s="36">
        <f t="shared" si="42"/>
        <v>26.29935</v>
      </c>
      <c r="CB32" s="5">
        <f t="shared" si="43"/>
        <v>26.29935</v>
      </c>
      <c r="CC32" s="36">
        <f t="shared" si="44"/>
        <v>18.446505000000002</v>
      </c>
      <c r="CD32" s="5"/>
      <c r="CE32" s="36"/>
      <c r="CF32" s="36">
        <f t="shared" si="45"/>
        <v>45396.43515</v>
      </c>
      <c r="CG32" s="5">
        <f t="shared" si="46"/>
        <v>45396.43515</v>
      </c>
      <c r="CH32" s="36">
        <f t="shared" si="47"/>
        <v>31841.302845000002</v>
      </c>
      <c r="CI32" s="5"/>
      <c r="CJ32" s="36"/>
      <c r="CK32" s="36">
        <f t="shared" si="48"/>
        <v>8.60706</v>
      </c>
      <c r="CL32" s="5">
        <f t="shared" si="49"/>
        <v>8.60706</v>
      </c>
      <c r="CM32" s="36">
        <f t="shared" si="50"/>
        <v>6.037038</v>
      </c>
      <c r="CN32" s="5"/>
      <c r="CO32" s="36"/>
      <c r="CP32" s="36">
        <f t="shared" si="51"/>
        <v>3507.58188</v>
      </c>
      <c r="CQ32" s="5">
        <f t="shared" si="52"/>
        <v>3507.58188</v>
      </c>
      <c r="CR32" s="36">
        <f t="shared" si="53"/>
        <v>2460.236724</v>
      </c>
      <c r="CS32" s="5"/>
      <c r="CT32" s="5"/>
      <c r="CU32" s="36">
        <f t="shared" si="54"/>
        <v>4486.054319999999</v>
      </c>
      <c r="CV32" s="36">
        <f t="shared" si="55"/>
        <v>4486.054319999999</v>
      </c>
      <c r="CW32" s="36">
        <f t="shared" si="56"/>
        <v>3146.542536</v>
      </c>
      <c r="CX32" s="5"/>
      <c r="CY32" s="5"/>
      <c r="CZ32" s="36">
        <f t="shared" si="57"/>
        <v>59.122305000000004</v>
      </c>
      <c r="DA32" s="36">
        <f t="shared" si="58"/>
        <v>59.122305000000004</v>
      </c>
      <c r="DB32" s="36">
        <f t="shared" si="59"/>
        <v>41.4687015</v>
      </c>
      <c r="DC32" s="5"/>
      <c r="DD32" s="5"/>
      <c r="DE32" s="36">
        <f t="shared" si="60"/>
        <v>47167.57683</v>
      </c>
      <c r="DF32" s="36">
        <f t="shared" si="61"/>
        <v>47167.57683</v>
      </c>
      <c r="DG32" s="36">
        <f t="shared" si="62"/>
        <v>33083.59110899999</v>
      </c>
      <c r="DH32" s="5"/>
      <c r="DI32" s="36"/>
      <c r="DJ32" s="36">
        <f t="shared" si="63"/>
        <v>43.752555</v>
      </c>
      <c r="DK32" s="5">
        <f t="shared" si="64"/>
        <v>43.752555</v>
      </c>
      <c r="DL32" s="36">
        <f t="shared" si="65"/>
        <v>30.6882765</v>
      </c>
      <c r="DM32" s="5"/>
      <c r="DN32" s="5"/>
      <c r="DO32" s="5">
        <f t="shared" si="66"/>
        <v>11.851785000000001</v>
      </c>
      <c r="DP32" s="5">
        <f t="shared" si="67"/>
        <v>11.851785000000001</v>
      </c>
      <c r="DQ32" s="36">
        <f t="shared" si="68"/>
        <v>8.312905500000001</v>
      </c>
      <c r="DR32" s="5"/>
      <c r="DS32" s="36"/>
      <c r="DT32" s="36">
        <f t="shared" si="69"/>
        <v>1798.9780050000002</v>
      </c>
      <c r="DU32" s="5">
        <f t="shared" si="70"/>
        <v>1798.9780050000002</v>
      </c>
      <c r="DV32" s="36">
        <f t="shared" si="71"/>
        <v>1261.8128115</v>
      </c>
      <c r="DW32" s="5"/>
      <c r="DX32" s="36"/>
      <c r="DY32" s="36"/>
      <c r="DZ32" s="5"/>
      <c r="EA32" s="36">
        <f t="shared" si="72"/>
        <v>0</v>
      </c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</row>
    <row r="33" spans="1:146" ht="12.75">
      <c r="A33" s="37">
        <v>11049</v>
      </c>
      <c r="C33" s="3">
        <v>7365000</v>
      </c>
      <c r="D33" s="3">
        <v>341550</v>
      </c>
      <c r="E33" s="35">
        <f t="shared" si="0"/>
        <v>7706550</v>
      </c>
      <c r="F33" s="35">
        <v>239565</v>
      </c>
      <c r="H33" s="36">
        <v>493747</v>
      </c>
      <c r="I33" s="36">
        <v>22897</v>
      </c>
      <c r="J33" s="36">
        <f t="shared" si="1"/>
        <v>516644</v>
      </c>
      <c r="K33" s="35">
        <f>'Academic Project '!K33</f>
        <v>16060.341773999997</v>
      </c>
      <c r="M33" s="36">
        <f t="shared" si="73"/>
        <v>6871254.082500001</v>
      </c>
      <c r="N33" s="35">
        <f t="shared" si="2"/>
        <v>318652.658775</v>
      </c>
      <c r="O33" s="36">
        <f t="shared" si="3"/>
        <v>7189906.741275001</v>
      </c>
      <c r="P33" s="36">
        <f t="shared" si="4"/>
        <v>223504.6821825</v>
      </c>
      <c r="R33" s="36">
        <f t="shared" si="74"/>
        <v>1699574.6505</v>
      </c>
      <c r="S33" s="36">
        <f t="shared" si="5"/>
        <v>78817.341735</v>
      </c>
      <c r="T33" s="36">
        <f t="shared" si="6"/>
        <v>1778391.992235</v>
      </c>
      <c r="U33" s="36">
        <f t="shared" si="7"/>
        <v>55282.90579049999</v>
      </c>
      <c r="W33" s="36">
        <f t="shared" si="75"/>
        <v>83961.7365</v>
      </c>
      <c r="X33" s="36">
        <f t="shared" si="8"/>
        <v>3893.704155</v>
      </c>
      <c r="Y33" s="36">
        <f t="shared" si="9"/>
        <v>87855.440655</v>
      </c>
      <c r="Z33" s="36">
        <f t="shared" si="10"/>
        <v>2731.0649565</v>
      </c>
      <c r="AB33" s="36">
        <f t="shared" si="76"/>
        <v>495020.799</v>
      </c>
      <c r="AC33" s="36">
        <f t="shared" si="11"/>
        <v>22956.46353</v>
      </c>
      <c r="AD33" s="36">
        <f t="shared" si="12"/>
        <v>517977.26253</v>
      </c>
      <c r="AE33" s="36">
        <f t="shared" si="13"/>
        <v>16101.786519</v>
      </c>
      <c r="AG33" s="36">
        <f t="shared" si="77"/>
        <v>56787.832500000004</v>
      </c>
      <c r="AH33" s="36">
        <f t="shared" si="14"/>
        <v>2633.521275</v>
      </c>
      <c r="AI33" s="36">
        <f t="shared" si="15"/>
        <v>59421.353775</v>
      </c>
      <c r="AJ33" s="36">
        <f t="shared" si="16"/>
        <v>1847.1659325</v>
      </c>
      <c r="AL33" s="36">
        <f t="shared" si="78"/>
        <v>1524.5549999999998</v>
      </c>
      <c r="AM33" s="36">
        <f t="shared" si="17"/>
        <v>70.70085</v>
      </c>
      <c r="AN33" s="36">
        <f t="shared" si="18"/>
        <v>1595.2558499999998</v>
      </c>
      <c r="AO33" s="36">
        <f t="shared" si="19"/>
        <v>49.589954999999996</v>
      </c>
      <c r="AQ33" s="36">
        <f t="shared" si="79"/>
        <v>124620.21900000001</v>
      </c>
      <c r="AR33" s="36">
        <f t="shared" si="20"/>
        <v>5779.230930000001</v>
      </c>
      <c r="AS33" s="36">
        <f t="shared" si="21"/>
        <v>130399.44993000002</v>
      </c>
      <c r="AT33" s="36">
        <f t="shared" si="22"/>
        <v>4053.583539</v>
      </c>
      <c r="AV33" s="36">
        <f t="shared" si="80"/>
        <v>2494.5254999999997</v>
      </c>
      <c r="AW33" s="36">
        <f t="shared" si="23"/>
        <v>115.682985</v>
      </c>
      <c r="AX33" s="5">
        <f t="shared" si="24"/>
        <v>2610.2084849999997</v>
      </c>
      <c r="AY33" s="36">
        <f t="shared" si="25"/>
        <v>81.1406655</v>
      </c>
      <c r="AZ33" s="5"/>
      <c r="BA33" s="36">
        <f t="shared" si="81"/>
        <v>833163.4155</v>
      </c>
      <c r="BB33" s="36">
        <f t="shared" si="26"/>
        <v>38637.741285</v>
      </c>
      <c r="BC33" s="5">
        <f t="shared" si="27"/>
        <v>871801.156785</v>
      </c>
      <c r="BD33" s="36">
        <f t="shared" si="28"/>
        <v>27100.7187555</v>
      </c>
      <c r="BE33" s="5"/>
      <c r="BF33" s="36">
        <f t="shared" si="82"/>
        <v>1102.5405</v>
      </c>
      <c r="BG33" s="36">
        <f t="shared" si="29"/>
        <v>51.130035</v>
      </c>
      <c r="BH33" s="5">
        <f t="shared" si="30"/>
        <v>1153.670535</v>
      </c>
      <c r="BI33" s="36">
        <f t="shared" si="31"/>
        <v>35.8628805</v>
      </c>
      <c r="BJ33" s="5"/>
      <c r="BK33" s="36">
        <f t="shared" si="83"/>
        <v>231.261</v>
      </c>
      <c r="BL33" s="36">
        <f t="shared" si="32"/>
        <v>10.72467</v>
      </c>
      <c r="BM33" s="5">
        <f t="shared" si="33"/>
        <v>241.98567</v>
      </c>
      <c r="BN33" s="36">
        <f t="shared" si="34"/>
        <v>7.522340999999999</v>
      </c>
      <c r="BO33" s="5"/>
      <c r="BP33" s="36">
        <f t="shared" si="84"/>
        <v>276.1875</v>
      </c>
      <c r="BQ33" s="36">
        <f t="shared" si="35"/>
        <v>12.808124999999999</v>
      </c>
      <c r="BR33" s="5">
        <f t="shared" si="36"/>
        <v>288.995625</v>
      </c>
      <c r="BS33" s="36">
        <f t="shared" si="37"/>
        <v>8.983687499999998</v>
      </c>
      <c r="BT33" s="5"/>
      <c r="BU33" s="36">
        <f t="shared" si="38"/>
        <v>1362106.668</v>
      </c>
      <c r="BV33" s="36">
        <f t="shared" si="39"/>
        <v>63167.34996</v>
      </c>
      <c r="BW33" s="5">
        <f t="shared" si="40"/>
        <v>1425274.01796</v>
      </c>
      <c r="BX33" s="36">
        <f t="shared" si="41"/>
        <v>44305.917708</v>
      </c>
      <c r="BY33" s="5"/>
      <c r="BZ33" s="36">
        <f t="shared" si="85"/>
        <v>567.105</v>
      </c>
      <c r="CA33" s="36">
        <f t="shared" si="42"/>
        <v>26.29935</v>
      </c>
      <c r="CB33" s="5">
        <f t="shared" si="43"/>
        <v>593.40435</v>
      </c>
      <c r="CC33" s="36">
        <f t="shared" si="44"/>
        <v>18.446505000000002</v>
      </c>
      <c r="CD33" s="5"/>
      <c r="CE33" s="36">
        <f t="shared" si="86"/>
        <v>978904.245</v>
      </c>
      <c r="CF33" s="36">
        <f t="shared" si="45"/>
        <v>45396.43515</v>
      </c>
      <c r="CG33" s="5">
        <f t="shared" si="46"/>
        <v>1024300.68015</v>
      </c>
      <c r="CH33" s="36">
        <f t="shared" si="47"/>
        <v>31841.302845000002</v>
      </c>
      <c r="CI33" s="5"/>
      <c r="CJ33" s="36">
        <f t="shared" si="87"/>
        <v>185.59799999999998</v>
      </c>
      <c r="CK33" s="36">
        <f t="shared" si="48"/>
        <v>8.60706</v>
      </c>
      <c r="CL33" s="5">
        <f t="shared" si="49"/>
        <v>194.20505999999997</v>
      </c>
      <c r="CM33" s="36">
        <f t="shared" si="50"/>
        <v>6.037038</v>
      </c>
      <c r="CN33" s="5"/>
      <c r="CO33" s="36">
        <f t="shared" si="88"/>
        <v>75635.604</v>
      </c>
      <c r="CP33" s="36">
        <f t="shared" si="51"/>
        <v>3507.58188</v>
      </c>
      <c r="CQ33" s="5">
        <f t="shared" si="52"/>
        <v>79143.18588</v>
      </c>
      <c r="CR33" s="36">
        <f t="shared" si="53"/>
        <v>2460.236724</v>
      </c>
      <c r="CS33" s="5"/>
      <c r="CT33" s="5">
        <f t="shared" si="89"/>
        <v>96734.856</v>
      </c>
      <c r="CU33" s="36">
        <f t="shared" si="54"/>
        <v>4486.054319999999</v>
      </c>
      <c r="CV33" s="36">
        <f t="shared" si="55"/>
        <v>101220.91032</v>
      </c>
      <c r="CW33" s="36">
        <f t="shared" si="56"/>
        <v>3146.542536</v>
      </c>
      <c r="CX33" s="5"/>
      <c r="CY33" s="5">
        <f t="shared" si="90"/>
        <v>1274.8815</v>
      </c>
      <c r="CZ33" s="36">
        <f t="shared" si="57"/>
        <v>59.122305000000004</v>
      </c>
      <c r="DA33" s="36">
        <f t="shared" si="58"/>
        <v>1334.003805</v>
      </c>
      <c r="DB33" s="36">
        <f t="shared" si="59"/>
        <v>41.4687015</v>
      </c>
      <c r="DC33" s="5"/>
      <c r="DD33" s="5">
        <f t="shared" si="91"/>
        <v>1017096.1889999999</v>
      </c>
      <c r="DE33" s="36">
        <f t="shared" si="60"/>
        <v>47167.57683</v>
      </c>
      <c r="DF33" s="36">
        <f t="shared" si="61"/>
        <v>1064263.76583</v>
      </c>
      <c r="DG33" s="36">
        <f t="shared" si="62"/>
        <v>33083.59110899999</v>
      </c>
      <c r="DH33" s="5"/>
      <c r="DI33" s="36">
        <f t="shared" si="92"/>
        <v>943.4565</v>
      </c>
      <c r="DJ33" s="36">
        <f t="shared" si="63"/>
        <v>43.752555</v>
      </c>
      <c r="DK33" s="5">
        <f t="shared" si="64"/>
        <v>987.209055</v>
      </c>
      <c r="DL33" s="36">
        <f t="shared" si="65"/>
        <v>30.6882765</v>
      </c>
      <c r="DM33" s="5"/>
      <c r="DN33" s="5">
        <f t="shared" si="93"/>
        <v>255.56550000000001</v>
      </c>
      <c r="DO33" s="5">
        <f t="shared" si="66"/>
        <v>11.851785000000001</v>
      </c>
      <c r="DP33" s="5">
        <f t="shared" si="67"/>
        <v>267.417285</v>
      </c>
      <c r="DQ33" s="36">
        <f t="shared" si="68"/>
        <v>8.312905500000001</v>
      </c>
      <c r="DR33" s="5"/>
      <c r="DS33" s="36">
        <f t="shared" si="94"/>
        <v>38792.1915</v>
      </c>
      <c r="DT33" s="36">
        <f t="shared" si="69"/>
        <v>1798.9780050000002</v>
      </c>
      <c r="DU33" s="5">
        <f t="shared" si="70"/>
        <v>40591.169505</v>
      </c>
      <c r="DV33" s="36">
        <f t="shared" si="71"/>
        <v>1261.8128115</v>
      </c>
      <c r="DW33" s="5"/>
      <c r="DX33" s="36"/>
      <c r="DY33" s="36"/>
      <c r="DZ33" s="5"/>
      <c r="EA33" s="36">
        <f t="shared" si="72"/>
        <v>0</v>
      </c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</row>
    <row r="34" spans="1:146" ht="12.75">
      <c r="A34" s="37">
        <v>11232</v>
      </c>
      <c r="D34" s="3">
        <v>231075</v>
      </c>
      <c r="E34" s="35">
        <f t="shared" si="0"/>
        <v>231075</v>
      </c>
      <c r="F34" s="35">
        <v>239565</v>
      </c>
      <c r="H34" s="36"/>
      <c r="I34" s="36">
        <v>15491</v>
      </c>
      <c r="J34" s="36">
        <f t="shared" si="1"/>
        <v>15491</v>
      </c>
      <c r="K34" s="35">
        <f>'Academic Project '!K34</f>
        <v>16060.341773999997</v>
      </c>
      <c r="M34" s="36"/>
      <c r="N34" s="35">
        <f t="shared" si="2"/>
        <v>215583.8475375</v>
      </c>
      <c r="O34" s="36">
        <f t="shared" si="3"/>
        <v>215583.8475375</v>
      </c>
      <c r="P34" s="36">
        <f t="shared" si="4"/>
        <v>223504.6821825</v>
      </c>
      <c r="R34" s="36"/>
      <c r="S34" s="36">
        <f t="shared" si="5"/>
        <v>53323.7219775</v>
      </c>
      <c r="T34" s="36">
        <f t="shared" si="6"/>
        <v>53323.7219775</v>
      </c>
      <c r="U34" s="36">
        <f t="shared" si="7"/>
        <v>55282.90579049999</v>
      </c>
      <c r="W34" s="36"/>
      <c r="X34" s="36">
        <f t="shared" si="8"/>
        <v>2634.2781075</v>
      </c>
      <c r="Y34" s="36">
        <f t="shared" si="9"/>
        <v>2634.2781075</v>
      </c>
      <c r="Z34" s="36">
        <f t="shared" si="10"/>
        <v>2731.0649565</v>
      </c>
      <c r="AB34" s="36"/>
      <c r="AC34" s="36">
        <f t="shared" si="11"/>
        <v>15531.151544999999</v>
      </c>
      <c r="AD34" s="36">
        <f t="shared" si="12"/>
        <v>15531.151544999999</v>
      </c>
      <c r="AE34" s="36">
        <f t="shared" si="13"/>
        <v>16101.786519</v>
      </c>
      <c r="AG34" s="36"/>
      <c r="AH34" s="36">
        <f t="shared" si="14"/>
        <v>1781.7037875</v>
      </c>
      <c r="AI34" s="36">
        <f t="shared" si="15"/>
        <v>1781.7037875</v>
      </c>
      <c r="AJ34" s="36">
        <f t="shared" si="16"/>
        <v>1847.1659325</v>
      </c>
      <c r="AL34" s="36"/>
      <c r="AM34" s="36">
        <f t="shared" si="17"/>
        <v>47.832525</v>
      </c>
      <c r="AN34" s="36">
        <f t="shared" si="18"/>
        <v>47.832525</v>
      </c>
      <c r="AO34" s="36">
        <f t="shared" si="19"/>
        <v>49.589954999999996</v>
      </c>
      <c r="AQ34" s="36"/>
      <c r="AR34" s="36">
        <f t="shared" si="20"/>
        <v>3909.927645</v>
      </c>
      <c r="AS34" s="36">
        <f t="shared" si="21"/>
        <v>3909.927645</v>
      </c>
      <c r="AT34" s="36">
        <f t="shared" si="22"/>
        <v>4053.583539</v>
      </c>
      <c r="AV34" s="36"/>
      <c r="AW34" s="36">
        <f t="shared" si="23"/>
        <v>78.2651025</v>
      </c>
      <c r="AX34" s="5">
        <f t="shared" si="24"/>
        <v>78.2651025</v>
      </c>
      <c r="AY34" s="36">
        <f t="shared" si="25"/>
        <v>81.1406655</v>
      </c>
      <c r="AZ34" s="5"/>
      <c r="BA34" s="36"/>
      <c r="BB34" s="36">
        <f t="shared" si="26"/>
        <v>26140.2900525</v>
      </c>
      <c r="BC34" s="5">
        <f t="shared" si="27"/>
        <v>26140.2900525</v>
      </c>
      <c r="BD34" s="36">
        <f t="shared" si="28"/>
        <v>27100.7187555</v>
      </c>
      <c r="BE34" s="5"/>
      <c r="BF34" s="36"/>
      <c r="BG34" s="36">
        <f t="shared" si="29"/>
        <v>34.591927500000004</v>
      </c>
      <c r="BH34" s="5">
        <f t="shared" si="30"/>
        <v>34.591927500000004</v>
      </c>
      <c r="BI34" s="36">
        <f t="shared" si="31"/>
        <v>35.8628805</v>
      </c>
      <c r="BJ34" s="5"/>
      <c r="BK34" s="36"/>
      <c r="BL34" s="36">
        <f t="shared" si="32"/>
        <v>7.255755</v>
      </c>
      <c r="BM34" s="5">
        <f t="shared" si="33"/>
        <v>7.255755</v>
      </c>
      <c r="BN34" s="36">
        <f t="shared" si="34"/>
        <v>7.522340999999999</v>
      </c>
      <c r="BO34" s="5"/>
      <c r="BP34" s="36"/>
      <c r="BQ34" s="36">
        <f t="shared" si="35"/>
        <v>8.665312499999999</v>
      </c>
      <c r="BR34" s="5">
        <f t="shared" si="36"/>
        <v>8.665312499999999</v>
      </c>
      <c r="BS34" s="36">
        <f t="shared" si="37"/>
        <v>8.983687499999998</v>
      </c>
      <c r="BT34" s="5"/>
      <c r="BU34" s="36">
        <f t="shared" si="38"/>
        <v>0</v>
      </c>
      <c r="BV34" s="36">
        <f t="shared" si="39"/>
        <v>42735.74994</v>
      </c>
      <c r="BW34" s="5">
        <f t="shared" si="40"/>
        <v>42735.74994</v>
      </c>
      <c r="BX34" s="36">
        <f t="shared" si="41"/>
        <v>44305.917708</v>
      </c>
      <c r="BY34" s="5"/>
      <c r="BZ34" s="36"/>
      <c r="CA34" s="36">
        <f t="shared" si="42"/>
        <v>17.792775</v>
      </c>
      <c r="CB34" s="5">
        <f t="shared" si="43"/>
        <v>17.792775</v>
      </c>
      <c r="CC34" s="36">
        <f t="shared" si="44"/>
        <v>18.446505000000002</v>
      </c>
      <c r="CD34" s="5"/>
      <c r="CE34" s="36"/>
      <c r="CF34" s="36">
        <f t="shared" si="45"/>
        <v>30712.871475</v>
      </c>
      <c r="CG34" s="5">
        <f t="shared" si="46"/>
        <v>30712.871475</v>
      </c>
      <c r="CH34" s="36">
        <f t="shared" si="47"/>
        <v>31841.302845000002</v>
      </c>
      <c r="CI34" s="5"/>
      <c r="CJ34" s="36"/>
      <c r="CK34" s="36">
        <f t="shared" si="48"/>
        <v>5.82309</v>
      </c>
      <c r="CL34" s="5">
        <f t="shared" si="49"/>
        <v>5.82309</v>
      </c>
      <c r="CM34" s="36">
        <f t="shared" si="50"/>
        <v>6.037038</v>
      </c>
      <c r="CN34" s="5"/>
      <c r="CO34" s="36"/>
      <c r="CP34" s="36">
        <f t="shared" si="51"/>
        <v>2373.0478200000002</v>
      </c>
      <c r="CQ34" s="5">
        <f t="shared" si="52"/>
        <v>2373.0478200000002</v>
      </c>
      <c r="CR34" s="36">
        <f t="shared" si="53"/>
        <v>2460.236724</v>
      </c>
      <c r="CS34" s="5"/>
      <c r="CT34" s="5"/>
      <c r="CU34" s="36">
        <f t="shared" si="54"/>
        <v>3035.0314799999996</v>
      </c>
      <c r="CV34" s="36">
        <f t="shared" si="55"/>
        <v>3035.0314799999996</v>
      </c>
      <c r="CW34" s="36">
        <f t="shared" si="56"/>
        <v>3146.542536</v>
      </c>
      <c r="CX34" s="5"/>
      <c r="CY34" s="5"/>
      <c r="CZ34" s="36">
        <f t="shared" si="57"/>
        <v>39.9990825</v>
      </c>
      <c r="DA34" s="36">
        <f t="shared" si="58"/>
        <v>39.9990825</v>
      </c>
      <c r="DB34" s="36">
        <f t="shared" si="59"/>
        <v>41.4687015</v>
      </c>
      <c r="DC34" s="5"/>
      <c r="DD34" s="5"/>
      <c r="DE34" s="36">
        <f t="shared" si="60"/>
        <v>31911.133994999997</v>
      </c>
      <c r="DF34" s="36">
        <f t="shared" si="61"/>
        <v>31911.133994999997</v>
      </c>
      <c r="DG34" s="36">
        <f t="shared" si="62"/>
        <v>33083.59110899999</v>
      </c>
      <c r="DH34" s="5"/>
      <c r="DI34" s="36"/>
      <c r="DJ34" s="36">
        <f t="shared" si="63"/>
        <v>29.6007075</v>
      </c>
      <c r="DK34" s="5">
        <f t="shared" si="64"/>
        <v>29.6007075</v>
      </c>
      <c r="DL34" s="36">
        <f t="shared" si="65"/>
        <v>30.6882765</v>
      </c>
      <c r="DM34" s="5"/>
      <c r="DN34" s="5"/>
      <c r="DO34" s="5">
        <f t="shared" si="66"/>
        <v>8.0183025</v>
      </c>
      <c r="DP34" s="5">
        <f t="shared" si="67"/>
        <v>8.0183025</v>
      </c>
      <c r="DQ34" s="36">
        <f t="shared" si="68"/>
        <v>8.312905500000001</v>
      </c>
      <c r="DR34" s="5"/>
      <c r="DS34" s="36"/>
      <c r="DT34" s="36">
        <f t="shared" si="69"/>
        <v>1217.0951325</v>
      </c>
      <c r="DU34" s="5">
        <f t="shared" si="70"/>
        <v>1217.0951325</v>
      </c>
      <c r="DV34" s="36">
        <f t="shared" si="71"/>
        <v>1261.8128115</v>
      </c>
      <c r="DW34" s="5"/>
      <c r="DX34" s="36"/>
      <c r="DY34" s="36"/>
      <c r="DZ34" s="5"/>
      <c r="EA34" s="36">
        <f t="shared" si="72"/>
        <v>0</v>
      </c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</row>
    <row r="35" spans="1:146" ht="12.75">
      <c r="A35" s="37">
        <v>11414</v>
      </c>
      <c r="C35" s="3">
        <v>7590000</v>
      </c>
      <c r="D35" s="3">
        <v>231075</v>
      </c>
      <c r="E35" s="35">
        <f t="shared" si="0"/>
        <v>7821075</v>
      </c>
      <c r="F35" s="35">
        <v>239565</v>
      </c>
      <c r="H35" s="36">
        <v>508831</v>
      </c>
      <c r="I35" s="36">
        <v>15491</v>
      </c>
      <c r="J35" s="36">
        <f t="shared" si="1"/>
        <v>524322</v>
      </c>
      <c r="K35" s="35">
        <f>'Academic Project '!K35</f>
        <v>16060.341773999997</v>
      </c>
      <c r="M35" s="36">
        <f t="shared" si="73"/>
        <v>7081170.194999999</v>
      </c>
      <c r="N35" s="35">
        <f t="shared" si="2"/>
        <v>215583.8475375</v>
      </c>
      <c r="O35" s="36">
        <f t="shared" si="3"/>
        <v>7296754.042537499</v>
      </c>
      <c r="P35" s="36">
        <f t="shared" si="4"/>
        <v>223504.6821825</v>
      </c>
      <c r="R35" s="36">
        <f t="shared" si="74"/>
        <v>1751496.483</v>
      </c>
      <c r="S35" s="36">
        <f t="shared" si="5"/>
        <v>53323.7219775</v>
      </c>
      <c r="T35" s="36">
        <f t="shared" si="6"/>
        <v>1804820.2049775</v>
      </c>
      <c r="U35" s="36">
        <f t="shared" si="7"/>
        <v>55282.90579049999</v>
      </c>
      <c r="W35" s="36">
        <f t="shared" si="75"/>
        <v>86526.759</v>
      </c>
      <c r="X35" s="36">
        <f t="shared" si="8"/>
        <v>2634.2781075</v>
      </c>
      <c r="Y35" s="36">
        <f t="shared" si="9"/>
        <v>89161.0371075</v>
      </c>
      <c r="Z35" s="36">
        <f t="shared" si="10"/>
        <v>2731.0649565</v>
      </c>
      <c r="AB35" s="36">
        <f t="shared" si="76"/>
        <v>510143.63399999996</v>
      </c>
      <c r="AC35" s="36">
        <f t="shared" si="11"/>
        <v>15531.151544999999</v>
      </c>
      <c r="AD35" s="36">
        <f t="shared" si="12"/>
        <v>525674.785545</v>
      </c>
      <c r="AE35" s="36">
        <f t="shared" si="13"/>
        <v>16101.786519</v>
      </c>
      <c r="AG35" s="36">
        <f t="shared" si="77"/>
        <v>58522.695</v>
      </c>
      <c r="AH35" s="36">
        <f t="shared" si="14"/>
        <v>1781.7037875</v>
      </c>
      <c r="AI35" s="36">
        <f t="shared" si="15"/>
        <v>60304.3987875</v>
      </c>
      <c r="AJ35" s="36">
        <f t="shared" si="16"/>
        <v>1847.1659325</v>
      </c>
      <c r="AL35" s="36">
        <f t="shared" si="78"/>
        <v>1571.1299999999999</v>
      </c>
      <c r="AM35" s="36">
        <f t="shared" si="17"/>
        <v>47.832525</v>
      </c>
      <c r="AN35" s="36">
        <f t="shared" si="18"/>
        <v>1618.962525</v>
      </c>
      <c r="AO35" s="36">
        <f t="shared" si="19"/>
        <v>49.589954999999996</v>
      </c>
      <c r="AQ35" s="36">
        <f t="shared" si="79"/>
        <v>128427.354</v>
      </c>
      <c r="AR35" s="36">
        <f t="shared" si="20"/>
        <v>3909.927645</v>
      </c>
      <c r="AS35" s="36">
        <f t="shared" si="21"/>
        <v>132337.281645</v>
      </c>
      <c r="AT35" s="36">
        <f t="shared" si="22"/>
        <v>4053.583539</v>
      </c>
      <c r="AV35" s="36">
        <f t="shared" si="80"/>
        <v>2570.7329999999997</v>
      </c>
      <c r="AW35" s="36">
        <f t="shared" si="23"/>
        <v>78.2651025</v>
      </c>
      <c r="AX35" s="5">
        <f t="shared" si="24"/>
        <v>2648.9981024999997</v>
      </c>
      <c r="AY35" s="36">
        <f t="shared" si="25"/>
        <v>81.1406655</v>
      </c>
      <c r="AZ35" s="5"/>
      <c r="BA35" s="36">
        <f t="shared" si="81"/>
        <v>858616.473</v>
      </c>
      <c r="BB35" s="36">
        <f t="shared" si="26"/>
        <v>26140.2900525</v>
      </c>
      <c r="BC35" s="5">
        <f t="shared" si="27"/>
        <v>884756.7630525</v>
      </c>
      <c r="BD35" s="36">
        <f t="shared" si="28"/>
        <v>27100.7187555</v>
      </c>
      <c r="BE35" s="5"/>
      <c r="BF35" s="36">
        <f t="shared" si="82"/>
        <v>1136.223</v>
      </c>
      <c r="BG35" s="36">
        <f t="shared" si="29"/>
        <v>34.591927500000004</v>
      </c>
      <c r="BH35" s="5">
        <f t="shared" si="30"/>
        <v>1170.8149275</v>
      </c>
      <c r="BI35" s="36">
        <f t="shared" si="31"/>
        <v>35.8628805</v>
      </c>
      <c r="BJ35" s="5"/>
      <c r="BK35" s="36">
        <f t="shared" si="83"/>
        <v>238.326</v>
      </c>
      <c r="BL35" s="36">
        <f t="shared" si="32"/>
        <v>7.255755</v>
      </c>
      <c r="BM35" s="5">
        <f t="shared" si="33"/>
        <v>245.581755</v>
      </c>
      <c r="BN35" s="36">
        <f t="shared" si="34"/>
        <v>7.522340999999999</v>
      </c>
      <c r="BO35" s="5"/>
      <c r="BP35" s="36">
        <f t="shared" si="84"/>
        <v>284.625</v>
      </c>
      <c r="BQ35" s="36">
        <f t="shared" si="35"/>
        <v>8.665312499999999</v>
      </c>
      <c r="BR35" s="5">
        <f t="shared" si="36"/>
        <v>293.2903125</v>
      </c>
      <c r="BS35" s="36">
        <f t="shared" si="37"/>
        <v>8.983687499999998</v>
      </c>
      <c r="BT35" s="5"/>
      <c r="BU35" s="36">
        <f t="shared" si="38"/>
        <v>1403718.888</v>
      </c>
      <c r="BV35" s="36">
        <f t="shared" si="39"/>
        <v>42735.74994</v>
      </c>
      <c r="BW35" s="5">
        <f t="shared" si="40"/>
        <v>1446454.63794</v>
      </c>
      <c r="BX35" s="36">
        <f t="shared" si="41"/>
        <v>44305.917708</v>
      </c>
      <c r="BY35" s="5"/>
      <c r="BZ35" s="36">
        <f t="shared" si="85"/>
        <v>584.4300000000001</v>
      </c>
      <c r="CA35" s="36">
        <f t="shared" si="42"/>
        <v>17.792775</v>
      </c>
      <c r="CB35" s="5">
        <f t="shared" si="43"/>
        <v>602.2227750000001</v>
      </c>
      <c r="CC35" s="36">
        <f t="shared" si="44"/>
        <v>18.446505000000002</v>
      </c>
      <c r="CD35" s="5"/>
      <c r="CE35" s="36">
        <f t="shared" si="86"/>
        <v>1008809.67</v>
      </c>
      <c r="CF35" s="36">
        <f t="shared" si="45"/>
        <v>30712.871475</v>
      </c>
      <c r="CG35" s="5">
        <f t="shared" si="46"/>
        <v>1039522.5414750001</v>
      </c>
      <c r="CH35" s="36">
        <f t="shared" si="47"/>
        <v>31841.302845000002</v>
      </c>
      <c r="CI35" s="5"/>
      <c r="CJ35" s="36">
        <f t="shared" si="87"/>
        <v>191.268</v>
      </c>
      <c r="CK35" s="36">
        <f t="shared" si="48"/>
        <v>5.82309</v>
      </c>
      <c r="CL35" s="5">
        <f t="shared" si="49"/>
        <v>197.09109</v>
      </c>
      <c r="CM35" s="36">
        <f t="shared" si="50"/>
        <v>6.037038</v>
      </c>
      <c r="CN35" s="5"/>
      <c r="CO35" s="36">
        <f t="shared" si="88"/>
        <v>77946.264</v>
      </c>
      <c r="CP35" s="36">
        <f t="shared" si="51"/>
        <v>2373.0478200000002</v>
      </c>
      <c r="CQ35" s="5">
        <f t="shared" si="52"/>
        <v>80319.31182</v>
      </c>
      <c r="CR35" s="36">
        <f t="shared" si="53"/>
        <v>2460.236724</v>
      </c>
      <c r="CS35" s="5"/>
      <c r="CT35" s="5">
        <f t="shared" si="89"/>
        <v>99690.09599999999</v>
      </c>
      <c r="CU35" s="36">
        <f t="shared" si="54"/>
        <v>3035.0314799999996</v>
      </c>
      <c r="CV35" s="36">
        <f t="shared" si="55"/>
        <v>102725.12748</v>
      </c>
      <c r="CW35" s="36">
        <f t="shared" si="56"/>
        <v>3146.542536</v>
      </c>
      <c r="CX35" s="5"/>
      <c r="CY35" s="5">
        <f t="shared" si="90"/>
        <v>1313.829</v>
      </c>
      <c r="CZ35" s="36">
        <f t="shared" si="57"/>
        <v>39.9990825</v>
      </c>
      <c r="DA35" s="36">
        <f t="shared" si="58"/>
        <v>1353.8280825</v>
      </c>
      <c r="DB35" s="36">
        <f t="shared" si="59"/>
        <v>41.4687015</v>
      </c>
      <c r="DC35" s="5"/>
      <c r="DD35" s="5">
        <f t="shared" si="91"/>
        <v>1048168.374</v>
      </c>
      <c r="DE35" s="36">
        <f t="shared" si="60"/>
        <v>31911.133994999997</v>
      </c>
      <c r="DF35" s="36">
        <f t="shared" si="61"/>
        <v>1080079.5079949999</v>
      </c>
      <c r="DG35" s="36">
        <f t="shared" si="62"/>
        <v>33083.59110899999</v>
      </c>
      <c r="DH35" s="5"/>
      <c r="DI35" s="36">
        <f t="shared" si="92"/>
        <v>972.279</v>
      </c>
      <c r="DJ35" s="36">
        <f t="shared" si="63"/>
        <v>29.6007075</v>
      </c>
      <c r="DK35" s="5">
        <f t="shared" si="64"/>
        <v>1001.8797075</v>
      </c>
      <c r="DL35" s="36">
        <f t="shared" si="65"/>
        <v>30.6882765</v>
      </c>
      <c r="DM35" s="5"/>
      <c r="DN35" s="5">
        <f t="shared" si="93"/>
        <v>263.37300000000005</v>
      </c>
      <c r="DO35" s="5">
        <f t="shared" si="66"/>
        <v>8.0183025</v>
      </c>
      <c r="DP35" s="5">
        <f t="shared" si="67"/>
        <v>271.39130250000005</v>
      </c>
      <c r="DQ35" s="36">
        <f t="shared" si="68"/>
        <v>8.312905500000001</v>
      </c>
      <c r="DR35" s="5"/>
      <c r="DS35" s="36">
        <f t="shared" si="94"/>
        <v>39977.289000000004</v>
      </c>
      <c r="DT35" s="36">
        <f t="shared" si="69"/>
        <v>1217.0951325</v>
      </c>
      <c r="DU35" s="5">
        <f t="shared" si="70"/>
        <v>41194.3841325</v>
      </c>
      <c r="DV35" s="36">
        <f t="shared" si="71"/>
        <v>1261.8128115</v>
      </c>
      <c r="DW35" s="5"/>
      <c r="DX35" s="36"/>
      <c r="DY35" s="36"/>
      <c r="DZ35" s="5"/>
      <c r="EA35" s="36">
        <f t="shared" si="72"/>
        <v>0</v>
      </c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</row>
    <row r="36" spans="1:146" ht="12.75">
      <c r="A36" s="37">
        <v>11597</v>
      </c>
      <c r="D36" s="3">
        <v>117225</v>
      </c>
      <c r="E36" s="35">
        <f t="shared" si="0"/>
        <v>117225</v>
      </c>
      <c r="F36" s="35">
        <v>239565</v>
      </c>
      <c r="H36" s="36"/>
      <c r="I36" s="36">
        <v>7859</v>
      </c>
      <c r="J36" s="36">
        <f t="shared" si="1"/>
        <v>7859</v>
      </c>
      <c r="K36" s="35">
        <f>'Academic Project '!K36</f>
        <v>16060.341773999997</v>
      </c>
      <c r="M36" s="36"/>
      <c r="N36" s="35">
        <f t="shared" si="2"/>
        <v>109366.2946125</v>
      </c>
      <c r="O36" s="36">
        <f t="shared" si="3"/>
        <v>109366.2946125</v>
      </c>
      <c r="P36" s="36">
        <f t="shared" si="4"/>
        <v>223504.6821825</v>
      </c>
      <c r="R36" s="36"/>
      <c r="S36" s="36">
        <f t="shared" si="5"/>
        <v>27051.2747325</v>
      </c>
      <c r="T36" s="36">
        <f t="shared" si="6"/>
        <v>27051.2747325</v>
      </c>
      <c r="U36" s="36">
        <f t="shared" si="7"/>
        <v>55282.90579049999</v>
      </c>
      <c r="W36" s="36"/>
      <c r="X36" s="36">
        <f t="shared" si="8"/>
        <v>1336.3767225</v>
      </c>
      <c r="Y36" s="36">
        <f t="shared" si="9"/>
        <v>1336.3767225</v>
      </c>
      <c r="Z36" s="36">
        <f t="shared" si="10"/>
        <v>2731.0649565</v>
      </c>
      <c r="AB36" s="36"/>
      <c r="AC36" s="36">
        <f t="shared" si="11"/>
        <v>7878.997034999999</v>
      </c>
      <c r="AD36" s="36">
        <f t="shared" si="12"/>
        <v>7878.997034999999</v>
      </c>
      <c r="AE36" s="36">
        <f t="shared" si="13"/>
        <v>16101.786519</v>
      </c>
      <c r="AG36" s="36"/>
      <c r="AH36" s="36">
        <f t="shared" si="14"/>
        <v>903.8633625</v>
      </c>
      <c r="AI36" s="36">
        <f t="shared" si="15"/>
        <v>903.8633625</v>
      </c>
      <c r="AJ36" s="36">
        <f t="shared" si="16"/>
        <v>1847.1659325</v>
      </c>
      <c r="AL36" s="36"/>
      <c r="AM36" s="36">
        <f t="shared" si="17"/>
        <v>24.265575</v>
      </c>
      <c r="AN36" s="36">
        <f t="shared" si="18"/>
        <v>24.265575</v>
      </c>
      <c r="AO36" s="36">
        <f t="shared" si="19"/>
        <v>49.589954999999996</v>
      </c>
      <c r="AQ36" s="36"/>
      <c r="AR36" s="36">
        <f t="shared" si="20"/>
        <v>1983.517335</v>
      </c>
      <c r="AS36" s="36">
        <f t="shared" si="21"/>
        <v>1983.517335</v>
      </c>
      <c r="AT36" s="36">
        <f t="shared" si="22"/>
        <v>4053.583539</v>
      </c>
      <c r="AV36" s="36"/>
      <c r="AW36" s="36">
        <f t="shared" si="23"/>
        <v>39.7041075</v>
      </c>
      <c r="AX36" s="5">
        <f t="shared" si="24"/>
        <v>39.7041075</v>
      </c>
      <c r="AY36" s="36">
        <f t="shared" si="25"/>
        <v>81.1406655</v>
      </c>
      <c r="AZ36" s="5"/>
      <c r="BA36" s="36"/>
      <c r="BB36" s="36">
        <f t="shared" si="26"/>
        <v>13261.0429575</v>
      </c>
      <c r="BC36" s="5">
        <f t="shared" si="27"/>
        <v>13261.0429575</v>
      </c>
      <c r="BD36" s="36">
        <f t="shared" si="28"/>
        <v>27100.7187555</v>
      </c>
      <c r="BE36" s="5"/>
      <c r="BF36" s="36"/>
      <c r="BG36" s="36">
        <f t="shared" si="29"/>
        <v>17.548582500000002</v>
      </c>
      <c r="BH36" s="5">
        <f t="shared" si="30"/>
        <v>17.548582500000002</v>
      </c>
      <c r="BI36" s="36">
        <f t="shared" si="31"/>
        <v>35.8628805</v>
      </c>
      <c r="BJ36" s="5"/>
      <c r="BK36" s="36"/>
      <c r="BL36" s="36">
        <f t="shared" si="32"/>
        <v>3.680865</v>
      </c>
      <c r="BM36" s="5">
        <f t="shared" si="33"/>
        <v>3.680865</v>
      </c>
      <c r="BN36" s="36">
        <f t="shared" si="34"/>
        <v>7.522340999999999</v>
      </c>
      <c r="BO36" s="5"/>
      <c r="BP36" s="36"/>
      <c r="BQ36" s="36">
        <f t="shared" si="35"/>
        <v>4.3959375</v>
      </c>
      <c r="BR36" s="5">
        <f t="shared" si="36"/>
        <v>4.3959375</v>
      </c>
      <c r="BS36" s="36">
        <f t="shared" si="37"/>
        <v>8.983687499999998</v>
      </c>
      <c r="BT36" s="5"/>
      <c r="BU36" s="36">
        <f t="shared" si="38"/>
        <v>0</v>
      </c>
      <c r="BV36" s="36">
        <f t="shared" si="39"/>
        <v>21679.96662</v>
      </c>
      <c r="BW36" s="5">
        <f t="shared" si="40"/>
        <v>21679.96662</v>
      </c>
      <c r="BX36" s="36">
        <f t="shared" si="41"/>
        <v>44305.917708</v>
      </c>
      <c r="BY36" s="5"/>
      <c r="BZ36" s="36"/>
      <c r="CA36" s="36">
        <f t="shared" si="42"/>
        <v>9.026325</v>
      </c>
      <c r="CB36" s="5">
        <f t="shared" si="43"/>
        <v>9.026325</v>
      </c>
      <c r="CC36" s="36">
        <f t="shared" si="44"/>
        <v>18.446505000000002</v>
      </c>
      <c r="CD36" s="5"/>
      <c r="CE36" s="36"/>
      <c r="CF36" s="36">
        <f t="shared" si="45"/>
        <v>15580.726425</v>
      </c>
      <c r="CG36" s="5">
        <f t="shared" si="46"/>
        <v>15580.726425</v>
      </c>
      <c r="CH36" s="36">
        <f t="shared" si="47"/>
        <v>31841.302845000002</v>
      </c>
      <c r="CI36" s="5"/>
      <c r="CJ36" s="36"/>
      <c r="CK36" s="36">
        <f t="shared" si="48"/>
        <v>2.9540699999999998</v>
      </c>
      <c r="CL36" s="5">
        <f t="shared" si="49"/>
        <v>2.9540699999999998</v>
      </c>
      <c r="CM36" s="36">
        <f t="shared" si="50"/>
        <v>6.037038</v>
      </c>
      <c r="CN36" s="5"/>
      <c r="CO36" s="36"/>
      <c r="CP36" s="36">
        <f t="shared" si="51"/>
        <v>1203.85386</v>
      </c>
      <c r="CQ36" s="5">
        <f t="shared" si="52"/>
        <v>1203.85386</v>
      </c>
      <c r="CR36" s="36">
        <f t="shared" si="53"/>
        <v>2460.236724</v>
      </c>
      <c r="CS36" s="5"/>
      <c r="CT36" s="5"/>
      <c r="CU36" s="36">
        <f t="shared" si="54"/>
        <v>1539.68004</v>
      </c>
      <c r="CV36" s="36">
        <f t="shared" si="55"/>
        <v>1539.68004</v>
      </c>
      <c r="CW36" s="36">
        <f t="shared" si="56"/>
        <v>3146.542536</v>
      </c>
      <c r="CX36" s="5"/>
      <c r="CY36" s="5"/>
      <c r="CZ36" s="36">
        <f t="shared" si="57"/>
        <v>20.2916475</v>
      </c>
      <c r="DA36" s="36">
        <f t="shared" si="58"/>
        <v>20.2916475</v>
      </c>
      <c r="DB36" s="36">
        <f t="shared" si="59"/>
        <v>41.4687015</v>
      </c>
      <c r="DC36" s="5"/>
      <c r="DD36" s="5"/>
      <c r="DE36" s="36">
        <f t="shared" si="60"/>
        <v>16188.608384999998</v>
      </c>
      <c r="DF36" s="36">
        <f t="shared" si="61"/>
        <v>16188.608384999998</v>
      </c>
      <c r="DG36" s="36">
        <f t="shared" si="62"/>
        <v>33083.59110899999</v>
      </c>
      <c r="DH36" s="5"/>
      <c r="DI36" s="36"/>
      <c r="DJ36" s="36">
        <f t="shared" si="63"/>
        <v>15.016522499999999</v>
      </c>
      <c r="DK36" s="5">
        <f t="shared" si="64"/>
        <v>15.016522499999999</v>
      </c>
      <c r="DL36" s="36">
        <f t="shared" si="65"/>
        <v>30.6882765</v>
      </c>
      <c r="DM36" s="5"/>
      <c r="DN36" s="5"/>
      <c r="DO36" s="5">
        <f t="shared" si="66"/>
        <v>4.0677075</v>
      </c>
      <c r="DP36" s="5">
        <f t="shared" si="67"/>
        <v>4.0677075</v>
      </c>
      <c r="DQ36" s="36">
        <f t="shared" si="68"/>
        <v>8.312905500000001</v>
      </c>
      <c r="DR36" s="5"/>
      <c r="DS36" s="36"/>
      <c r="DT36" s="36">
        <f t="shared" si="69"/>
        <v>617.4357975</v>
      </c>
      <c r="DU36" s="5">
        <f t="shared" si="70"/>
        <v>617.4357975</v>
      </c>
      <c r="DV36" s="36">
        <f t="shared" si="71"/>
        <v>1261.8128115</v>
      </c>
      <c r="DW36" s="5"/>
      <c r="DX36" s="36"/>
      <c r="DY36" s="36"/>
      <c r="DZ36" s="5"/>
      <c r="EA36" s="36">
        <f t="shared" si="72"/>
        <v>0</v>
      </c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</row>
    <row r="37" spans="1:146" ht="12.75">
      <c r="A37" s="37">
        <v>11780</v>
      </c>
      <c r="C37" s="3">
        <v>7815000</v>
      </c>
      <c r="D37" s="3">
        <v>117225</v>
      </c>
      <c r="E37" s="35">
        <f t="shared" si="0"/>
        <v>7932225</v>
      </c>
      <c r="F37" s="35">
        <f>239565-12</f>
        <v>239553</v>
      </c>
      <c r="H37" s="36">
        <v>523914</v>
      </c>
      <c r="I37" s="36">
        <v>7859</v>
      </c>
      <c r="J37" s="36">
        <f t="shared" si="1"/>
        <v>531773</v>
      </c>
      <c r="K37" s="35">
        <f>'Academic Project '!K37</f>
        <v>16059.5372988</v>
      </c>
      <c r="M37" s="36">
        <f t="shared" si="73"/>
        <v>7291086.307499998</v>
      </c>
      <c r="N37" s="35">
        <f t="shared" si="2"/>
        <v>109366.2946125</v>
      </c>
      <c r="O37" s="36">
        <f t="shared" si="3"/>
        <v>7400452.602112498</v>
      </c>
      <c r="P37" s="36">
        <f t="shared" si="4"/>
        <v>223493.48665650003</v>
      </c>
      <c r="R37" s="36">
        <f t="shared" si="74"/>
        <v>1803418.3154999998</v>
      </c>
      <c r="S37" s="36">
        <f t="shared" si="5"/>
        <v>27051.2747325</v>
      </c>
      <c r="T37" s="36">
        <f t="shared" si="6"/>
        <v>1830469.5902324999</v>
      </c>
      <c r="U37" s="36">
        <f t="shared" si="7"/>
        <v>55280.1366261</v>
      </c>
      <c r="W37" s="36">
        <f t="shared" si="75"/>
        <v>89091.7815</v>
      </c>
      <c r="X37" s="36">
        <f t="shared" si="8"/>
        <v>1336.3767225</v>
      </c>
      <c r="Y37" s="36">
        <f t="shared" si="9"/>
        <v>90428.1582225</v>
      </c>
      <c r="Z37" s="36">
        <f t="shared" si="10"/>
        <v>2730.9281553</v>
      </c>
      <c r="AB37" s="36">
        <f t="shared" si="76"/>
        <v>525266.4689999999</v>
      </c>
      <c r="AC37" s="36">
        <f t="shared" si="11"/>
        <v>7878.997034999999</v>
      </c>
      <c r="AD37" s="36">
        <f t="shared" si="12"/>
        <v>533145.4660349999</v>
      </c>
      <c r="AE37" s="36">
        <f t="shared" si="13"/>
        <v>16100.9799678</v>
      </c>
      <c r="AG37" s="36">
        <f t="shared" si="77"/>
        <v>60257.5575</v>
      </c>
      <c r="AH37" s="36">
        <f t="shared" si="14"/>
        <v>903.8633625</v>
      </c>
      <c r="AI37" s="36">
        <f t="shared" si="15"/>
        <v>61161.4208625</v>
      </c>
      <c r="AJ37" s="36">
        <f t="shared" si="16"/>
        <v>1847.0734065000001</v>
      </c>
      <c r="AL37" s="36">
        <f t="shared" si="78"/>
        <v>1617.705</v>
      </c>
      <c r="AM37" s="36">
        <f t="shared" si="17"/>
        <v>24.265575</v>
      </c>
      <c r="AN37" s="36">
        <f t="shared" si="18"/>
        <v>1641.9705749999998</v>
      </c>
      <c r="AO37" s="36">
        <f t="shared" si="19"/>
        <v>49.587471</v>
      </c>
      <c r="AQ37" s="36">
        <f t="shared" si="79"/>
        <v>132234.489</v>
      </c>
      <c r="AR37" s="36">
        <f t="shared" si="20"/>
        <v>1983.517335</v>
      </c>
      <c r="AS37" s="36">
        <f t="shared" si="21"/>
        <v>134218.006335</v>
      </c>
      <c r="AT37" s="36">
        <f t="shared" si="22"/>
        <v>4053.3804918</v>
      </c>
      <c r="AV37" s="36">
        <f t="shared" si="80"/>
        <v>2646.9405</v>
      </c>
      <c r="AW37" s="36">
        <f t="shared" si="23"/>
        <v>39.7041075</v>
      </c>
      <c r="AX37" s="5">
        <f t="shared" si="24"/>
        <v>2686.6446075000003</v>
      </c>
      <c r="AY37" s="36">
        <f t="shared" si="25"/>
        <v>81.1366011</v>
      </c>
      <c r="AZ37" s="5"/>
      <c r="BA37" s="36">
        <f t="shared" si="81"/>
        <v>884069.5305</v>
      </c>
      <c r="BB37" s="36">
        <f t="shared" si="26"/>
        <v>13261.0429575</v>
      </c>
      <c r="BC37" s="5">
        <f t="shared" si="27"/>
        <v>897330.5734575</v>
      </c>
      <c r="BD37" s="36">
        <f t="shared" si="28"/>
        <v>27099.3612591</v>
      </c>
      <c r="BE37" s="5"/>
      <c r="BF37" s="36">
        <f t="shared" si="82"/>
        <v>1169.9055</v>
      </c>
      <c r="BG37" s="36">
        <f t="shared" si="29"/>
        <v>17.548582500000002</v>
      </c>
      <c r="BH37" s="5">
        <f t="shared" si="30"/>
        <v>1187.4540825000001</v>
      </c>
      <c r="BI37" s="36">
        <f t="shared" si="31"/>
        <v>35.8610841</v>
      </c>
      <c r="BJ37" s="5"/>
      <c r="BK37" s="36">
        <f t="shared" si="83"/>
        <v>245.391</v>
      </c>
      <c r="BL37" s="36">
        <f t="shared" si="32"/>
        <v>3.680865</v>
      </c>
      <c r="BM37" s="5">
        <f t="shared" si="33"/>
        <v>249.071865</v>
      </c>
      <c r="BN37" s="36">
        <f t="shared" si="34"/>
        <v>7.521964199999999</v>
      </c>
      <c r="BO37" s="5"/>
      <c r="BP37" s="36">
        <f t="shared" si="84"/>
        <v>293.0625</v>
      </c>
      <c r="BQ37" s="36">
        <f t="shared" si="35"/>
        <v>4.3959375</v>
      </c>
      <c r="BR37" s="5">
        <f t="shared" si="36"/>
        <v>297.4584375</v>
      </c>
      <c r="BS37" s="36">
        <f t="shared" si="37"/>
        <v>8.9832375</v>
      </c>
      <c r="BT37" s="5"/>
      <c r="BU37" s="36">
        <f t="shared" si="38"/>
        <v>1445331.108</v>
      </c>
      <c r="BV37" s="36">
        <f t="shared" si="39"/>
        <v>21679.96662</v>
      </c>
      <c r="BW37" s="5">
        <f t="shared" si="40"/>
        <v>1467011.07462</v>
      </c>
      <c r="BX37" s="36">
        <f t="shared" si="41"/>
        <v>44303.6983896</v>
      </c>
      <c r="BY37" s="5"/>
      <c r="BZ37" s="36">
        <f t="shared" si="85"/>
        <v>601.755</v>
      </c>
      <c r="CA37" s="36">
        <f t="shared" si="42"/>
        <v>9.026325</v>
      </c>
      <c r="CB37" s="5">
        <f t="shared" si="43"/>
        <v>610.781325</v>
      </c>
      <c r="CC37" s="36">
        <f t="shared" si="44"/>
        <v>18.445581</v>
      </c>
      <c r="CD37" s="5"/>
      <c r="CE37" s="36">
        <f t="shared" si="86"/>
        <v>1038715.095</v>
      </c>
      <c r="CF37" s="36">
        <f t="shared" si="45"/>
        <v>15580.726425</v>
      </c>
      <c r="CG37" s="5">
        <f t="shared" si="46"/>
        <v>1054295.821425</v>
      </c>
      <c r="CH37" s="36">
        <f t="shared" si="47"/>
        <v>31839.707889</v>
      </c>
      <c r="CI37" s="5"/>
      <c r="CJ37" s="36">
        <f t="shared" si="87"/>
        <v>196.938</v>
      </c>
      <c r="CK37" s="36">
        <f t="shared" si="48"/>
        <v>2.9540699999999998</v>
      </c>
      <c r="CL37" s="5">
        <f t="shared" si="49"/>
        <v>199.89207</v>
      </c>
      <c r="CM37" s="36">
        <f t="shared" si="50"/>
        <v>6.0367356</v>
      </c>
      <c r="CN37" s="5"/>
      <c r="CO37" s="36">
        <f t="shared" si="88"/>
        <v>80256.924</v>
      </c>
      <c r="CP37" s="36">
        <f t="shared" si="51"/>
        <v>1203.85386</v>
      </c>
      <c r="CQ37" s="5">
        <f t="shared" si="52"/>
        <v>81460.77786</v>
      </c>
      <c r="CR37" s="36">
        <f t="shared" si="53"/>
        <v>2460.1134888</v>
      </c>
      <c r="CS37" s="5"/>
      <c r="CT37" s="5">
        <f t="shared" si="89"/>
        <v>102645.336</v>
      </c>
      <c r="CU37" s="36">
        <f t="shared" si="54"/>
        <v>1539.68004</v>
      </c>
      <c r="CV37" s="36">
        <f t="shared" si="55"/>
        <v>104185.01604</v>
      </c>
      <c r="CW37" s="36">
        <f t="shared" si="56"/>
        <v>3146.3849232</v>
      </c>
      <c r="CX37" s="5"/>
      <c r="CY37" s="5">
        <f t="shared" si="90"/>
        <v>1352.7765</v>
      </c>
      <c r="CZ37" s="36">
        <f t="shared" si="57"/>
        <v>20.2916475</v>
      </c>
      <c r="DA37" s="36">
        <f t="shared" si="58"/>
        <v>1373.0681475</v>
      </c>
      <c r="DB37" s="36">
        <f t="shared" si="59"/>
        <v>41.4666243</v>
      </c>
      <c r="DC37" s="5"/>
      <c r="DD37" s="5">
        <f t="shared" si="91"/>
        <v>1079240.559</v>
      </c>
      <c r="DE37" s="36">
        <f t="shared" si="60"/>
        <v>16188.608384999998</v>
      </c>
      <c r="DF37" s="36">
        <f t="shared" si="61"/>
        <v>1095429.1673849998</v>
      </c>
      <c r="DG37" s="36">
        <f t="shared" si="62"/>
        <v>33081.933925799996</v>
      </c>
      <c r="DH37" s="5"/>
      <c r="DI37" s="36">
        <f t="shared" si="92"/>
        <v>1001.1015</v>
      </c>
      <c r="DJ37" s="36">
        <f t="shared" si="63"/>
        <v>15.016522499999999</v>
      </c>
      <c r="DK37" s="5">
        <f t="shared" si="64"/>
        <v>1016.1180224999999</v>
      </c>
      <c r="DL37" s="36">
        <f t="shared" si="65"/>
        <v>30.6867393</v>
      </c>
      <c r="DM37" s="5"/>
      <c r="DN37" s="5">
        <f t="shared" si="93"/>
        <v>271.18050000000005</v>
      </c>
      <c r="DO37" s="5">
        <f t="shared" si="66"/>
        <v>4.0677075</v>
      </c>
      <c r="DP37" s="5">
        <f t="shared" si="67"/>
        <v>275.24820750000003</v>
      </c>
      <c r="DQ37" s="36">
        <f t="shared" si="68"/>
        <v>8.3124891</v>
      </c>
      <c r="DR37" s="5"/>
      <c r="DS37" s="36">
        <f t="shared" si="94"/>
        <v>41162.3865</v>
      </c>
      <c r="DT37" s="36">
        <f t="shared" si="69"/>
        <v>617.4357975</v>
      </c>
      <c r="DU37" s="5">
        <f t="shared" si="70"/>
        <v>41779.8222975</v>
      </c>
      <c r="DV37" s="36">
        <f t="shared" si="71"/>
        <v>1261.7496063</v>
      </c>
      <c r="DW37" s="5"/>
      <c r="DX37" s="36"/>
      <c r="DY37" s="36"/>
      <c r="DZ37" s="5"/>
      <c r="EA37" s="36">
        <f t="shared" si="72"/>
        <v>0</v>
      </c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</row>
    <row r="38" spans="2:146" ht="12.75">
      <c r="B38" s="34"/>
      <c r="C38" s="35"/>
      <c r="D38" s="35"/>
      <c r="E38" s="35"/>
      <c r="F38" s="35"/>
      <c r="H38" s="36"/>
      <c r="I38" s="36"/>
      <c r="J38" s="36"/>
      <c r="K38" s="35"/>
      <c r="M38" s="36"/>
      <c r="N38" s="35"/>
      <c r="O38" s="5"/>
      <c r="P38" s="35"/>
      <c r="R38" s="36"/>
      <c r="S38" s="36"/>
      <c r="T38" s="5"/>
      <c r="U38" s="5"/>
      <c r="X38" s="36"/>
      <c r="Y38" s="36"/>
      <c r="AL38" s="36"/>
      <c r="AM38" s="36"/>
      <c r="AN38" s="5"/>
      <c r="AO38" s="5"/>
      <c r="AQ38" s="36"/>
      <c r="AR38" s="36"/>
      <c r="AS38" s="5"/>
      <c r="AT38" s="5"/>
      <c r="AV38" s="36"/>
      <c r="AW38" s="36"/>
      <c r="AX38" s="5"/>
      <c r="AY38" s="5"/>
      <c r="AZ38" s="5"/>
      <c r="BA38" s="36"/>
      <c r="BB38" s="36"/>
      <c r="BC38" s="5"/>
      <c r="BD38" s="5"/>
      <c r="BE38" s="5"/>
      <c r="BF38" s="36"/>
      <c r="BG38" s="36"/>
      <c r="BH38" s="5"/>
      <c r="BI38" s="5"/>
      <c r="BJ38" s="5"/>
      <c r="BK38" s="36"/>
      <c r="BL38" s="36"/>
      <c r="BM38" s="5"/>
      <c r="BN38" s="5"/>
      <c r="BO38" s="5"/>
      <c r="BP38" s="36"/>
      <c r="BQ38" s="36"/>
      <c r="BR38" s="5"/>
      <c r="BS38" s="5"/>
      <c r="BT38" s="5"/>
      <c r="BU38" s="36"/>
      <c r="BV38" s="36"/>
      <c r="BW38" s="5"/>
      <c r="BX38" s="5"/>
      <c r="BY38" s="5"/>
      <c r="BZ38" s="36"/>
      <c r="CA38" s="36"/>
      <c r="CB38" s="5"/>
      <c r="CC38" s="5"/>
      <c r="CD38" s="5"/>
      <c r="CE38" s="36"/>
      <c r="CF38" s="36"/>
      <c r="CG38" s="5"/>
      <c r="CH38" s="5"/>
      <c r="CI38" s="5"/>
      <c r="CJ38" s="36"/>
      <c r="CK38" s="36"/>
      <c r="CL38" s="5"/>
      <c r="CM38" s="5"/>
      <c r="CN38" s="5"/>
      <c r="CO38" s="36"/>
      <c r="CP38" s="36"/>
      <c r="CQ38" s="5"/>
      <c r="CR38" s="5"/>
      <c r="CS38" s="5"/>
      <c r="CT38" s="5"/>
      <c r="CU38" s="36"/>
      <c r="CV38" s="36"/>
      <c r="CW38" s="5"/>
      <c r="CX38" s="5"/>
      <c r="CY38" s="5"/>
      <c r="CZ38" s="36"/>
      <c r="DA38" s="36"/>
      <c r="DB38" s="5"/>
      <c r="DC38" s="5"/>
      <c r="DD38" s="5"/>
      <c r="DE38" s="36"/>
      <c r="DF38" s="36"/>
      <c r="DG38" s="5"/>
      <c r="DH38" s="5"/>
      <c r="DI38" s="36"/>
      <c r="DJ38" s="36"/>
      <c r="DK38" s="5"/>
      <c r="DL38" s="5"/>
      <c r="DM38" s="5"/>
      <c r="DN38" s="5"/>
      <c r="DO38" s="5"/>
      <c r="DP38" s="5"/>
      <c r="DQ38" s="5"/>
      <c r="DR38" s="5"/>
      <c r="DS38" s="36"/>
      <c r="DT38" s="36"/>
      <c r="DU38" s="5"/>
      <c r="DV38" s="5"/>
      <c r="DW38" s="5"/>
      <c r="DX38" s="36"/>
      <c r="DY38" s="36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</row>
    <row r="39" spans="1:146" ht="13.5" thickBot="1">
      <c r="A39" s="39" t="s">
        <v>13</v>
      </c>
      <c r="C39" s="40">
        <f>SUM(C8:C38)</f>
        <v>96005000</v>
      </c>
      <c r="D39" s="40">
        <f>SUM(D8:D38)</f>
        <v>24746284</v>
      </c>
      <c r="E39" s="40">
        <f>SUM(E8:E38)</f>
        <v>120751284</v>
      </c>
      <c r="F39" s="40">
        <f>SUM(F8:F38)</f>
        <v>7186938</v>
      </c>
      <c r="H39" s="40">
        <f>SUM(H8:H38)</f>
        <v>6436137</v>
      </c>
      <c r="I39" s="40">
        <f>SUM(I8:I38)</f>
        <v>1658978</v>
      </c>
      <c r="J39" s="40">
        <f>SUM(J8:J38)</f>
        <v>8095115</v>
      </c>
      <c r="K39" s="40">
        <f>SUM(K8:K38)</f>
        <v>481809.44874479965</v>
      </c>
      <c r="M39" s="40">
        <f>SUM(M8:M38)</f>
        <v>89568872.8025</v>
      </c>
      <c r="N39" s="40">
        <f>SUM(N8:N38)</f>
        <v>23087305.493782014</v>
      </c>
      <c r="O39" s="40">
        <f>SUM(O8:O38)</f>
        <v>112656178.29628198</v>
      </c>
      <c r="P39" s="40">
        <f>SUM(P8:P38)</f>
        <v>6705129.269949002</v>
      </c>
      <c r="R39" s="40">
        <f>SUM(R8:R38)</f>
        <v>22154469.018499997</v>
      </c>
      <c r="S39" s="40">
        <f>SUM(S8:S38)</f>
        <v>5710544.0570908</v>
      </c>
      <c r="T39" s="40">
        <f>SUM(T8:T38)</f>
        <v>27865013.0755908</v>
      </c>
      <c r="U39" s="40">
        <f>SUM(U8:U38)</f>
        <v>1658484.4045505987</v>
      </c>
      <c r="W39" s="40">
        <f>SUM(W8:W38)</f>
        <v>1094466.6005</v>
      </c>
      <c r="X39" s="40">
        <f>SUM(X8:X38)</f>
        <v>282110.1122284</v>
      </c>
      <c r="Y39" s="40">
        <f>SUM(Y8:Y38)</f>
        <v>1376576.7127284</v>
      </c>
      <c r="Z39" s="40">
        <f>SUM(Z8:Z38)</f>
        <v>81931.81189380001</v>
      </c>
      <c r="AB39" s="40">
        <f>SUM(AB8:AB38)</f>
        <v>6452745.662999999</v>
      </c>
      <c r="AC39" s="40">
        <f>SUM(AC8:AC38)</f>
        <v>1663262.0879784</v>
      </c>
      <c r="AD39" s="40">
        <f>SUM(AD8:AD38)</f>
        <v>8116007.750978398</v>
      </c>
      <c r="AE39" s="40">
        <f>SUM(AE8:AE38)</f>
        <v>483052.78901880013</v>
      </c>
      <c r="AG39" s="40">
        <f>SUM(AG8:AG38)</f>
        <v>740246.5525</v>
      </c>
      <c r="AH39" s="40">
        <f>SUM(AH8:AH38)</f>
        <v>190806.222782</v>
      </c>
      <c r="AI39" s="40">
        <f>SUM(AI8:AI38)</f>
        <v>931052.7752819998</v>
      </c>
      <c r="AJ39" s="40">
        <f>SUM(AJ8:AJ38)</f>
        <v>55414.885449</v>
      </c>
      <c r="AL39" s="40">
        <f>SUM(AL8:AL38)</f>
        <v>19873.034999999996</v>
      </c>
      <c r="AM39" s="40">
        <f>SUM(AM8:AM38)</f>
        <v>5122.480788000003</v>
      </c>
      <c r="AN39" s="40">
        <f>SUM(AN8:AN38)</f>
        <v>24995.515788</v>
      </c>
      <c r="AO39" s="40">
        <f>SUM(AO8:AO38)</f>
        <v>1487.6961659999995</v>
      </c>
      <c r="AQ39" s="40">
        <f>SUM(AQ8:AQ38)</f>
        <v>1624462.2030000002</v>
      </c>
      <c r="AR39" s="40">
        <f>SUM(AR8:AR38)</f>
        <v>418721.9730504001</v>
      </c>
      <c r="AS39" s="40">
        <f>SUM(AS8:AS38)</f>
        <v>2043184.1760504</v>
      </c>
      <c r="AT39" s="40">
        <f>SUM(AT8:AT38)</f>
        <v>121607.30312279999</v>
      </c>
      <c r="AV39" s="40">
        <f>SUM(AV8:AV38)</f>
        <v>32516.8935</v>
      </c>
      <c r="AW39" s="40">
        <f>SUM(AW8:AW38)</f>
        <v>8381.5663908</v>
      </c>
      <c r="AX39" s="40">
        <f>SUM(AX8:AX38)</f>
        <v>40898.459890800004</v>
      </c>
      <c r="AY39" s="40">
        <f>SUM(AY8:AY38)</f>
        <v>2434.2159006000006</v>
      </c>
      <c r="AZ39" s="5"/>
      <c r="BA39" s="40">
        <f>SUM(BA8:BA38)</f>
        <v>10860536.8235</v>
      </c>
      <c r="BB39" s="40">
        <f>SUM(BB8:BB38)</f>
        <v>2799415.9536148007</v>
      </c>
      <c r="BC39" s="40">
        <f>SUM(BC8:BC38)</f>
        <v>13659952.777114797</v>
      </c>
      <c r="BD39" s="40">
        <f>SUM(BD8:BD38)</f>
        <v>813020.2051686002</v>
      </c>
      <c r="BE39" s="5"/>
      <c r="BF39" s="40">
        <f>SUM(BF8:BF38)</f>
        <v>14371.9485</v>
      </c>
      <c r="BG39" s="40">
        <f>SUM(BG8:BG38)</f>
        <v>3704.5187148000005</v>
      </c>
      <c r="BH39" s="40">
        <f>SUM(BH8:BH38)</f>
        <v>18076.4672148</v>
      </c>
      <c r="BI39" s="40">
        <f>SUM(BI8:BI38)</f>
        <v>1075.8846185999996</v>
      </c>
      <c r="BJ39" s="5"/>
      <c r="BK39" s="40">
        <f>SUM(BK8:BK38)</f>
        <v>3014.557</v>
      </c>
      <c r="BL39" s="40">
        <f>SUM(BL8:BL38)</f>
        <v>777.0333175999999</v>
      </c>
      <c r="BM39" s="40">
        <f>SUM(BM8:BM38)</f>
        <v>3791.5903175999997</v>
      </c>
      <c r="BN39" s="40">
        <f>SUM(BN8:BN38)</f>
        <v>225.6698532000001</v>
      </c>
      <c r="BO39" s="5"/>
      <c r="BP39" s="40">
        <f>SUM(BP8:BP38)</f>
        <v>3600.1874999999995</v>
      </c>
      <c r="BQ39" s="40">
        <f>SUM(BQ8:BQ38)</f>
        <v>927.9856500000001</v>
      </c>
      <c r="BR39" s="40">
        <f>SUM(BR8:BR38)</f>
        <v>4528.1731500000005</v>
      </c>
      <c r="BS39" s="40">
        <f>SUM(BS8:BS38)</f>
        <v>269.510175</v>
      </c>
      <c r="BT39" s="5"/>
      <c r="BU39" s="40">
        <f>SUM(BU8:BU38)</f>
        <v>17755471.916</v>
      </c>
      <c r="BV39" s="40">
        <f>SUM(BV8:BV38)</f>
        <v>4576656.9510688</v>
      </c>
      <c r="BW39" s="40">
        <f>SUM(BW8:BW38)</f>
        <v>22332128.8670688</v>
      </c>
      <c r="BX39" s="40">
        <f>SUM(BX8:BX38)</f>
        <v>1329175.3119216003</v>
      </c>
      <c r="BY39" s="5"/>
      <c r="BZ39" s="40">
        <f>SUM(BZ8:BZ38)</f>
        <v>7392.385000000001</v>
      </c>
      <c r="CA39" s="40">
        <f>SUM(CA8:CA38)</f>
        <v>1905.4638679999998</v>
      </c>
      <c r="CB39" s="40">
        <f>SUM(CB8:CB38)</f>
        <v>9297.848868000001</v>
      </c>
      <c r="CC39" s="40">
        <f>SUM(CC8:CC38)</f>
        <v>553.394226</v>
      </c>
      <c r="CD39" s="5"/>
      <c r="CE39" s="40">
        <f>SUM(CE8:CE38)</f>
        <v>12760312.565</v>
      </c>
      <c r="CF39" s="40">
        <f>SUM(CF8:CF38)</f>
        <v>3289102.8452919987</v>
      </c>
      <c r="CG39" s="40">
        <f>SUM(CG8:CG38)</f>
        <v>16049415.410292003</v>
      </c>
      <c r="CH39" s="40">
        <f>SUM(CH8:CH38)</f>
        <v>955237.4903940007</v>
      </c>
      <c r="CI39" s="5"/>
      <c r="CJ39" s="40">
        <f>SUM(CJ8:CJ38)</f>
        <v>2419.326</v>
      </c>
      <c r="CK39" s="40">
        <f>SUM(CK8:CK38)</f>
        <v>623.6063568000001</v>
      </c>
      <c r="CL39" s="40">
        <f>SUM(CL8:CL38)</f>
        <v>3042.932356799999</v>
      </c>
      <c r="CM39" s="40">
        <f>SUM(CM8:CM38)</f>
        <v>181.1108375999999</v>
      </c>
      <c r="CN39" s="5"/>
      <c r="CO39" s="40">
        <f>SUM(CO8:CO38)</f>
        <v>985932.9480000001</v>
      </c>
      <c r="CP39" s="40">
        <f>SUM(CP8:CP38)</f>
        <v>254134.43816639995</v>
      </c>
      <c r="CQ39" s="40">
        <f>SUM(CQ8:CQ38)</f>
        <v>1240067.3861663998</v>
      </c>
      <c r="CR39" s="40">
        <f>SUM(CR8:CR38)</f>
        <v>73806.97848480001</v>
      </c>
      <c r="CS39" s="5"/>
      <c r="CT39" s="40">
        <f>SUM(CT8:CT38)</f>
        <v>1260968.0719999997</v>
      </c>
      <c r="CU39" s="40">
        <f>SUM(CU8:CU38)</f>
        <v>325027.5925696</v>
      </c>
      <c r="CV39" s="40">
        <f>SUM(CV8:CV38)</f>
        <v>1585995.6645695998</v>
      </c>
      <c r="CW39" s="40">
        <f>SUM(CW8:CW38)</f>
        <v>94396.11846719997</v>
      </c>
      <c r="CX39" s="5"/>
      <c r="CY39" s="40">
        <f>SUM(CY8:CY38)</f>
        <v>16618.4655</v>
      </c>
      <c r="CZ39" s="40">
        <f>SUM(CZ8:CZ38)</f>
        <v>4283.581760400001</v>
      </c>
      <c r="DA39" s="40">
        <f>SUM(DA8:DA38)</f>
        <v>20902.047260399995</v>
      </c>
      <c r="DB39" s="40">
        <f>SUM(DB8:DB38)</f>
        <v>1244.0589677999992</v>
      </c>
      <c r="DC39" s="5"/>
      <c r="DD39" s="40">
        <f>SUM(DD8:DD38)</f>
        <v>13258156.093</v>
      </c>
      <c r="DE39" s="40">
        <f>SUM(DE8:DE38)</f>
        <v>3417427.1756023983</v>
      </c>
      <c r="DF39" s="40">
        <f>SUM(DF8:DF38)</f>
        <v>16675583.268602397</v>
      </c>
      <c r="DG39" s="40">
        <f>SUM(DG8:DG38)</f>
        <v>992506.0760868002</v>
      </c>
      <c r="DH39" s="5"/>
      <c r="DI39" s="40">
        <f>SUM(DI8:DI38)</f>
        <v>12298.240500000002</v>
      </c>
      <c r="DJ39" s="40">
        <f>SUM(DJ8:DJ38)</f>
        <v>3169.9989804000006</v>
      </c>
      <c r="DK39" s="40">
        <f>SUM(DK8:DK38)</f>
        <v>15468.2394804</v>
      </c>
      <c r="DL39" s="40">
        <f>SUM(DL8:DL38)</f>
        <v>920.6467578000006</v>
      </c>
      <c r="DM39" s="5"/>
      <c r="DN39" s="40">
        <f>SUM(DN8:DN38)</f>
        <v>3331.3735000000006</v>
      </c>
      <c r="DO39" s="40">
        <f>SUM(DO8:DO38)</f>
        <v>858.6960548000001</v>
      </c>
      <c r="DP39" s="40">
        <f>SUM(DP8:DP38)</f>
        <v>4190.0695548</v>
      </c>
      <c r="DQ39" s="40">
        <f>SUM(DQ8:DQ38)</f>
        <v>249.3867486</v>
      </c>
      <c r="DR39" s="5"/>
      <c r="DS39" s="40">
        <f>SUM(DS8:DS38)</f>
        <v>505667.9355</v>
      </c>
      <c r="DT39" s="40">
        <f>SUM(DT8:DT38)</f>
        <v>130341.15245640001</v>
      </c>
      <c r="DU39" s="40">
        <f>SUM(DU8:DU38)</f>
        <v>636009.0879564</v>
      </c>
      <c r="DV39" s="40">
        <f>SUM(DV8:DV38)</f>
        <v>37854.3211398</v>
      </c>
      <c r="DW39" s="5"/>
      <c r="DX39" s="40">
        <f>SUM(DX8:DX38)</f>
        <v>0</v>
      </c>
      <c r="DY39" s="40">
        <f>SUM(DY8:DY38)</f>
        <v>0</v>
      </c>
      <c r="DZ39" s="40">
        <f>SUM(DZ8:DZ38)</f>
        <v>0</v>
      </c>
      <c r="EA39" s="40">
        <f>SUM(EA8:EA38)</f>
        <v>0</v>
      </c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</row>
    <row r="40" spans="18:146" ht="13.5" thickTop="1">
      <c r="R40" s="5"/>
      <c r="S40" s="5"/>
      <c r="T40" s="5"/>
      <c r="U40" s="5"/>
      <c r="AL40" s="5"/>
      <c r="AM40" s="5"/>
      <c r="AN40" s="5"/>
      <c r="AO40" s="5"/>
      <c r="AQ40" s="5"/>
      <c r="AR40" s="5"/>
      <c r="AS40" s="5"/>
      <c r="AT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</row>
    <row r="41" spans="14:146" ht="12.75">
      <c r="N41" s="5"/>
      <c r="R41" s="5"/>
      <c r="S41" s="5"/>
      <c r="T41" s="5"/>
      <c r="U41" s="5"/>
      <c r="AL41" s="5"/>
      <c r="AM41" s="5"/>
      <c r="AN41" s="5"/>
      <c r="AO41" s="5"/>
      <c r="AQ41" s="5"/>
      <c r="AR41" s="5"/>
      <c r="AS41" s="5"/>
      <c r="AT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</row>
    <row r="42" spans="18:146" ht="12.75">
      <c r="R42" s="5"/>
      <c r="S42" s="5"/>
      <c r="T42" s="5"/>
      <c r="U42" s="5"/>
      <c r="AL42" s="5"/>
      <c r="AM42" s="5"/>
      <c r="AN42" s="5"/>
      <c r="AO42" s="5"/>
      <c r="AQ42" s="5"/>
      <c r="AR42" s="5"/>
      <c r="AS42" s="5"/>
      <c r="AT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</row>
    <row r="43" spans="18:146" ht="12.75">
      <c r="R43" s="5"/>
      <c r="S43" s="5"/>
      <c r="T43" s="5"/>
      <c r="U43" s="5"/>
      <c r="AL43" s="5"/>
      <c r="AM43" s="5"/>
      <c r="AN43" s="5"/>
      <c r="AO43" s="5"/>
      <c r="AQ43" s="5"/>
      <c r="AR43" s="5"/>
      <c r="AS43" s="5"/>
      <c r="AT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</row>
    <row r="44" spans="18:146" ht="12.75">
      <c r="R44" s="5"/>
      <c r="S44" s="5"/>
      <c r="T44" s="5"/>
      <c r="U44" s="5"/>
      <c r="AL44" s="5"/>
      <c r="AM44" s="5"/>
      <c r="AN44" s="5"/>
      <c r="AO44" s="5"/>
      <c r="AQ44" s="5"/>
      <c r="AR44" s="5"/>
      <c r="AS44" s="5"/>
      <c r="AT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</row>
    <row r="45" spans="18:146" ht="12.75">
      <c r="R45" s="5"/>
      <c r="S45" s="5"/>
      <c r="T45" s="5"/>
      <c r="U45" s="5"/>
      <c r="AL45" s="5"/>
      <c r="AM45" s="5"/>
      <c r="AN45" s="5"/>
      <c r="AO45" s="5"/>
      <c r="AQ45" s="5"/>
      <c r="AR45" s="5"/>
      <c r="AS45" s="5"/>
      <c r="AT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</row>
    <row r="46" spans="18:146" ht="12.75">
      <c r="R46" s="5"/>
      <c r="S46" s="5"/>
      <c r="T46" s="5"/>
      <c r="U46" s="5"/>
      <c r="AL46" s="5"/>
      <c r="AM46" s="5"/>
      <c r="AN46" s="5"/>
      <c r="AO46" s="5"/>
      <c r="AQ46" s="5"/>
      <c r="AR46" s="5"/>
      <c r="AS46" s="5"/>
      <c r="AT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</row>
    <row r="47" spans="1:146" ht="12.75">
      <c r="A47"/>
      <c r="R47" s="5"/>
      <c r="S47" s="5"/>
      <c r="T47" s="5"/>
      <c r="U47" s="5"/>
      <c r="AL47" s="5"/>
      <c r="AM47" s="5"/>
      <c r="AN47" s="5"/>
      <c r="AO47" s="5"/>
      <c r="AQ47" s="5"/>
      <c r="AR47" s="5"/>
      <c r="AS47" s="5"/>
      <c r="AT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</row>
    <row r="48" spans="1:146" ht="12.75">
      <c r="A48"/>
      <c r="R48" s="5"/>
      <c r="S48" s="5"/>
      <c r="T48" s="5"/>
      <c r="U48" s="5"/>
      <c r="AL48" s="5"/>
      <c r="AM48" s="5"/>
      <c r="AN48" s="5"/>
      <c r="AO48" s="5"/>
      <c r="AQ48" s="5"/>
      <c r="AR48" s="5"/>
      <c r="AS48" s="5"/>
      <c r="AT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</row>
    <row r="49" spans="1:146" ht="12.75">
      <c r="A49"/>
      <c r="R49" s="5"/>
      <c r="S49" s="5"/>
      <c r="T49" s="5"/>
      <c r="U49" s="5"/>
      <c r="AL49" s="5"/>
      <c r="AM49" s="5"/>
      <c r="AN49" s="5"/>
      <c r="AO49" s="5"/>
      <c r="AQ49" s="5"/>
      <c r="AR49" s="5"/>
      <c r="AS49" s="5"/>
      <c r="AT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</row>
    <row r="50" spans="1:146" ht="12.75">
      <c r="A50"/>
      <c r="R50" s="5"/>
      <c r="S50" s="5"/>
      <c r="T50" s="5"/>
      <c r="U50" s="5"/>
      <c r="AL50" s="5"/>
      <c r="AM50" s="5"/>
      <c r="AN50" s="5"/>
      <c r="AO50" s="5"/>
      <c r="AQ50" s="5"/>
      <c r="AR50" s="5"/>
      <c r="AS50" s="5"/>
      <c r="AT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</row>
    <row r="51" spans="1:146" ht="12.75">
      <c r="A51"/>
      <c r="R51" s="5"/>
      <c r="S51" s="5"/>
      <c r="T51" s="5"/>
      <c r="U51" s="5"/>
      <c r="AL51" s="5"/>
      <c r="AM51" s="5"/>
      <c r="AN51" s="5"/>
      <c r="AO51" s="5"/>
      <c r="AQ51" s="5"/>
      <c r="AR51" s="5"/>
      <c r="AS51" s="5"/>
      <c r="AT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</row>
    <row r="52" spans="1:146" ht="12.75">
      <c r="A52"/>
      <c r="H52"/>
      <c r="I52"/>
      <c r="J52"/>
      <c r="K52"/>
      <c r="R52" s="5"/>
      <c r="S52" s="5"/>
      <c r="T52" s="5"/>
      <c r="U52" s="5"/>
      <c r="AL52" s="5"/>
      <c r="AM52" s="5"/>
      <c r="AN52" s="5"/>
      <c r="AO52" s="5"/>
      <c r="AQ52" s="5"/>
      <c r="AR52" s="5"/>
      <c r="AS52" s="5"/>
      <c r="AT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</row>
    <row r="53" spans="1:146" ht="12.75">
      <c r="A53"/>
      <c r="C53"/>
      <c r="D53"/>
      <c r="E53"/>
      <c r="F53"/>
      <c r="G53"/>
      <c r="H53"/>
      <c r="I53"/>
      <c r="J53"/>
      <c r="K53"/>
      <c r="L53"/>
      <c r="Q53"/>
      <c r="R53" s="5"/>
      <c r="S53" s="5"/>
      <c r="T53" s="5"/>
      <c r="U53" s="5"/>
      <c r="AL53" s="5"/>
      <c r="AM53" s="5"/>
      <c r="AN53" s="5"/>
      <c r="AO53" s="5"/>
      <c r="AQ53" s="5"/>
      <c r="AR53" s="5"/>
      <c r="AS53" s="5"/>
      <c r="AT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</row>
    <row r="54" spans="1:146" ht="12.75">
      <c r="A54"/>
      <c r="C54"/>
      <c r="D54"/>
      <c r="E54"/>
      <c r="F54"/>
      <c r="G54"/>
      <c r="H54"/>
      <c r="I54"/>
      <c r="J54"/>
      <c r="K54"/>
      <c r="L54"/>
      <c r="Q54"/>
      <c r="R54" s="5"/>
      <c r="S54" s="5"/>
      <c r="T54" s="5"/>
      <c r="U54" s="5"/>
      <c r="AL54" s="5"/>
      <c r="AM54" s="5"/>
      <c r="AN54" s="5"/>
      <c r="AO54" s="5"/>
      <c r="AQ54" s="5"/>
      <c r="AR54" s="5"/>
      <c r="AS54" s="5"/>
      <c r="AT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</row>
    <row r="55" spans="1:146" ht="12.75">
      <c r="A55"/>
      <c r="C55"/>
      <c r="D55"/>
      <c r="E55"/>
      <c r="F55"/>
      <c r="G55"/>
      <c r="H55"/>
      <c r="I55"/>
      <c r="J55"/>
      <c r="K55"/>
      <c r="L55"/>
      <c r="Q55"/>
      <c r="R55" s="5"/>
      <c r="S55" s="5"/>
      <c r="T55" s="5"/>
      <c r="U55" s="5"/>
      <c r="AL55" s="5"/>
      <c r="AM55" s="5"/>
      <c r="AN55" s="5"/>
      <c r="AO55" s="5"/>
      <c r="AQ55" s="5"/>
      <c r="AR55" s="5"/>
      <c r="AS55" s="5"/>
      <c r="AT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</row>
    <row r="56" spans="1:146" ht="12.75">
      <c r="A56"/>
      <c r="C56"/>
      <c r="D56"/>
      <c r="E56"/>
      <c r="F56"/>
      <c r="G56"/>
      <c r="H56"/>
      <c r="I56"/>
      <c r="J56"/>
      <c r="K56"/>
      <c r="L56"/>
      <c r="Q56"/>
      <c r="R56" s="5"/>
      <c r="S56" s="5"/>
      <c r="T56" s="5"/>
      <c r="U56" s="5"/>
      <c r="AL56" s="5"/>
      <c r="AM56" s="5"/>
      <c r="AN56" s="5"/>
      <c r="AO56" s="5"/>
      <c r="AQ56" s="5"/>
      <c r="AR56" s="5"/>
      <c r="AS56" s="5"/>
      <c r="AT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</row>
    <row r="57" spans="1:146" ht="12.75">
      <c r="A57"/>
      <c r="C57"/>
      <c r="D57"/>
      <c r="E57"/>
      <c r="F57"/>
      <c r="G57"/>
      <c r="H57"/>
      <c r="I57"/>
      <c r="J57"/>
      <c r="K57"/>
      <c r="L57"/>
      <c r="Q57"/>
      <c r="R57" s="5"/>
      <c r="S57" s="5"/>
      <c r="T57" s="5"/>
      <c r="U57" s="5"/>
      <c r="AL57" s="5"/>
      <c r="AM57" s="5"/>
      <c r="AN57" s="5"/>
      <c r="AO57" s="5"/>
      <c r="AQ57" s="5"/>
      <c r="AR57" s="5"/>
      <c r="AS57" s="5"/>
      <c r="AT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</row>
    <row r="58" spans="1:146" ht="12.75">
      <c r="A58"/>
      <c r="C58"/>
      <c r="D58"/>
      <c r="E58"/>
      <c r="F58"/>
      <c r="G58"/>
      <c r="H58"/>
      <c r="I58"/>
      <c r="J58"/>
      <c r="K58"/>
      <c r="L58"/>
      <c r="Q58"/>
      <c r="R58" s="5"/>
      <c r="S58" s="5"/>
      <c r="T58" s="5"/>
      <c r="U58" s="5"/>
      <c r="AL58" s="5"/>
      <c r="AM58" s="5"/>
      <c r="AN58" s="5"/>
      <c r="AO58" s="5"/>
      <c r="AQ58" s="5"/>
      <c r="AR58" s="5"/>
      <c r="AS58" s="5"/>
      <c r="AT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</row>
    <row r="59" spans="1:146" ht="12.75">
      <c r="A59"/>
      <c r="C59"/>
      <c r="D59"/>
      <c r="E59"/>
      <c r="F59"/>
      <c r="G59"/>
      <c r="H59"/>
      <c r="I59"/>
      <c r="J59"/>
      <c r="K59"/>
      <c r="L59"/>
      <c r="Q59"/>
      <c r="R59" s="5"/>
      <c r="S59" s="5"/>
      <c r="T59" s="5"/>
      <c r="U59" s="5"/>
      <c r="AL59" s="5"/>
      <c r="AM59" s="5"/>
      <c r="AN59" s="5"/>
      <c r="AO59" s="5"/>
      <c r="AQ59" s="5"/>
      <c r="AR59" s="5"/>
      <c r="AS59" s="5"/>
      <c r="AT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</row>
    <row r="60" spans="1:146" ht="12.75">
      <c r="A60"/>
      <c r="C60"/>
      <c r="D60"/>
      <c r="E60"/>
      <c r="F60"/>
      <c r="G60"/>
      <c r="H60"/>
      <c r="I60"/>
      <c r="J60"/>
      <c r="K60"/>
      <c r="L60"/>
      <c r="Q60"/>
      <c r="R60" s="5"/>
      <c r="S60" s="5"/>
      <c r="T60" s="5"/>
      <c r="U60" s="5"/>
      <c r="AL60" s="5"/>
      <c r="AM60" s="5"/>
      <c r="AN60" s="5"/>
      <c r="AO60" s="5"/>
      <c r="AQ60" s="5"/>
      <c r="AR60" s="5"/>
      <c r="AS60" s="5"/>
      <c r="AT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</row>
    <row r="61" spans="1:146" ht="12.75">
      <c r="A61"/>
      <c r="C61"/>
      <c r="D61"/>
      <c r="E61"/>
      <c r="F61"/>
      <c r="G61"/>
      <c r="H61"/>
      <c r="I61"/>
      <c r="J61"/>
      <c r="K61"/>
      <c r="L61"/>
      <c r="Q61"/>
      <c r="R61" s="5"/>
      <c r="S61" s="5"/>
      <c r="T61" s="5"/>
      <c r="U61" s="5"/>
      <c r="AL61" s="5"/>
      <c r="AM61" s="5"/>
      <c r="AN61" s="5"/>
      <c r="AO61" s="5"/>
      <c r="AQ61" s="5"/>
      <c r="AR61" s="5"/>
      <c r="AS61" s="5"/>
      <c r="AT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</row>
    <row r="62" spans="1:146" ht="12.75">
      <c r="A62"/>
      <c r="C62"/>
      <c r="D62"/>
      <c r="E62"/>
      <c r="F62"/>
      <c r="G62"/>
      <c r="H62"/>
      <c r="I62"/>
      <c r="J62"/>
      <c r="K62"/>
      <c r="L62"/>
      <c r="Q62"/>
      <c r="R62" s="5"/>
      <c r="S62" s="5"/>
      <c r="T62" s="5"/>
      <c r="U62" s="5"/>
      <c r="AL62" s="5"/>
      <c r="AM62" s="5"/>
      <c r="AN62" s="5"/>
      <c r="AO62" s="5"/>
      <c r="AQ62" s="5"/>
      <c r="AR62" s="5"/>
      <c r="AS62" s="5"/>
      <c r="AT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</row>
    <row r="63" spans="1:146" ht="12.75">
      <c r="A63"/>
      <c r="C63"/>
      <c r="D63"/>
      <c r="E63"/>
      <c r="F63"/>
      <c r="G63"/>
      <c r="H63"/>
      <c r="I63"/>
      <c r="J63"/>
      <c r="K63"/>
      <c r="L63"/>
      <c r="Q63"/>
      <c r="R63" s="5"/>
      <c r="S63" s="5"/>
      <c r="T63" s="5"/>
      <c r="U63" s="5"/>
      <c r="AL63" s="5"/>
      <c r="AM63" s="5"/>
      <c r="AN63" s="5"/>
      <c r="AO63" s="5"/>
      <c r="AQ63" s="5"/>
      <c r="AR63" s="5"/>
      <c r="AS63" s="5"/>
      <c r="AT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</row>
    <row r="64" spans="1:146" ht="12.75">
      <c r="A64"/>
      <c r="C64"/>
      <c r="D64"/>
      <c r="E64"/>
      <c r="F64"/>
      <c r="G64"/>
      <c r="H64"/>
      <c r="I64"/>
      <c r="J64"/>
      <c r="K64"/>
      <c r="L64"/>
      <c r="Q64"/>
      <c r="R64" s="5"/>
      <c r="S64" s="5"/>
      <c r="T64" s="5"/>
      <c r="U64" s="5"/>
      <c r="AL64" s="5"/>
      <c r="AM64" s="5"/>
      <c r="AN64" s="5"/>
      <c r="AO64" s="5"/>
      <c r="AQ64" s="5"/>
      <c r="AR64" s="5"/>
      <c r="AS64" s="5"/>
      <c r="AT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</row>
    <row r="65" spans="1:146" ht="12.75">
      <c r="A65"/>
      <c r="C65"/>
      <c r="D65"/>
      <c r="E65"/>
      <c r="F65"/>
      <c r="G65"/>
      <c r="H65"/>
      <c r="I65"/>
      <c r="J65"/>
      <c r="K65"/>
      <c r="L65"/>
      <c r="Q65"/>
      <c r="R65" s="5"/>
      <c r="S65" s="5"/>
      <c r="T65" s="5"/>
      <c r="U65" s="5"/>
      <c r="AL65" s="5"/>
      <c r="AM65" s="5"/>
      <c r="AN65" s="5"/>
      <c r="AO65" s="5"/>
      <c r="AQ65" s="5"/>
      <c r="AR65" s="5"/>
      <c r="AS65" s="5"/>
      <c r="AT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</row>
    <row r="66" spans="1:146" ht="12.75">
      <c r="A66"/>
      <c r="C66"/>
      <c r="D66"/>
      <c r="E66"/>
      <c r="F66"/>
      <c r="G66"/>
      <c r="H66"/>
      <c r="I66"/>
      <c r="J66"/>
      <c r="K66"/>
      <c r="L66"/>
      <c r="Q66"/>
      <c r="R66" s="5"/>
      <c r="S66" s="5"/>
      <c r="T66" s="5"/>
      <c r="U66" s="5"/>
      <c r="AL66" s="5"/>
      <c r="AM66" s="5"/>
      <c r="AN66" s="5"/>
      <c r="AO66" s="5"/>
      <c r="AQ66" s="5"/>
      <c r="AR66" s="5"/>
      <c r="AS66" s="5"/>
      <c r="AT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</row>
    <row r="67" spans="1:146" ht="12.75">
      <c r="A67"/>
      <c r="C67"/>
      <c r="D67"/>
      <c r="E67"/>
      <c r="F67"/>
      <c r="G67"/>
      <c r="H67"/>
      <c r="I67"/>
      <c r="J67"/>
      <c r="K67"/>
      <c r="L67"/>
      <c r="Q67"/>
      <c r="R67" s="5"/>
      <c r="S67" s="5"/>
      <c r="T67" s="5"/>
      <c r="U67" s="5"/>
      <c r="AL67" s="5"/>
      <c r="AM67" s="5"/>
      <c r="AN67" s="5"/>
      <c r="AO67" s="5"/>
      <c r="AQ67" s="5"/>
      <c r="AR67" s="5"/>
      <c r="AS67" s="5"/>
      <c r="AT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</row>
    <row r="68" spans="1:146" ht="12.75">
      <c r="A68"/>
      <c r="C68"/>
      <c r="D68"/>
      <c r="E68"/>
      <c r="F68"/>
      <c r="G68"/>
      <c r="H68"/>
      <c r="I68"/>
      <c r="J68"/>
      <c r="K68"/>
      <c r="L68"/>
      <c r="Q68"/>
      <c r="R68" s="5"/>
      <c r="S68" s="5"/>
      <c r="T68" s="5"/>
      <c r="U68" s="5"/>
      <c r="AL68" s="5"/>
      <c r="AM68" s="5"/>
      <c r="AN68" s="5"/>
      <c r="AO68" s="5"/>
      <c r="AQ68" s="5"/>
      <c r="AR68" s="5"/>
      <c r="AS68" s="5"/>
      <c r="AT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</row>
    <row r="69" spans="1:146" ht="12.75">
      <c r="A69"/>
      <c r="C69"/>
      <c r="D69"/>
      <c r="E69"/>
      <c r="F69"/>
      <c r="G69"/>
      <c r="H69"/>
      <c r="I69"/>
      <c r="J69"/>
      <c r="K69"/>
      <c r="L69"/>
      <c r="Q69"/>
      <c r="R69" s="5"/>
      <c r="S69" s="5"/>
      <c r="T69" s="5"/>
      <c r="U69" s="5"/>
      <c r="AL69" s="5"/>
      <c r="AM69" s="5"/>
      <c r="AN69" s="5"/>
      <c r="AO69" s="5"/>
      <c r="AQ69" s="5"/>
      <c r="AR69" s="5"/>
      <c r="AS69" s="5"/>
      <c r="AT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</row>
    <row r="70" spans="1:146" ht="12.75">
      <c r="A70"/>
      <c r="C70"/>
      <c r="D70"/>
      <c r="E70"/>
      <c r="F70"/>
      <c r="G70"/>
      <c r="H70"/>
      <c r="I70"/>
      <c r="J70"/>
      <c r="K70"/>
      <c r="L70"/>
      <c r="Q70"/>
      <c r="R70" s="5"/>
      <c r="S70" s="5"/>
      <c r="T70" s="5"/>
      <c r="U70" s="5"/>
      <c r="AL70" s="5"/>
      <c r="AM70" s="5"/>
      <c r="AN70" s="5"/>
      <c r="AO70" s="5"/>
      <c r="AQ70" s="5"/>
      <c r="AR70" s="5"/>
      <c r="AS70" s="5"/>
      <c r="AT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</row>
    <row r="71" spans="1:146" ht="12.75">
      <c r="A71"/>
      <c r="C71"/>
      <c r="D71"/>
      <c r="E71"/>
      <c r="F71"/>
      <c r="G71"/>
      <c r="H71"/>
      <c r="I71"/>
      <c r="J71"/>
      <c r="K71"/>
      <c r="L71"/>
      <c r="Q71"/>
      <c r="R71" s="5"/>
      <c r="S71" s="5"/>
      <c r="T71" s="5"/>
      <c r="U71" s="5"/>
      <c r="AL71" s="5"/>
      <c r="AM71" s="5"/>
      <c r="AN71" s="5"/>
      <c r="AO71" s="5"/>
      <c r="AQ71" s="5"/>
      <c r="AR71" s="5"/>
      <c r="AS71" s="5"/>
      <c r="AT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</row>
    <row r="72" spans="1:146" ht="12.75">
      <c r="A72"/>
      <c r="C72"/>
      <c r="D72"/>
      <c r="E72"/>
      <c r="F72"/>
      <c r="G72"/>
      <c r="H72"/>
      <c r="I72"/>
      <c r="J72"/>
      <c r="K72"/>
      <c r="L72"/>
      <c r="Q72"/>
      <c r="R72" s="5"/>
      <c r="S72" s="5"/>
      <c r="T72" s="5"/>
      <c r="U72" s="5"/>
      <c r="AL72" s="5"/>
      <c r="AM72" s="5"/>
      <c r="AN72" s="5"/>
      <c r="AO72" s="5"/>
      <c r="AQ72" s="5"/>
      <c r="AR72" s="5"/>
      <c r="AS72" s="5"/>
      <c r="AT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</row>
    <row r="73" spans="1:146" ht="12.75">
      <c r="A73"/>
      <c r="C73"/>
      <c r="D73"/>
      <c r="E73"/>
      <c r="F73"/>
      <c r="G73"/>
      <c r="H73"/>
      <c r="I73"/>
      <c r="J73"/>
      <c r="K73"/>
      <c r="L73"/>
      <c r="Q73"/>
      <c r="R73" s="5"/>
      <c r="S73" s="5"/>
      <c r="T73" s="5"/>
      <c r="U73" s="5"/>
      <c r="AL73" s="5"/>
      <c r="AM73" s="5"/>
      <c r="AN73" s="5"/>
      <c r="AO73" s="5"/>
      <c r="AQ73" s="5"/>
      <c r="AR73" s="5"/>
      <c r="AS73" s="5"/>
      <c r="AT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</row>
    <row r="74" spans="3:146" ht="12.75">
      <c r="C74"/>
      <c r="D74"/>
      <c r="E74"/>
      <c r="F74"/>
      <c r="G74"/>
      <c r="H74"/>
      <c r="I74"/>
      <c r="J74"/>
      <c r="K74"/>
      <c r="L74"/>
      <c r="Q74"/>
      <c r="R74" s="5"/>
      <c r="S74" s="5"/>
      <c r="T74" s="5"/>
      <c r="U74" s="5"/>
      <c r="AL74" s="5"/>
      <c r="AM74" s="5"/>
      <c r="AN74" s="5"/>
      <c r="AO74" s="5"/>
      <c r="AQ74" s="5"/>
      <c r="AR74" s="5"/>
      <c r="AS74" s="5"/>
      <c r="AT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</row>
    <row r="75" spans="3:146" ht="12.75">
      <c r="C75"/>
      <c r="D75"/>
      <c r="E75"/>
      <c r="F75"/>
      <c r="G75"/>
      <c r="H75"/>
      <c r="I75"/>
      <c r="J75"/>
      <c r="K75"/>
      <c r="L75"/>
      <c r="Q75"/>
      <c r="R75" s="5"/>
      <c r="S75" s="5"/>
      <c r="T75" s="5"/>
      <c r="U75" s="5"/>
      <c r="AL75" s="5"/>
      <c r="AM75" s="5"/>
      <c r="AN75" s="5"/>
      <c r="AO75" s="5"/>
      <c r="AQ75" s="5"/>
      <c r="AR75" s="5"/>
      <c r="AS75" s="5"/>
      <c r="AT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</row>
    <row r="76" spans="3:146" ht="12.75">
      <c r="C76"/>
      <c r="D76"/>
      <c r="E76"/>
      <c r="F76"/>
      <c r="G76"/>
      <c r="H76"/>
      <c r="I76"/>
      <c r="J76"/>
      <c r="K76"/>
      <c r="L76"/>
      <c r="Q76"/>
      <c r="R76" s="5"/>
      <c r="S76" s="5"/>
      <c r="T76" s="5"/>
      <c r="U76" s="5"/>
      <c r="AL76" s="5"/>
      <c r="AM76" s="5"/>
      <c r="AN76" s="5"/>
      <c r="AO76" s="5"/>
      <c r="AQ76" s="5"/>
      <c r="AR76" s="5"/>
      <c r="AS76" s="5"/>
      <c r="AT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</row>
    <row r="77" spans="3:146" ht="12.75">
      <c r="C77"/>
      <c r="D77"/>
      <c r="E77"/>
      <c r="F77"/>
      <c r="G77"/>
      <c r="H77"/>
      <c r="I77"/>
      <c r="J77"/>
      <c r="K77"/>
      <c r="L77"/>
      <c r="Q77"/>
      <c r="R77" s="5"/>
      <c r="S77" s="5"/>
      <c r="T77" s="5"/>
      <c r="U77" s="5"/>
      <c r="AL77" s="5"/>
      <c r="AM77" s="5"/>
      <c r="AN77" s="5"/>
      <c r="AO77" s="5"/>
      <c r="AQ77" s="5"/>
      <c r="AR77" s="5"/>
      <c r="AS77" s="5"/>
      <c r="AT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</row>
    <row r="78" spans="3:146" ht="12.75">
      <c r="C78"/>
      <c r="D78"/>
      <c r="E78"/>
      <c r="F78"/>
      <c r="G78"/>
      <c r="H78"/>
      <c r="I78"/>
      <c r="J78"/>
      <c r="K78"/>
      <c r="L78"/>
      <c r="Q78"/>
      <c r="R78" s="5"/>
      <c r="S78" s="5"/>
      <c r="T78" s="5"/>
      <c r="U78" s="5"/>
      <c r="AL78" s="5"/>
      <c r="AM78" s="5"/>
      <c r="AN78" s="5"/>
      <c r="AO78" s="5"/>
      <c r="AQ78" s="5"/>
      <c r="AR78" s="5"/>
      <c r="AS78" s="5"/>
      <c r="AT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</row>
    <row r="79" spans="3:146" ht="12.75">
      <c r="C79"/>
      <c r="D79"/>
      <c r="E79"/>
      <c r="F79"/>
      <c r="G79"/>
      <c r="L79"/>
      <c r="Q79"/>
      <c r="R79" s="5"/>
      <c r="S79" s="5"/>
      <c r="T79" s="5"/>
      <c r="U79" s="5"/>
      <c r="AL79" s="5"/>
      <c r="AM79" s="5"/>
      <c r="AN79" s="5"/>
      <c r="AO79" s="5"/>
      <c r="AQ79" s="5"/>
      <c r="AR79" s="5"/>
      <c r="AS79" s="5"/>
      <c r="AT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</row>
    <row r="80" spans="18:146" ht="12.75">
      <c r="R80" s="5"/>
      <c r="S80" s="5"/>
      <c r="T80" s="5"/>
      <c r="U80" s="5"/>
      <c r="AL80" s="5"/>
      <c r="AM80" s="5"/>
      <c r="AN80" s="5"/>
      <c r="AO80" s="5"/>
      <c r="AQ80" s="5"/>
      <c r="AR80" s="5"/>
      <c r="AS80" s="5"/>
      <c r="AT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</row>
    <row r="81" spans="18:146" ht="12.75">
      <c r="R81" s="5"/>
      <c r="S81" s="5"/>
      <c r="T81" s="5"/>
      <c r="U81" s="5"/>
      <c r="AL81" s="5"/>
      <c r="AM81" s="5"/>
      <c r="AN81" s="5"/>
      <c r="AO81" s="5"/>
      <c r="AQ81" s="5"/>
      <c r="AR81" s="5"/>
      <c r="AS81" s="5"/>
      <c r="AT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</row>
    <row r="82" spans="18:146" ht="12.75">
      <c r="R82" s="5"/>
      <c r="S82" s="5"/>
      <c r="T82" s="5"/>
      <c r="U82" s="5"/>
      <c r="AL82" s="5"/>
      <c r="AM82" s="5"/>
      <c r="AN82" s="5"/>
      <c r="AO82" s="5"/>
      <c r="AQ82" s="5"/>
      <c r="AR82" s="5"/>
      <c r="AS82" s="5"/>
      <c r="AT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</row>
    <row r="83" spans="18:146" ht="12.75">
      <c r="R83" s="5"/>
      <c r="S83" s="5"/>
      <c r="T83" s="5"/>
      <c r="U83" s="5"/>
      <c r="AL83" s="5"/>
      <c r="AM83" s="5"/>
      <c r="AN83" s="5"/>
      <c r="AO83" s="5"/>
      <c r="AQ83" s="5"/>
      <c r="AR83" s="5"/>
      <c r="AS83" s="5"/>
      <c r="AT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</row>
    <row r="84" spans="18:146" ht="12.75">
      <c r="R84" s="5"/>
      <c r="S84" s="5"/>
      <c r="T84" s="5"/>
      <c r="U84" s="5"/>
      <c r="AL84" s="5"/>
      <c r="AM84" s="5"/>
      <c r="AN84" s="5"/>
      <c r="AO84" s="5"/>
      <c r="AQ84" s="5"/>
      <c r="AR84" s="5"/>
      <c r="AS84" s="5"/>
      <c r="AT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</row>
    <row r="85" spans="18:146" ht="12.75">
      <c r="R85" s="5"/>
      <c r="S85" s="5"/>
      <c r="T85" s="5"/>
      <c r="U85" s="5"/>
      <c r="AL85" s="5"/>
      <c r="AM85" s="5"/>
      <c r="AN85" s="5"/>
      <c r="AO85" s="5"/>
      <c r="AQ85" s="5"/>
      <c r="AR85" s="5"/>
      <c r="AS85" s="5"/>
      <c r="AT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</row>
    <row r="86" spans="18:146" ht="12.75">
      <c r="R86" s="5"/>
      <c r="S86" s="5"/>
      <c r="T86" s="5"/>
      <c r="U86" s="5"/>
      <c r="AL86" s="5"/>
      <c r="AM86" s="5"/>
      <c r="AN86" s="5"/>
      <c r="AO86" s="5"/>
      <c r="AQ86" s="5"/>
      <c r="AR86" s="5"/>
      <c r="AS86" s="5"/>
      <c r="AT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</row>
    <row r="87" spans="18:146" ht="12.75">
      <c r="R87" s="5"/>
      <c r="S87" s="5"/>
      <c r="T87" s="5"/>
      <c r="U87" s="5"/>
      <c r="AL87" s="5"/>
      <c r="AM87" s="5"/>
      <c r="AN87" s="5"/>
      <c r="AO87" s="5"/>
      <c r="AQ87" s="5"/>
      <c r="AR87" s="5"/>
      <c r="AS87" s="5"/>
      <c r="AT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</row>
    <row r="88" spans="18:146" ht="12.75">
      <c r="R88" s="5"/>
      <c r="S88" s="5"/>
      <c r="T88" s="5"/>
      <c r="U88" s="5"/>
      <c r="AL88" s="5"/>
      <c r="AM88" s="5"/>
      <c r="AN88" s="5"/>
      <c r="AO88" s="5"/>
      <c r="AQ88" s="5"/>
      <c r="AR88" s="5"/>
      <c r="AS88" s="5"/>
      <c r="AT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</row>
    <row r="89" spans="18:146" ht="12.75">
      <c r="R89" s="5"/>
      <c r="S89" s="5"/>
      <c r="T89" s="5"/>
      <c r="U89" s="5"/>
      <c r="AL89" s="5"/>
      <c r="AM89" s="5"/>
      <c r="AN89" s="5"/>
      <c r="AO89" s="5"/>
      <c r="AQ89" s="5"/>
      <c r="AR89" s="5"/>
      <c r="AS89" s="5"/>
      <c r="AT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</row>
    <row r="90" spans="18:146" ht="12.75">
      <c r="R90" s="5"/>
      <c r="S90" s="5"/>
      <c r="T90" s="5"/>
      <c r="U90" s="5"/>
      <c r="AL90" s="5"/>
      <c r="AM90" s="5"/>
      <c r="AN90" s="5"/>
      <c r="AO90" s="5"/>
      <c r="AQ90" s="5"/>
      <c r="AR90" s="5"/>
      <c r="AS90" s="5"/>
      <c r="AT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</row>
    <row r="91" spans="18:146" ht="12.75">
      <c r="R91" s="5"/>
      <c r="S91" s="5"/>
      <c r="T91" s="5"/>
      <c r="U91" s="5"/>
      <c r="AL91" s="5"/>
      <c r="AM91" s="5"/>
      <c r="AN91" s="5"/>
      <c r="AO91" s="5"/>
      <c r="AQ91" s="5"/>
      <c r="AR91" s="5"/>
      <c r="AS91" s="5"/>
      <c r="AT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</row>
    <row r="92" spans="18:146" ht="12.75">
      <c r="R92" s="5"/>
      <c r="S92" s="5"/>
      <c r="T92" s="5"/>
      <c r="U92" s="5"/>
      <c r="AL92" s="5"/>
      <c r="AM92" s="5"/>
      <c r="AN92" s="5"/>
      <c r="AO92" s="5"/>
      <c r="AQ92" s="5"/>
      <c r="AR92" s="5"/>
      <c r="AS92" s="5"/>
      <c r="AT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</row>
    <row r="93" spans="18:146" ht="12.75">
      <c r="R93" s="5"/>
      <c r="S93" s="5"/>
      <c r="T93" s="5"/>
      <c r="U93" s="5"/>
      <c r="AL93" s="5"/>
      <c r="AM93" s="5"/>
      <c r="AN93" s="5"/>
      <c r="AO93" s="5"/>
      <c r="AQ93" s="5"/>
      <c r="AR93" s="5"/>
      <c r="AS93" s="5"/>
      <c r="AT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</row>
    <row r="94" spans="18:146" ht="12.75">
      <c r="R94" s="5"/>
      <c r="S94" s="5"/>
      <c r="T94" s="5"/>
      <c r="U94" s="5"/>
      <c r="AL94" s="5"/>
      <c r="AM94" s="5"/>
      <c r="AN94" s="5"/>
      <c r="AO94" s="5"/>
      <c r="AQ94" s="5"/>
      <c r="AR94" s="5"/>
      <c r="AS94" s="5"/>
      <c r="AT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</row>
    <row r="95" spans="18:146" ht="12.75">
      <c r="R95" s="5"/>
      <c r="S95" s="5"/>
      <c r="T95" s="5"/>
      <c r="U95" s="5"/>
      <c r="AL95" s="5"/>
      <c r="AM95" s="5"/>
      <c r="AN95" s="5"/>
      <c r="AO95" s="5"/>
      <c r="AQ95" s="5"/>
      <c r="AR95" s="5"/>
      <c r="AS95" s="5"/>
      <c r="AT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</row>
    <row r="96" spans="18:146" ht="12.75">
      <c r="R96" s="5"/>
      <c r="S96" s="5"/>
      <c r="T96" s="5"/>
      <c r="U96" s="5"/>
      <c r="AL96" s="5"/>
      <c r="AM96" s="5"/>
      <c r="AN96" s="5"/>
      <c r="AO96" s="5"/>
      <c r="AQ96" s="5"/>
      <c r="AR96" s="5"/>
      <c r="AS96" s="5"/>
      <c r="AT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</row>
    <row r="97" spans="18:146" ht="12.75">
      <c r="R97" s="5"/>
      <c r="S97" s="5"/>
      <c r="T97" s="5"/>
      <c r="U97" s="5"/>
      <c r="AL97" s="5"/>
      <c r="AM97" s="5"/>
      <c r="AN97" s="5"/>
      <c r="AO97" s="5"/>
      <c r="AQ97" s="5"/>
      <c r="AR97" s="5"/>
      <c r="AS97" s="5"/>
      <c r="AT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</row>
    <row r="98" spans="18:146" ht="12.75">
      <c r="R98" s="5"/>
      <c r="S98" s="5"/>
      <c r="T98" s="5"/>
      <c r="U98" s="5"/>
      <c r="AL98" s="5"/>
      <c r="AM98" s="5"/>
      <c r="AN98" s="5"/>
      <c r="AO98" s="5"/>
      <c r="AQ98" s="5"/>
      <c r="AR98" s="5"/>
      <c r="AS98" s="5"/>
      <c r="AT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</row>
    <row r="99" spans="18:146" ht="12.75">
      <c r="R99" s="5"/>
      <c r="S99" s="5"/>
      <c r="T99" s="5"/>
      <c r="U99" s="5"/>
      <c r="AL99" s="5"/>
      <c r="AM99" s="5"/>
      <c r="AN99" s="5"/>
      <c r="AO99" s="5"/>
      <c r="AQ99" s="5"/>
      <c r="AR99" s="5"/>
      <c r="AS99" s="5"/>
      <c r="AT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</row>
    <row r="100" spans="18:146" ht="12.75">
      <c r="R100" s="5"/>
      <c r="S100" s="5"/>
      <c r="T100" s="5"/>
      <c r="U100" s="5"/>
      <c r="AL100" s="5"/>
      <c r="AM100" s="5"/>
      <c r="AN100" s="5"/>
      <c r="AO100" s="5"/>
      <c r="AQ100" s="5"/>
      <c r="AR100" s="5"/>
      <c r="AS100" s="5"/>
      <c r="AT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</row>
    <row r="101" spans="18:146" ht="12.75">
      <c r="R101" s="5"/>
      <c r="S101" s="5"/>
      <c r="T101" s="5"/>
      <c r="U101" s="5"/>
      <c r="AL101" s="5"/>
      <c r="AM101" s="5"/>
      <c r="AN101" s="5"/>
      <c r="AO101" s="5"/>
      <c r="AQ101" s="5"/>
      <c r="AR101" s="5"/>
      <c r="AS101" s="5"/>
      <c r="AT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</row>
    <row r="102" spans="18:146" ht="12.75">
      <c r="R102" s="5"/>
      <c r="S102" s="5"/>
      <c r="T102" s="5"/>
      <c r="U102" s="5"/>
      <c r="AL102" s="5"/>
      <c r="AM102" s="5"/>
      <c r="AN102" s="5"/>
      <c r="AO102" s="5"/>
      <c r="AQ102" s="5"/>
      <c r="AR102" s="5"/>
      <c r="AS102" s="5"/>
      <c r="AT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</row>
    <row r="103" spans="18:146" ht="12.75">
      <c r="R103" s="5"/>
      <c r="S103" s="5"/>
      <c r="T103" s="5"/>
      <c r="U103" s="5"/>
      <c r="AL103" s="5"/>
      <c r="AM103" s="5"/>
      <c r="AN103" s="5"/>
      <c r="AO103" s="5"/>
      <c r="AQ103" s="5"/>
      <c r="AR103" s="5"/>
      <c r="AS103" s="5"/>
      <c r="AT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</row>
    <row r="104" spans="18:146" ht="12.75">
      <c r="R104" s="5"/>
      <c r="S104" s="5"/>
      <c r="T104" s="5"/>
      <c r="U104" s="5"/>
      <c r="AL104" s="5"/>
      <c r="AM104" s="5"/>
      <c r="AN104" s="5"/>
      <c r="AO104" s="5"/>
      <c r="AQ104" s="5"/>
      <c r="AR104" s="5"/>
      <c r="AS104" s="5"/>
      <c r="AT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</row>
    <row r="105" spans="18:146" ht="12.75">
      <c r="R105" s="5"/>
      <c r="S105" s="5"/>
      <c r="T105" s="5"/>
      <c r="U105" s="5"/>
      <c r="AL105" s="5"/>
      <c r="AM105" s="5"/>
      <c r="AN105" s="5"/>
      <c r="AO105" s="5"/>
      <c r="AQ105" s="5"/>
      <c r="AR105" s="5"/>
      <c r="AS105" s="5"/>
      <c r="AT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</row>
    <row r="106" spans="18:146" ht="12.75">
      <c r="R106" s="5"/>
      <c r="S106" s="5"/>
      <c r="T106" s="5"/>
      <c r="U106" s="5"/>
      <c r="AL106" s="5"/>
      <c r="AM106" s="5"/>
      <c r="AN106" s="5"/>
      <c r="AO106" s="5"/>
      <c r="AQ106" s="5"/>
      <c r="AR106" s="5"/>
      <c r="AS106" s="5"/>
      <c r="AT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</row>
    <row r="107" spans="18:146" ht="12.75">
      <c r="R107" s="5"/>
      <c r="S107" s="5"/>
      <c r="T107" s="5"/>
      <c r="U107" s="5"/>
      <c r="AL107" s="5"/>
      <c r="AM107" s="5"/>
      <c r="AN107" s="5"/>
      <c r="AO107" s="5"/>
      <c r="AQ107" s="5"/>
      <c r="AR107" s="5"/>
      <c r="AS107" s="5"/>
      <c r="AT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</row>
    <row r="108" spans="18:146" ht="12.75">
      <c r="R108" s="5"/>
      <c r="S108" s="5"/>
      <c r="T108" s="5"/>
      <c r="U108" s="5"/>
      <c r="AL108" s="5"/>
      <c r="AM108" s="5"/>
      <c r="AN108" s="5"/>
      <c r="AO108" s="5"/>
      <c r="AQ108" s="5"/>
      <c r="AR108" s="5"/>
      <c r="AS108" s="5"/>
      <c r="AT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</row>
    <row r="109" spans="18:146" ht="12.75">
      <c r="R109" s="5"/>
      <c r="S109" s="5"/>
      <c r="T109" s="5"/>
      <c r="U109" s="5"/>
      <c r="AL109" s="5"/>
      <c r="AM109" s="5"/>
      <c r="AN109" s="5"/>
      <c r="AO109" s="5"/>
      <c r="AQ109" s="5"/>
      <c r="AR109" s="5"/>
      <c r="AS109" s="5"/>
      <c r="AT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</row>
    <row r="110" spans="18:146" ht="12.75">
      <c r="R110" s="5"/>
      <c r="S110" s="5"/>
      <c r="T110" s="5"/>
      <c r="U110" s="5"/>
      <c r="AL110" s="5"/>
      <c r="AM110" s="5"/>
      <c r="AN110" s="5"/>
      <c r="AO110" s="5"/>
      <c r="AQ110" s="5"/>
      <c r="AR110" s="5"/>
      <c r="AS110" s="5"/>
      <c r="AT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</row>
    <row r="111" spans="18:146" ht="12.75">
      <c r="R111" s="5"/>
      <c r="S111" s="5"/>
      <c r="T111" s="5"/>
      <c r="U111" s="5"/>
      <c r="AL111" s="5"/>
      <c r="AM111" s="5"/>
      <c r="AN111" s="5"/>
      <c r="AO111" s="5"/>
      <c r="AQ111" s="5"/>
      <c r="AR111" s="5"/>
      <c r="AS111" s="5"/>
      <c r="AT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</row>
    <row r="112" spans="18:146" ht="12.75">
      <c r="R112" s="5"/>
      <c r="S112" s="5"/>
      <c r="T112" s="5"/>
      <c r="U112" s="5"/>
      <c r="AL112" s="5"/>
      <c r="AM112" s="5"/>
      <c r="AN112" s="5"/>
      <c r="AO112" s="5"/>
      <c r="AQ112" s="5"/>
      <c r="AR112" s="5"/>
      <c r="AS112" s="5"/>
      <c r="AT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</row>
    <row r="113" spans="18:146" ht="12.75">
      <c r="R113" s="5"/>
      <c r="S113" s="5"/>
      <c r="T113" s="5"/>
      <c r="U113" s="5"/>
      <c r="AL113" s="5"/>
      <c r="AM113" s="5"/>
      <c r="AN113" s="5"/>
      <c r="AO113" s="5"/>
      <c r="AQ113" s="5"/>
      <c r="AR113" s="5"/>
      <c r="AS113" s="5"/>
      <c r="AT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</row>
    <row r="114" spans="18:146" ht="12.75">
      <c r="R114" s="5"/>
      <c r="S114" s="5"/>
      <c r="T114" s="5"/>
      <c r="U114" s="5"/>
      <c r="AL114" s="5"/>
      <c r="AM114" s="5"/>
      <c r="AN114" s="5"/>
      <c r="AO114" s="5"/>
      <c r="AQ114" s="5"/>
      <c r="AR114" s="5"/>
      <c r="AS114" s="5"/>
      <c r="AT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</row>
    <row r="115" spans="18:146" ht="12.75">
      <c r="R115" s="5"/>
      <c r="S115" s="5"/>
      <c r="T115" s="5"/>
      <c r="U115" s="5"/>
      <c r="AL115" s="5"/>
      <c r="AM115" s="5"/>
      <c r="AN115" s="5"/>
      <c r="AO115" s="5"/>
      <c r="AQ115" s="5"/>
      <c r="AR115" s="5"/>
      <c r="AS115" s="5"/>
      <c r="AT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</row>
    <row r="116" spans="18:146" ht="12.75">
      <c r="R116" s="5"/>
      <c r="S116" s="5"/>
      <c r="T116" s="5"/>
      <c r="U116" s="5"/>
      <c r="AL116" s="5"/>
      <c r="AM116" s="5"/>
      <c r="AN116" s="5"/>
      <c r="AO116" s="5"/>
      <c r="AQ116" s="5"/>
      <c r="AR116" s="5"/>
      <c r="AS116" s="5"/>
      <c r="AT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</row>
    <row r="117" spans="18:146" ht="12.75">
      <c r="R117" s="5"/>
      <c r="S117" s="5"/>
      <c r="T117" s="5"/>
      <c r="U117" s="5"/>
      <c r="AL117" s="5"/>
      <c r="AM117" s="5"/>
      <c r="AN117" s="5"/>
      <c r="AO117" s="5"/>
      <c r="AQ117" s="5"/>
      <c r="AR117" s="5"/>
      <c r="AS117" s="5"/>
      <c r="AT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</row>
    <row r="118" spans="18:146" ht="12.75">
      <c r="R118" s="5"/>
      <c r="S118" s="5"/>
      <c r="T118" s="5"/>
      <c r="U118" s="5"/>
      <c r="AL118" s="5"/>
      <c r="AM118" s="5"/>
      <c r="AN118" s="5"/>
      <c r="AO118" s="5"/>
      <c r="AQ118" s="5"/>
      <c r="AR118" s="5"/>
      <c r="AS118" s="5"/>
      <c r="AT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</row>
    <row r="119" spans="18:146" ht="12.75">
      <c r="R119" s="5"/>
      <c r="S119" s="5"/>
      <c r="T119" s="5"/>
      <c r="U119" s="5"/>
      <c r="AL119" s="5"/>
      <c r="AM119" s="5"/>
      <c r="AN119" s="5"/>
      <c r="AO119" s="5"/>
      <c r="AQ119" s="5"/>
      <c r="AR119" s="5"/>
      <c r="AS119" s="5"/>
      <c r="AT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</row>
    <row r="120" spans="18:146" ht="12.75">
      <c r="R120" s="5"/>
      <c r="S120" s="5"/>
      <c r="T120" s="5"/>
      <c r="U120" s="5"/>
      <c r="AL120" s="5"/>
      <c r="AM120" s="5"/>
      <c r="AN120" s="5"/>
      <c r="AO120" s="5"/>
      <c r="AQ120" s="5"/>
      <c r="AR120" s="5"/>
      <c r="AS120" s="5"/>
      <c r="AT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</row>
    <row r="121" spans="18:146" ht="12.75">
      <c r="R121" s="5"/>
      <c r="S121" s="5"/>
      <c r="T121" s="5"/>
      <c r="U121" s="5"/>
      <c r="AL121" s="5"/>
      <c r="AM121" s="5"/>
      <c r="AN121" s="5"/>
      <c r="AO121" s="5"/>
      <c r="AQ121" s="5"/>
      <c r="AR121" s="5"/>
      <c r="AS121" s="5"/>
      <c r="AT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</row>
    <row r="122" spans="18:146" ht="12.75">
      <c r="R122" s="5"/>
      <c r="S122" s="5"/>
      <c r="T122" s="5"/>
      <c r="U122" s="5"/>
      <c r="AL122" s="5"/>
      <c r="AM122" s="5"/>
      <c r="AN122" s="5"/>
      <c r="AO122" s="5"/>
      <c r="AQ122" s="5"/>
      <c r="AR122" s="5"/>
      <c r="AS122" s="5"/>
      <c r="AT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</row>
    <row r="123" spans="18:146" ht="12.75">
      <c r="R123" s="5"/>
      <c r="S123" s="5"/>
      <c r="T123" s="5"/>
      <c r="U123" s="5"/>
      <c r="AL123" s="5"/>
      <c r="AM123" s="5"/>
      <c r="AN123" s="5"/>
      <c r="AO123" s="5"/>
      <c r="AQ123" s="5"/>
      <c r="AR123" s="5"/>
      <c r="AS123" s="5"/>
      <c r="AT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</row>
    <row r="124" spans="18:146" ht="12.75">
      <c r="R124" s="5"/>
      <c r="S124" s="5"/>
      <c r="T124" s="5"/>
      <c r="U124" s="5"/>
      <c r="AL124" s="5"/>
      <c r="AM124" s="5"/>
      <c r="AN124" s="5"/>
      <c r="AO124" s="5"/>
      <c r="AQ124" s="5"/>
      <c r="AR124" s="5"/>
      <c r="AS124" s="5"/>
      <c r="AT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</row>
    <row r="125" spans="18:146" ht="12.75">
      <c r="R125" s="5"/>
      <c r="S125" s="5"/>
      <c r="T125" s="5"/>
      <c r="U125" s="5"/>
      <c r="AL125" s="5"/>
      <c r="AM125" s="5"/>
      <c r="AN125" s="5"/>
      <c r="AO125" s="5"/>
      <c r="AQ125" s="5"/>
      <c r="AR125" s="5"/>
      <c r="AS125" s="5"/>
      <c r="AT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</row>
    <row r="126" spans="18:146" ht="12.75">
      <c r="R126" s="5"/>
      <c r="S126" s="5"/>
      <c r="T126" s="5"/>
      <c r="U126" s="5"/>
      <c r="AL126" s="5"/>
      <c r="AM126" s="5"/>
      <c r="AN126" s="5"/>
      <c r="AO126" s="5"/>
      <c r="AQ126" s="5"/>
      <c r="AR126" s="5"/>
      <c r="AS126" s="5"/>
      <c r="AT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</row>
    <row r="127" spans="18:146" ht="12.75">
      <c r="R127" s="5"/>
      <c r="S127" s="5"/>
      <c r="T127" s="5"/>
      <c r="U127" s="5"/>
      <c r="AL127" s="5"/>
      <c r="AM127" s="5"/>
      <c r="AN127" s="5"/>
      <c r="AO127" s="5"/>
      <c r="AQ127" s="5"/>
      <c r="AR127" s="5"/>
      <c r="AS127" s="5"/>
      <c r="AT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</row>
    <row r="128" spans="18:146" ht="12.75">
      <c r="R128" s="5"/>
      <c r="S128" s="5"/>
      <c r="T128" s="5"/>
      <c r="U128" s="5"/>
      <c r="AL128" s="5"/>
      <c r="AM128" s="5"/>
      <c r="AN128" s="5"/>
      <c r="AO128" s="5"/>
      <c r="AQ128" s="5"/>
      <c r="AR128" s="5"/>
      <c r="AS128" s="5"/>
      <c r="AT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</row>
    <row r="129" spans="18:146" ht="12.75">
      <c r="R129" s="5"/>
      <c r="S129" s="5"/>
      <c r="T129" s="5"/>
      <c r="U129" s="5"/>
      <c r="AL129" s="5"/>
      <c r="AM129" s="5"/>
      <c r="AN129" s="5"/>
      <c r="AO129" s="5"/>
      <c r="AQ129" s="5"/>
      <c r="AR129" s="5"/>
      <c r="AS129" s="5"/>
      <c r="AT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</row>
    <row r="130" spans="18:146" ht="12.75">
      <c r="R130" s="5"/>
      <c r="S130" s="5"/>
      <c r="T130" s="5"/>
      <c r="U130" s="5"/>
      <c r="AL130" s="5"/>
      <c r="AM130" s="5"/>
      <c r="AN130" s="5"/>
      <c r="AO130" s="5"/>
      <c r="AQ130" s="5"/>
      <c r="AR130" s="5"/>
      <c r="AS130" s="5"/>
      <c r="AT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</row>
    <row r="131" spans="18:146" ht="12.75">
      <c r="R131" s="5"/>
      <c r="S131" s="5"/>
      <c r="T131" s="5"/>
      <c r="U131" s="5"/>
      <c r="AL131" s="5"/>
      <c r="AM131" s="5"/>
      <c r="AN131" s="5"/>
      <c r="AO131" s="5"/>
      <c r="AQ131" s="5"/>
      <c r="AR131" s="5"/>
      <c r="AS131" s="5"/>
      <c r="AT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</row>
    <row r="132" spans="18:146" ht="12.75">
      <c r="R132" s="5"/>
      <c r="S132" s="5"/>
      <c r="T132" s="5"/>
      <c r="U132" s="5"/>
      <c r="AL132" s="5"/>
      <c r="AM132" s="5"/>
      <c r="AN132" s="5"/>
      <c r="AO132" s="5"/>
      <c r="AQ132" s="5"/>
      <c r="AR132" s="5"/>
      <c r="AS132" s="5"/>
      <c r="AT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</row>
    <row r="133" spans="18:146" ht="12.75">
      <c r="R133" s="5"/>
      <c r="S133" s="5"/>
      <c r="T133" s="5"/>
      <c r="U133" s="5"/>
      <c r="AL133" s="5"/>
      <c r="AM133" s="5"/>
      <c r="AN133" s="5"/>
      <c r="AO133" s="5"/>
      <c r="AQ133" s="5"/>
      <c r="AR133" s="5"/>
      <c r="AS133" s="5"/>
      <c r="AT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</row>
    <row r="134" spans="18:146" ht="12.75">
      <c r="R134" s="5"/>
      <c r="S134" s="5"/>
      <c r="T134" s="5"/>
      <c r="U134" s="5"/>
      <c r="AL134" s="5"/>
      <c r="AM134" s="5"/>
      <c r="AN134" s="5"/>
      <c r="AO134" s="5"/>
      <c r="AQ134" s="5"/>
      <c r="AR134" s="5"/>
      <c r="AS134" s="5"/>
      <c r="AT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</row>
    <row r="135" spans="18:146" ht="12.75">
      <c r="R135" s="5"/>
      <c r="S135" s="5"/>
      <c r="T135" s="5"/>
      <c r="U135" s="5"/>
      <c r="AL135" s="5"/>
      <c r="AM135" s="5"/>
      <c r="AN135" s="5"/>
      <c r="AO135" s="5"/>
      <c r="AQ135" s="5"/>
      <c r="AR135" s="5"/>
      <c r="AS135" s="5"/>
      <c r="AT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</row>
    <row r="136" spans="18:146" ht="12.75">
      <c r="R136" s="5"/>
      <c r="S136" s="5"/>
      <c r="T136" s="5"/>
      <c r="U136" s="5"/>
      <c r="AL136" s="5"/>
      <c r="AM136" s="5"/>
      <c r="AN136" s="5"/>
      <c r="AO136" s="5"/>
      <c r="AQ136" s="5"/>
      <c r="AR136" s="5"/>
      <c r="AS136" s="5"/>
      <c r="AT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</row>
    <row r="137" spans="18:146" ht="12.75">
      <c r="R137" s="5"/>
      <c r="S137" s="5"/>
      <c r="T137" s="5"/>
      <c r="U137" s="5"/>
      <c r="AL137" s="5"/>
      <c r="AM137" s="5"/>
      <c r="AN137" s="5"/>
      <c r="AO137" s="5"/>
      <c r="AQ137" s="5"/>
      <c r="AR137" s="5"/>
      <c r="AS137" s="5"/>
      <c r="AT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</row>
    <row r="138" spans="18:146" ht="12.75">
      <c r="R138" s="5"/>
      <c r="S138" s="5"/>
      <c r="T138" s="5"/>
      <c r="U138" s="5"/>
      <c r="AL138" s="5"/>
      <c r="AM138" s="5"/>
      <c r="AN138" s="5"/>
      <c r="AO138" s="5"/>
      <c r="AQ138" s="5"/>
      <c r="AR138" s="5"/>
      <c r="AS138" s="5"/>
      <c r="AT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</row>
    <row r="139" spans="18:146" ht="12.75">
      <c r="R139" s="5"/>
      <c r="S139" s="5"/>
      <c r="T139" s="5"/>
      <c r="U139" s="5"/>
      <c r="AL139" s="5"/>
      <c r="AM139" s="5"/>
      <c r="AN139" s="5"/>
      <c r="AO139" s="5"/>
      <c r="AQ139" s="5"/>
      <c r="AR139" s="5"/>
      <c r="AS139" s="5"/>
      <c r="AT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</row>
    <row r="140" spans="18:146" ht="12.75">
      <c r="R140" s="5"/>
      <c r="S140" s="5"/>
      <c r="T140" s="5"/>
      <c r="U140" s="5"/>
      <c r="AL140" s="5"/>
      <c r="AM140" s="5"/>
      <c r="AN140" s="5"/>
      <c r="AO140" s="5"/>
      <c r="AQ140" s="5"/>
      <c r="AR140" s="5"/>
      <c r="AS140" s="5"/>
      <c r="AT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</row>
    <row r="141" spans="18:146" ht="12.75">
      <c r="R141" s="5"/>
      <c r="S141" s="5"/>
      <c r="T141" s="5"/>
      <c r="U141" s="5"/>
      <c r="AL141" s="5"/>
      <c r="AM141" s="5"/>
      <c r="AN141" s="5"/>
      <c r="AO141" s="5"/>
      <c r="AQ141" s="5"/>
      <c r="AR141" s="5"/>
      <c r="AS141" s="5"/>
      <c r="AT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</row>
    <row r="142" spans="18:146" ht="12.75">
      <c r="R142" s="5"/>
      <c r="S142" s="5"/>
      <c r="T142" s="5"/>
      <c r="U142" s="5"/>
      <c r="AL142" s="5"/>
      <c r="AM142" s="5"/>
      <c r="AN142" s="5"/>
      <c r="AO142" s="5"/>
      <c r="AQ142" s="5"/>
      <c r="AR142" s="5"/>
      <c r="AS142" s="5"/>
      <c r="AT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</row>
    <row r="143" spans="18:146" ht="12.75">
      <c r="R143" s="5"/>
      <c r="S143" s="5"/>
      <c r="T143" s="5"/>
      <c r="U143" s="5"/>
      <c r="AL143" s="5"/>
      <c r="AM143" s="5"/>
      <c r="AN143" s="5"/>
      <c r="AO143" s="5"/>
      <c r="AQ143" s="5"/>
      <c r="AR143" s="5"/>
      <c r="AS143" s="5"/>
      <c r="AT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</row>
    <row r="144" spans="18:146" ht="12.75">
      <c r="R144" s="5"/>
      <c r="S144" s="5"/>
      <c r="T144" s="5"/>
      <c r="U144" s="5"/>
      <c r="AL144" s="5"/>
      <c r="AM144" s="5"/>
      <c r="AN144" s="5"/>
      <c r="AO144" s="5"/>
      <c r="AQ144" s="5"/>
      <c r="AR144" s="5"/>
      <c r="AS144" s="5"/>
      <c r="AT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</row>
    <row r="145" spans="18:146" ht="12.75">
      <c r="R145" s="5"/>
      <c r="S145" s="5"/>
      <c r="T145" s="5"/>
      <c r="U145" s="5"/>
      <c r="AL145" s="5"/>
      <c r="AM145" s="5"/>
      <c r="AN145" s="5"/>
      <c r="AO145" s="5"/>
      <c r="AQ145" s="5"/>
      <c r="AR145" s="5"/>
      <c r="AS145" s="5"/>
      <c r="AT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</row>
    <row r="146" spans="18:146" ht="12.75">
      <c r="R146" s="5"/>
      <c r="S146" s="5"/>
      <c r="T146" s="5"/>
      <c r="U146" s="5"/>
      <c r="AL146" s="5"/>
      <c r="AM146" s="5"/>
      <c r="AN146" s="5"/>
      <c r="AO146" s="5"/>
      <c r="AQ146" s="5"/>
      <c r="AR146" s="5"/>
      <c r="AS146" s="5"/>
      <c r="AT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</row>
    <row r="147" spans="18:146" ht="12.75">
      <c r="R147" s="5"/>
      <c r="S147" s="5"/>
      <c r="T147" s="5"/>
      <c r="U147" s="5"/>
      <c r="AL147" s="5"/>
      <c r="AM147" s="5"/>
      <c r="AN147" s="5"/>
      <c r="AO147" s="5"/>
      <c r="AQ147" s="5"/>
      <c r="AR147" s="5"/>
      <c r="AS147" s="5"/>
      <c r="AT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</row>
    <row r="148" spans="18:146" ht="12.75">
      <c r="R148" s="5"/>
      <c r="S148" s="5"/>
      <c r="T148" s="5"/>
      <c r="U148" s="5"/>
      <c r="AL148" s="5"/>
      <c r="AM148" s="5"/>
      <c r="AN148" s="5"/>
      <c r="AO148" s="5"/>
      <c r="AQ148" s="5"/>
      <c r="AR148" s="5"/>
      <c r="AS148" s="5"/>
      <c r="AT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</row>
    <row r="149" spans="18:146" ht="12.75">
      <c r="R149" s="5"/>
      <c r="S149" s="5"/>
      <c r="T149" s="5"/>
      <c r="U149" s="5"/>
      <c r="AL149" s="5"/>
      <c r="AM149" s="5"/>
      <c r="AN149" s="5"/>
      <c r="AO149" s="5"/>
      <c r="AQ149" s="5"/>
      <c r="AR149" s="5"/>
      <c r="AS149" s="5"/>
      <c r="AT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</row>
    <row r="150" spans="18:146" ht="12.75">
      <c r="R150" s="5"/>
      <c r="S150" s="5"/>
      <c r="T150" s="5"/>
      <c r="U150" s="5"/>
      <c r="AL150" s="5"/>
      <c r="AM150" s="5"/>
      <c r="AN150" s="5"/>
      <c r="AO150" s="5"/>
      <c r="AQ150" s="5"/>
      <c r="AR150" s="5"/>
      <c r="AS150" s="5"/>
      <c r="AT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</row>
    <row r="151" spans="18:146" ht="12.75">
      <c r="R151" s="5"/>
      <c r="S151" s="5"/>
      <c r="T151" s="5"/>
      <c r="U151" s="5"/>
      <c r="AL151" s="5"/>
      <c r="AM151" s="5"/>
      <c r="AN151" s="5"/>
      <c r="AO151" s="5"/>
      <c r="AQ151" s="5"/>
      <c r="AR151" s="5"/>
      <c r="AS151" s="5"/>
      <c r="AT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</row>
    <row r="152" spans="18:146" ht="12.75">
      <c r="R152" s="5"/>
      <c r="S152" s="5"/>
      <c r="T152" s="5"/>
      <c r="U152" s="5"/>
      <c r="AL152" s="5"/>
      <c r="AM152" s="5"/>
      <c r="AN152" s="5"/>
      <c r="AO152" s="5"/>
      <c r="AQ152" s="5"/>
      <c r="AR152" s="5"/>
      <c r="AS152" s="5"/>
      <c r="AT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</row>
    <row r="153" spans="18:146" ht="12.75">
      <c r="R153" s="5"/>
      <c r="S153" s="5"/>
      <c r="T153" s="5"/>
      <c r="U153" s="5"/>
      <c r="AL153" s="5"/>
      <c r="AM153" s="5"/>
      <c r="AN153" s="5"/>
      <c r="AO153" s="5"/>
      <c r="AQ153" s="5"/>
      <c r="AR153" s="5"/>
      <c r="AS153" s="5"/>
      <c r="AT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</row>
    <row r="154" spans="18:146" ht="12.75">
      <c r="R154" s="5"/>
      <c r="S154" s="5"/>
      <c r="T154" s="5"/>
      <c r="U154" s="5"/>
      <c r="AL154" s="5"/>
      <c r="AM154" s="5"/>
      <c r="AN154" s="5"/>
      <c r="AO154" s="5"/>
      <c r="AQ154" s="5"/>
      <c r="AR154" s="5"/>
      <c r="AS154" s="5"/>
      <c r="AT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</row>
    <row r="155" spans="18:146" ht="12.75">
      <c r="R155" s="5"/>
      <c r="S155" s="5"/>
      <c r="T155" s="5"/>
      <c r="U155" s="5"/>
      <c r="AL155" s="5"/>
      <c r="AM155" s="5"/>
      <c r="AN155" s="5"/>
      <c r="AO155" s="5"/>
      <c r="AQ155" s="5"/>
      <c r="AR155" s="5"/>
      <c r="AS155" s="5"/>
      <c r="AT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</row>
    <row r="156" spans="18:146" ht="12.75">
      <c r="R156" s="5"/>
      <c r="S156" s="5"/>
      <c r="T156" s="5"/>
      <c r="U156" s="5"/>
      <c r="AL156" s="5"/>
      <c r="AM156" s="5"/>
      <c r="AN156" s="5"/>
      <c r="AO156" s="5"/>
      <c r="AQ156" s="5"/>
      <c r="AR156" s="5"/>
      <c r="AS156" s="5"/>
      <c r="AT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</row>
    <row r="157" spans="18:146" ht="12.75">
      <c r="R157" s="5"/>
      <c r="S157" s="5"/>
      <c r="T157" s="5"/>
      <c r="U157" s="5"/>
      <c r="AL157" s="5"/>
      <c r="AM157" s="5"/>
      <c r="AN157" s="5"/>
      <c r="AO157" s="5"/>
      <c r="AQ157" s="5"/>
      <c r="AR157" s="5"/>
      <c r="AS157" s="5"/>
      <c r="AT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</row>
    <row r="158" spans="18:146" ht="12.75">
      <c r="R158" s="5"/>
      <c r="S158" s="5"/>
      <c r="T158" s="5"/>
      <c r="U158" s="5"/>
      <c r="AL158" s="5"/>
      <c r="AM158" s="5"/>
      <c r="AN158" s="5"/>
      <c r="AO158" s="5"/>
      <c r="AQ158" s="5"/>
      <c r="AR158" s="5"/>
      <c r="AS158" s="5"/>
      <c r="AT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</row>
    <row r="159" spans="18:146" ht="12.75">
      <c r="R159" s="5"/>
      <c r="S159" s="5"/>
      <c r="T159" s="5"/>
      <c r="U159" s="5"/>
      <c r="AL159" s="5"/>
      <c r="AM159" s="5"/>
      <c r="AN159" s="5"/>
      <c r="AO159" s="5"/>
      <c r="AQ159" s="5"/>
      <c r="AR159" s="5"/>
      <c r="AS159" s="5"/>
      <c r="AT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</row>
    <row r="160" spans="18:146" ht="12.75">
      <c r="R160" s="5"/>
      <c r="S160" s="5"/>
      <c r="T160" s="5"/>
      <c r="U160" s="5"/>
      <c r="AL160" s="5"/>
      <c r="AM160" s="5"/>
      <c r="AN160" s="5"/>
      <c r="AO160" s="5"/>
      <c r="AQ160" s="5"/>
      <c r="AR160" s="5"/>
      <c r="AS160" s="5"/>
      <c r="AT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</row>
    <row r="161" spans="18:146" ht="12.75">
      <c r="R161" s="5"/>
      <c r="S161" s="5"/>
      <c r="T161" s="5"/>
      <c r="U161" s="5"/>
      <c r="AL161" s="5"/>
      <c r="AM161" s="5"/>
      <c r="AN161" s="5"/>
      <c r="AO161" s="5"/>
      <c r="AQ161" s="5"/>
      <c r="AR161" s="5"/>
      <c r="AS161" s="5"/>
      <c r="AT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</row>
    <row r="162" spans="18:146" ht="12.75">
      <c r="R162" s="5"/>
      <c r="S162" s="5"/>
      <c r="T162" s="5"/>
      <c r="U162" s="5"/>
      <c r="AL162" s="5"/>
      <c r="AM162" s="5"/>
      <c r="AN162" s="5"/>
      <c r="AO162" s="5"/>
      <c r="AQ162" s="5"/>
      <c r="AR162" s="5"/>
      <c r="AS162" s="5"/>
      <c r="AT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</row>
    <row r="163" spans="18:146" ht="12.75">
      <c r="R163" s="5"/>
      <c r="S163" s="5"/>
      <c r="T163" s="5"/>
      <c r="U163" s="5"/>
      <c r="AL163" s="5"/>
      <c r="AM163" s="5"/>
      <c r="AN163" s="5"/>
      <c r="AO163" s="5"/>
      <c r="AQ163" s="5"/>
      <c r="AR163" s="5"/>
      <c r="AS163" s="5"/>
      <c r="AT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</row>
    <row r="164" spans="18:146" ht="12.75">
      <c r="R164" s="5"/>
      <c r="S164" s="5"/>
      <c r="T164" s="5"/>
      <c r="U164" s="5"/>
      <c r="AL164" s="5"/>
      <c r="AM164" s="5"/>
      <c r="AN164" s="5"/>
      <c r="AO164" s="5"/>
      <c r="AQ164" s="5"/>
      <c r="AR164" s="5"/>
      <c r="AS164" s="5"/>
      <c r="AT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</row>
    <row r="165" spans="18:146" ht="12.75">
      <c r="R165" s="5"/>
      <c r="S165" s="5"/>
      <c r="T165" s="5"/>
      <c r="U165" s="5"/>
      <c r="AL165" s="5"/>
      <c r="AM165" s="5"/>
      <c r="AN165" s="5"/>
      <c r="AO165" s="5"/>
      <c r="AQ165" s="5"/>
      <c r="AR165" s="5"/>
      <c r="AS165" s="5"/>
      <c r="AT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</row>
    <row r="166" spans="18:146" ht="12.75">
      <c r="R166" s="5"/>
      <c r="S166" s="5"/>
      <c r="T166" s="5"/>
      <c r="U166" s="5"/>
      <c r="AL166" s="5"/>
      <c r="AM166" s="5"/>
      <c r="AN166" s="5"/>
      <c r="AO166" s="5"/>
      <c r="AQ166" s="5"/>
      <c r="AR166" s="5"/>
      <c r="AS166" s="5"/>
      <c r="AT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</row>
    <row r="167" spans="18:146" ht="12.75">
      <c r="R167" s="5"/>
      <c r="S167" s="5"/>
      <c r="T167" s="5"/>
      <c r="U167" s="5"/>
      <c r="AL167" s="5"/>
      <c r="AM167" s="5"/>
      <c r="AN167" s="5"/>
      <c r="AO167" s="5"/>
      <c r="AQ167" s="5"/>
      <c r="AR167" s="5"/>
      <c r="AS167" s="5"/>
      <c r="AT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</row>
    <row r="168" spans="18:146" ht="12.75">
      <c r="R168" s="5"/>
      <c r="S168" s="5"/>
      <c r="T168" s="5"/>
      <c r="U168" s="5"/>
      <c r="AL168" s="5"/>
      <c r="AM168" s="5"/>
      <c r="AN168" s="5"/>
      <c r="AO168" s="5"/>
      <c r="AQ168" s="5"/>
      <c r="AR168" s="5"/>
      <c r="AS168" s="5"/>
      <c r="AT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</row>
    <row r="169" spans="18:146" ht="12.75">
      <c r="R169" s="5"/>
      <c r="S169" s="5"/>
      <c r="T169" s="5"/>
      <c r="U169" s="5"/>
      <c r="AL169" s="5"/>
      <c r="AM169" s="5"/>
      <c r="AN169" s="5"/>
      <c r="AO169" s="5"/>
      <c r="AQ169" s="5"/>
      <c r="AR169" s="5"/>
      <c r="AS169" s="5"/>
      <c r="AT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</row>
    <row r="170" spans="18:146" ht="12.75">
      <c r="R170" s="5"/>
      <c r="S170" s="5"/>
      <c r="T170" s="5"/>
      <c r="U170" s="5"/>
      <c r="AL170" s="5"/>
      <c r="AM170" s="5"/>
      <c r="AN170" s="5"/>
      <c r="AO170" s="5"/>
      <c r="AQ170" s="5"/>
      <c r="AR170" s="5"/>
      <c r="AS170" s="5"/>
      <c r="AT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</row>
    <row r="171" spans="18:146" ht="12.75">
      <c r="R171" s="5"/>
      <c r="S171" s="5"/>
      <c r="T171" s="5"/>
      <c r="U171" s="5"/>
      <c r="AL171" s="5"/>
      <c r="AM171" s="5"/>
      <c r="AN171" s="5"/>
      <c r="AO171" s="5"/>
      <c r="AQ171" s="5"/>
      <c r="AR171" s="5"/>
      <c r="AS171" s="5"/>
      <c r="AT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</row>
    <row r="172" spans="18:146" ht="12.75">
      <c r="R172" s="5"/>
      <c r="S172" s="5"/>
      <c r="T172" s="5"/>
      <c r="U172" s="5"/>
      <c r="AL172" s="5"/>
      <c r="AM172" s="5"/>
      <c r="AN172" s="5"/>
      <c r="AO172" s="5"/>
      <c r="AQ172" s="5"/>
      <c r="AR172" s="5"/>
      <c r="AS172" s="5"/>
      <c r="AT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</row>
    <row r="173" spans="18:146" ht="12.75">
      <c r="R173" s="5"/>
      <c r="S173" s="5"/>
      <c r="T173" s="5"/>
      <c r="U173" s="5"/>
      <c r="AL173" s="5"/>
      <c r="AM173" s="5"/>
      <c r="AN173" s="5"/>
      <c r="AO173" s="5"/>
      <c r="AQ173" s="5"/>
      <c r="AR173" s="5"/>
      <c r="AS173" s="5"/>
      <c r="AT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</row>
    <row r="174" spans="18:146" ht="12.75">
      <c r="R174" s="5"/>
      <c r="S174" s="5"/>
      <c r="T174" s="5"/>
      <c r="U174" s="5"/>
      <c r="AL174" s="5"/>
      <c r="AM174" s="5"/>
      <c r="AN174" s="5"/>
      <c r="AO174" s="5"/>
      <c r="AQ174" s="5"/>
      <c r="AR174" s="5"/>
      <c r="AS174" s="5"/>
      <c r="AT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</row>
    <row r="175" spans="18:146" ht="12.75">
      <c r="R175" s="5"/>
      <c r="S175" s="5"/>
      <c r="T175" s="5"/>
      <c r="U175" s="5"/>
      <c r="AL175" s="5"/>
      <c r="AM175" s="5"/>
      <c r="AN175" s="5"/>
      <c r="AO175" s="5"/>
      <c r="AQ175" s="5"/>
      <c r="AR175" s="5"/>
      <c r="AS175" s="5"/>
      <c r="AT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</row>
    <row r="176" spans="18:146" ht="12.75">
      <c r="R176" s="5"/>
      <c r="S176" s="5"/>
      <c r="T176" s="5"/>
      <c r="U176" s="5"/>
      <c r="AL176" s="5"/>
      <c r="AM176" s="5"/>
      <c r="AN176" s="5"/>
      <c r="AO176" s="5"/>
      <c r="AQ176" s="5"/>
      <c r="AR176" s="5"/>
      <c r="AS176" s="5"/>
      <c r="AT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</row>
    <row r="177" spans="18:146" ht="12.75">
      <c r="R177" s="5"/>
      <c r="S177" s="5"/>
      <c r="T177" s="5"/>
      <c r="U177" s="5"/>
      <c r="AL177" s="5"/>
      <c r="AM177" s="5"/>
      <c r="AN177" s="5"/>
      <c r="AO177" s="5"/>
      <c r="AQ177" s="5"/>
      <c r="AR177" s="5"/>
      <c r="AS177" s="5"/>
      <c r="AT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</row>
    <row r="178" spans="18:146" ht="12.75">
      <c r="R178" s="5"/>
      <c r="S178" s="5"/>
      <c r="T178" s="5"/>
      <c r="U178" s="5"/>
      <c r="AL178" s="5"/>
      <c r="AM178" s="5"/>
      <c r="AN178" s="5"/>
      <c r="AO178" s="5"/>
      <c r="AQ178" s="5"/>
      <c r="AR178" s="5"/>
      <c r="AS178" s="5"/>
      <c r="AT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</row>
    <row r="179" spans="18:146" ht="12.75">
      <c r="R179" s="5"/>
      <c r="S179" s="5"/>
      <c r="T179" s="5"/>
      <c r="U179" s="5"/>
      <c r="AL179" s="5"/>
      <c r="AM179" s="5"/>
      <c r="AN179" s="5"/>
      <c r="AO179" s="5"/>
      <c r="AQ179" s="5"/>
      <c r="AR179" s="5"/>
      <c r="AS179" s="5"/>
      <c r="AT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</row>
    <row r="180" spans="18:146" ht="12.75">
      <c r="R180" s="5"/>
      <c r="S180" s="5"/>
      <c r="T180" s="5"/>
      <c r="U180" s="5"/>
      <c r="AL180" s="5"/>
      <c r="AM180" s="5"/>
      <c r="AN180" s="5"/>
      <c r="AO180" s="5"/>
      <c r="AQ180" s="5"/>
      <c r="AR180" s="5"/>
      <c r="AS180" s="5"/>
      <c r="AT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</row>
    <row r="181" spans="18:146" ht="12.75">
      <c r="R181" s="5"/>
      <c r="S181" s="5"/>
      <c r="T181" s="5"/>
      <c r="U181" s="5"/>
      <c r="AL181" s="5"/>
      <c r="AM181" s="5"/>
      <c r="AN181" s="5"/>
      <c r="AO181" s="5"/>
      <c r="AQ181" s="5"/>
      <c r="AR181" s="5"/>
      <c r="AS181" s="5"/>
      <c r="AT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</row>
    <row r="182" spans="18:146" ht="12.75">
      <c r="R182" s="5"/>
      <c r="S182" s="5"/>
      <c r="T182" s="5"/>
      <c r="U182" s="5"/>
      <c r="AL182" s="5"/>
      <c r="AM182" s="5"/>
      <c r="AN182" s="5"/>
      <c r="AO182" s="5"/>
      <c r="AQ182" s="5"/>
      <c r="AR182" s="5"/>
      <c r="AS182" s="5"/>
      <c r="AT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</row>
    <row r="183" spans="18:146" ht="12.75">
      <c r="R183" s="5"/>
      <c r="S183" s="5"/>
      <c r="T183" s="5"/>
      <c r="U183" s="5"/>
      <c r="AL183" s="5"/>
      <c r="AM183" s="5"/>
      <c r="AN183" s="5"/>
      <c r="AO183" s="5"/>
      <c r="AQ183" s="5"/>
      <c r="AR183" s="5"/>
      <c r="AS183" s="5"/>
      <c r="AT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</row>
    <row r="184" spans="18:146" ht="12.75">
      <c r="R184" s="5"/>
      <c r="S184" s="5"/>
      <c r="T184" s="5"/>
      <c r="U184" s="5"/>
      <c r="AL184" s="5"/>
      <c r="AM184" s="5"/>
      <c r="AN184" s="5"/>
      <c r="AO184" s="5"/>
      <c r="AQ184" s="5"/>
      <c r="AR184" s="5"/>
      <c r="AS184" s="5"/>
      <c r="AT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</row>
    <row r="185" spans="18:146" ht="12.75">
      <c r="R185" s="5"/>
      <c r="S185" s="5"/>
      <c r="T185" s="5"/>
      <c r="U185" s="5"/>
      <c r="AL185" s="5"/>
      <c r="AM185" s="5"/>
      <c r="AN185" s="5"/>
      <c r="AO185" s="5"/>
      <c r="AQ185" s="5"/>
      <c r="AR185" s="5"/>
      <c r="AS185" s="5"/>
      <c r="AT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</row>
    <row r="186" spans="18:146" ht="12.75">
      <c r="R186" s="5"/>
      <c r="S186" s="5"/>
      <c r="T186" s="5"/>
      <c r="U186" s="5"/>
      <c r="AL186" s="5"/>
      <c r="AM186" s="5"/>
      <c r="AN186" s="5"/>
      <c r="AO186" s="5"/>
      <c r="AQ186" s="5"/>
      <c r="AR186" s="5"/>
      <c r="AS186" s="5"/>
      <c r="AT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</row>
    <row r="187" spans="18:146" ht="12.75">
      <c r="R187" s="5"/>
      <c r="S187" s="5"/>
      <c r="T187" s="5"/>
      <c r="U187" s="5"/>
      <c r="AL187" s="5"/>
      <c r="AM187" s="5"/>
      <c r="AN187" s="5"/>
      <c r="AO187" s="5"/>
      <c r="AQ187" s="5"/>
      <c r="AR187" s="5"/>
      <c r="AS187" s="5"/>
      <c r="AT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</row>
    <row r="188" spans="18:146" ht="12.75">
      <c r="R188" s="5"/>
      <c r="S188" s="5"/>
      <c r="T188" s="5"/>
      <c r="U188" s="5"/>
      <c r="AL188" s="5"/>
      <c r="AM188" s="5"/>
      <c r="AN188" s="5"/>
      <c r="AO188" s="5"/>
      <c r="AQ188" s="5"/>
      <c r="AR188" s="5"/>
      <c r="AS188" s="5"/>
      <c r="AT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</row>
    <row r="189" spans="18:146" ht="12.75">
      <c r="R189" s="5"/>
      <c r="S189" s="5"/>
      <c r="T189" s="5"/>
      <c r="U189" s="5"/>
      <c r="AL189" s="5"/>
      <c r="AM189" s="5"/>
      <c r="AN189" s="5"/>
      <c r="AO189" s="5"/>
      <c r="AQ189" s="5"/>
      <c r="AR189" s="5"/>
      <c r="AS189" s="5"/>
      <c r="AT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</row>
    <row r="190" spans="18:146" ht="12.75">
      <c r="R190" s="5"/>
      <c r="S190" s="5"/>
      <c r="T190" s="5"/>
      <c r="U190" s="5"/>
      <c r="AL190" s="5"/>
      <c r="AM190" s="5"/>
      <c r="AN190" s="5"/>
      <c r="AO190" s="5"/>
      <c r="AQ190" s="5"/>
      <c r="AR190" s="5"/>
      <c r="AS190" s="5"/>
      <c r="AT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</row>
    <row r="191" spans="18:146" ht="12.75">
      <c r="R191" s="5"/>
      <c r="S191" s="5"/>
      <c r="T191" s="5"/>
      <c r="U191" s="5"/>
      <c r="AL191" s="5"/>
      <c r="AM191" s="5"/>
      <c r="AN191" s="5"/>
      <c r="AO191" s="5"/>
      <c r="AQ191" s="5"/>
      <c r="AR191" s="5"/>
      <c r="AS191" s="5"/>
      <c r="AT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</row>
    <row r="192" spans="18:146" ht="12.75">
      <c r="R192" s="5"/>
      <c r="S192" s="5"/>
      <c r="T192" s="5"/>
      <c r="U192" s="5"/>
      <c r="AL192" s="5"/>
      <c r="AM192" s="5"/>
      <c r="AN192" s="5"/>
      <c r="AO192" s="5"/>
      <c r="AQ192" s="5"/>
      <c r="AR192" s="5"/>
      <c r="AS192" s="5"/>
      <c r="AT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</row>
    <row r="193" spans="18:146" ht="12.75">
      <c r="R193" s="5"/>
      <c r="S193" s="5"/>
      <c r="T193" s="5"/>
      <c r="U193" s="5"/>
      <c r="AL193" s="5"/>
      <c r="AM193" s="5"/>
      <c r="AN193" s="5"/>
      <c r="AO193" s="5"/>
      <c r="AQ193" s="5"/>
      <c r="AR193" s="5"/>
      <c r="AS193" s="5"/>
      <c r="AT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</row>
    <row r="194" spans="18:146" ht="12.75">
      <c r="R194" s="5"/>
      <c r="S194" s="5"/>
      <c r="T194" s="5"/>
      <c r="U194" s="5"/>
      <c r="AL194" s="5"/>
      <c r="AM194" s="5"/>
      <c r="AN194" s="5"/>
      <c r="AO194" s="5"/>
      <c r="AQ194" s="5"/>
      <c r="AR194" s="5"/>
      <c r="AS194" s="5"/>
      <c r="AT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</row>
    <row r="195" spans="18:146" ht="12.75">
      <c r="R195" s="5"/>
      <c r="S195" s="5"/>
      <c r="T195" s="5"/>
      <c r="U195" s="5"/>
      <c r="AL195" s="5"/>
      <c r="AM195" s="5"/>
      <c r="AN195" s="5"/>
      <c r="AO195" s="5"/>
      <c r="AQ195" s="5"/>
      <c r="AR195" s="5"/>
      <c r="AS195" s="5"/>
      <c r="AT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</row>
    <row r="196" spans="18:146" ht="12.75">
      <c r="R196" s="5"/>
      <c r="S196" s="5"/>
      <c r="T196" s="5"/>
      <c r="U196" s="5"/>
      <c r="AL196" s="5"/>
      <c r="AM196" s="5"/>
      <c r="AN196" s="5"/>
      <c r="AO196" s="5"/>
      <c r="AQ196" s="5"/>
      <c r="AR196" s="5"/>
      <c r="AS196" s="5"/>
      <c r="AT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</row>
    <row r="197" spans="18:146" ht="12.75">
      <c r="R197" s="5"/>
      <c r="S197" s="5"/>
      <c r="T197" s="5"/>
      <c r="U197" s="5"/>
      <c r="AL197" s="5"/>
      <c r="AM197" s="5"/>
      <c r="AN197" s="5"/>
      <c r="AO197" s="5"/>
      <c r="AQ197" s="5"/>
      <c r="AR197" s="5"/>
      <c r="AS197" s="5"/>
      <c r="AT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</row>
    <row r="198" spans="18:146" ht="12.75">
      <c r="R198" s="5"/>
      <c r="S198" s="5"/>
      <c r="T198" s="5"/>
      <c r="U198" s="5"/>
      <c r="AL198" s="5"/>
      <c r="AM198" s="5"/>
      <c r="AN198" s="5"/>
      <c r="AO198" s="5"/>
      <c r="AQ198" s="5"/>
      <c r="AR198" s="5"/>
      <c r="AS198" s="5"/>
      <c r="AT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</row>
    <row r="199" spans="18:146" ht="12.75">
      <c r="R199" s="5"/>
      <c r="S199" s="5"/>
      <c r="T199" s="5"/>
      <c r="U199" s="5"/>
      <c r="AL199" s="5"/>
      <c r="AM199" s="5"/>
      <c r="AN199" s="5"/>
      <c r="AO199" s="5"/>
      <c r="AQ199" s="5"/>
      <c r="AR199" s="5"/>
      <c r="AS199" s="5"/>
      <c r="AT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</row>
    <row r="200" spans="18:146" ht="12.75">
      <c r="R200" s="5"/>
      <c r="S200" s="5"/>
      <c r="T200" s="5"/>
      <c r="U200" s="5"/>
      <c r="AL200" s="5"/>
      <c r="AM200" s="5"/>
      <c r="AN200" s="5"/>
      <c r="AO200" s="5"/>
      <c r="AQ200" s="5"/>
      <c r="AR200" s="5"/>
      <c r="AS200" s="5"/>
      <c r="AT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</row>
    <row r="201" spans="18:146" ht="12.75">
      <c r="R201" s="5"/>
      <c r="S201" s="5"/>
      <c r="T201" s="5"/>
      <c r="U201" s="5"/>
      <c r="AL201" s="5"/>
      <c r="AM201" s="5"/>
      <c r="AN201" s="5"/>
      <c r="AO201" s="5"/>
      <c r="AQ201" s="5"/>
      <c r="AR201" s="5"/>
      <c r="AS201" s="5"/>
      <c r="AT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</row>
    <row r="202" spans="18:146" ht="12.75">
      <c r="R202" s="5"/>
      <c r="S202" s="5"/>
      <c r="T202" s="5"/>
      <c r="U202" s="5"/>
      <c r="AL202" s="5"/>
      <c r="AM202" s="5"/>
      <c r="AN202" s="5"/>
      <c r="AO202" s="5"/>
      <c r="AQ202" s="5"/>
      <c r="AR202" s="5"/>
      <c r="AS202" s="5"/>
      <c r="AT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</row>
    <row r="203" spans="18:146" ht="12.75">
      <c r="R203" s="5"/>
      <c r="S203" s="5"/>
      <c r="T203" s="5"/>
      <c r="U203" s="5"/>
      <c r="AL203" s="5"/>
      <c r="AM203" s="5"/>
      <c r="AN203" s="5"/>
      <c r="AO203" s="5"/>
      <c r="AQ203" s="5"/>
      <c r="AR203" s="5"/>
      <c r="AS203" s="5"/>
      <c r="AT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</row>
    <row r="204" spans="18:146" ht="12.75">
      <c r="R204" s="5"/>
      <c r="S204" s="5"/>
      <c r="T204" s="5"/>
      <c r="U204" s="5"/>
      <c r="AL204" s="5"/>
      <c r="AM204" s="5"/>
      <c r="AN204" s="5"/>
      <c r="AO204" s="5"/>
      <c r="AQ204" s="5"/>
      <c r="AR204" s="5"/>
      <c r="AS204" s="5"/>
      <c r="AT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</row>
    <row r="205" spans="18:146" ht="12.75">
      <c r="R205" s="5"/>
      <c r="S205" s="5"/>
      <c r="T205" s="5"/>
      <c r="U205" s="5"/>
      <c r="AL205" s="5"/>
      <c r="AM205" s="5"/>
      <c r="AN205" s="5"/>
      <c r="AO205" s="5"/>
      <c r="AQ205" s="5"/>
      <c r="AR205" s="5"/>
      <c r="AS205" s="5"/>
      <c r="AT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</row>
    <row r="206" spans="18:146" ht="12.75">
      <c r="R206" s="5"/>
      <c r="S206" s="5"/>
      <c r="T206" s="5"/>
      <c r="U206" s="5"/>
      <c r="AL206" s="5"/>
      <c r="AM206" s="5"/>
      <c r="AN206" s="5"/>
      <c r="AO206" s="5"/>
      <c r="AQ206" s="5"/>
      <c r="AR206" s="5"/>
      <c r="AS206" s="5"/>
      <c r="AT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</row>
    <row r="207" spans="18:146" ht="12.75">
      <c r="R207" s="5"/>
      <c r="S207" s="5"/>
      <c r="T207" s="5"/>
      <c r="U207" s="5"/>
      <c r="AL207" s="5"/>
      <c r="AM207" s="5"/>
      <c r="AN207" s="5"/>
      <c r="AO207" s="5"/>
      <c r="AQ207" s="5"/>
      <c r="AR207" s="5"/>
      <c r="AS207" s="5"/>
      <c r="AT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</row>
    <row r="208" spans="18:146" ht="12.75">
      <c r="R208" s="5"/>
      <c r="S208" s="5"/>
      <c r="T208" s="5"/>
      <c r="U208" s="5"/>
      <c r="AL208" s="5"/>
      <c r="AM208" s="5"/>
      <c r="AN208" s="5"/>
      <c r="AO208" s="5"/>
      <c r="AQ208" s="5"/>
      <c r="AR208" s="5"/>
      <c r="AS208" s="5"/>
      <c r="AT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</row>
    <row r="209" spans="18:146" ht="12.75">
      <c r="R209" s="5"/>
      <c r="S209" s="5"/>
      <c r="T209" s="5"/>
      <c r="U209" s="5"/>
      <c r="AL209" s="5"/>
      <c r="AM209" s="5"/>
      <c r="AN209" s="5"/>
      <c r="AO209" s="5"/>
      <c r="AQ209" s="5"/>
      <c r="AR209" s="5"/>
      <c r="AS209" s="5"/>
      <c r="AT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</row>
    <row r="210" spans="18:146" ht="12.75">
      <c r="R210" s="5"/>
      <c r="S210" s="5"/>
      <c r="T210" s="5"/>
      <c r="U210" s="5"/>
      <c r="AL210" s="5"/>
      <c r="AM210" s="5"/>
      <c r="AN210" s="5"/>
      <c r="AO210" s="5"/>
      <c r="AQ210" s="5"/>
      <c r="AR210" s="5"/>
      <c r="AS210" s="5"/>
      <c r="AT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</row>
    <row r="211" spans="18:146" ht="12.75">
      <c r="R211" s="5"/>
      <c r="S211" s="5"/>
      <c r="T211" s="5"/>
      <c r="U211" s="5"/>
      <c r="AL211" s="5"/>
      <c r="AM211" s="5"/>
      <c r="AN211" s="5"/>
      <c r="AO211" s="5"/>
      <c r="AQ211" s="5"/>
      <c r="AR211" s="5"/>
      <c r="AS211" s="5"/>
      <c r="AT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</row>
    <row r="212" spans="18:146" ht="12.75">
      <c r="R212" s="5"/>
      <c r="S212" s="5"/>
      <c r="T212" s="5"/>
      <c r="U212" s="5"/>
      <c r="AL212" s="5"/>
      <c r="AM212" s="5"/>
      <c r="AN212" s="5"/>
      <c r="AO212" s="5"/>
      <c r="AQ212" s="5"/>
      <c r="AR212" s="5"/>
      <c r="AS212" s="5"/>
      <c r="AT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</row>
    <row r="213" spans="18:146" ht="12.75">
      <c r="R213" s="5"/>
      <c r="S213" s="5"/>
      <c r="T213" s="5"/>
      <c r="U213" s="5"/>
      <c r="AL213" s="5"/>
      <c r="AM213" s="5"/>
      <c r="AN213" s="5"/>
      <c r="AO213" s="5"/>
      <c r="AQ213" s="5"/>
      <c r="AR213" s="5"/>
      <c r="AS213" s="5"/>
      <c r="AT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</row>
    <row r="214" spans="18:146" ht="12.75">
      <c r="R214" s="5"/>
      <c r="S214" s="5"/>
      <c r="T214" s="5"/>
      <c r="U214" s="5"/>
      <c r="AL214" s="5"/>
      <c r="AM214" s="5"/>
      <c r="AN214" s="5"/>
      <c r="AO214" s="5"/>
      <c r="AQ214" s="5"/>
      <c r="AR214" s="5"/>
      <c r="AS214" s="5"/>
      <c r="AT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</row>
    <row r="215" spans="18:146" ht="12.75">
      <c r="R215" s="5"/>
      <c r="S215" s="5"/>
      <c r="T215" s="5"/>
      <c r="U215" s="5"/>
      <c r="AL215" s="5"/>
      <c r="AM215" s="5"/>
      <c r="AN215" s="5"/>
      <c r="AO215" s="5"/>
      <c r="AQ215" s="5"/>
      <c r="AR215" s="5"/>
      <c r="AS215" s="5"/>
      <c r="AT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</row>
    <row r="216" spans="18:146" ht="12.75">
      <c r="R216" s="5"/>
      <c r="S216" s="5"/>
      <c r="T216" s="5"/>
      <c r="U216" s="5"/>
      <c r="AL216" s="5"/>
      <c r="AM216" s="5"/>
      <c r="AN216" s="5"/>
      <c r="AO216" s="5"/>
      <c r="AQ216" s="5"/>
      <c r="AR216" s="5"/>
      <c r="AS216" s="5"/>
      <c r="AT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</row>
    <row r="217" spans="18:146" ht="12.75">
      <c r="R217" s="5"/>
      <c r="S217" s="5"/>
      <c r="T217" s="5"/>
      <c r="U217" s="5"/>
      <c r="AL217" s="5"/>
      <c r="AM217" s="5"/>
      <c r="AN217" s="5"/>
      <c r="AO217" s="5"/>
      <c r="AQ217" s="5"/>
      <c r="AR217" s="5"/>
      <c r="AS217" s="5"/>
      <c r="AT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</row>
    <row r="218" spans="18:146" ht="12.75">
      <c r="R218" s="5"/>
      <c r="S218" s="5"/>
      <c r="T218" s="5"/>
      <c r="U218" s="5"/>
      <c r="AL218" s="5"/>
      <c r="AM218" s="5"/>
      <c r="AN218" s="5"/>
      <c r="AO218" s="5"/>
      <c r="AQ218" s="5"/>
      <c r="AR218" s="5"/>
      <c r="AS218" s="5"/>
      <c r="AT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</row>
    <row r="219" spans="18:146" ht="12.75">
      <c r="R219" s="5"/>
      <c r="S219" s="5"/>
      <c r="T219" s="5"/>
      <c r="U219" s="5"/>
      <c r="AL219" s="5"/>
      <c r="AM219" s="5"/>
      <c r="AN219" s="5"/>
      <c r="AO219" s="5"/>
      <c r="AQ219" s="5"/>
      <c r="AR219" s="5"/>
      <c r="AS219" s="5"/>
      <c r="AT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</row>
    <row r="220" spans="18:146" ht="12.75">
      <c r="R220" s="5"/>
      <c r="S220" s="5"/>
      <c r="T220" s="5"/>
      <c r="U220" s="5"/>
      <c r="AL220" s="5"/>
      <c r="AM220" s="5"/>
      <c r="AN220" s="5"/>
      <c r="AO220" s="5"/>
      <c r="AQ220" s="5"/>
      <c r="AR220" s="5"/>
      <c r="AS220" s="5"/>
      <c r="AT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</row>
    <row r="221" spans="18:146" ht="12.75">
      <c r="R221" s="5"/>
      <c r="S221" s="5"/>
      <c r="T221" s="5"/>
      <c r="U221" s="5"/>
      <c r="AL221" s="5"/>
      <c r="AM221" s="5"/>
      <c r="AN221" s="5"/>
      <c r="AO221" s="5"/>
      <c r="AQ221" s="5"/>
      <c r="AR221" s="5"/>
      <c r="AS221" s="5"/>
      <c r="AT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</row>
    <row r="222" spans="18:146" ht="12.75">
      <c r="R222" s="5"/>
      <c r="S222" s="5"/>
      <c r="T222" s="5"/>
      <c r="U222" s="5"/>
      <c r="AL222" s="5"/>
      <c r="AM222" s="5"/>
      <c r="AN222" s="5"/>
      <c r="AO222" s="5"/>
      <c r="AQ222" s="5"/>
      <c r="AR222" s="5"/>
      <c r="AS222" s="5"/>
      <c r="AT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</row>
    <row r="223" spans="18:146" ht="12.75">
      <c r="R223" s="5"/>
      <c r="S223" s="5"/>
      <c r="T223" s="5"/>
      <c r="U223" s="5"/>
      <c r="AL223" s="5"/>
      <c r="AM223" s="5"/>
      <c r="AN223" s="5"/>
      <c r="AO223" s="5"/>
      <c r="AQ223" s="5"/>
      <c r="AR223" s="5"/>
      <c r="AS223" s="5"/>
      <c r="AT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</row>
    <row r="224" spans="18:146" ht="12.75">
      <c r="R224" s="5"/>
      <c r="S224" s="5"/>
      <c r="T224" s="5"/>
      <c r="U224" s="5"/>
      <c r="AL224" s="5"/>
      <c r="AM224" s="5"/>
      <c r="AN224" s="5"/>
      <c r="AO224" s="5"/>
      <c r="AQ224" s="5"/>
      <c r="AR224" s="5"/>
      <c r="AS224" s="5"/>
      <c r="AT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</row>
    <row r="225" spans="18:146" ht="12.75">
      <c r="R225" s="5"/>
      <c r="S225" s="5"/>
      <c r="T225" s="5"/>
      <c r="U225" s="5"/>
      <c r="AL225" s="5"/>
      <c r="AM225" s="5"/>
      <c r="AN225" s="5"/>
      <c r="AO225" s="5"/>
      <c r="AQ225" s="5"/>
      <c r="AR225" s="5"/>
      <c r="AS225" s="5"/>
      <c r="AT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</row>
    <row r="226" spans="18:146" ht="12.75">
      <c r="R226" s="5"/>
      <c r="S226" s="5"/>
      <c r="T226" s="5"/>
      <c r="U226" s="5"/>
      <c r="AL226" s="5"/>
      <c r="AM226" s="5"/>
      <c r="AN226" s="5"/>
      <c r="AO226" s="5"/>
      <c r="AQ226" s="5"/>
      <c r="AR226" s="5"/>
      <c r="AS226" s="5"/>
      <c r="AT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</row>
    <row r="227" spans="18:146" ht="12.75">
      <c r="R227" s="5"/>
      <c r="S227" s="5"/>
      <c r="T227" s="5"/>
      <c r="U227" s="5"/>
      <c r="AL227" s="5"/>
      <c r="AM227" s="5"/>
      <c r="AN227" s="5"/>
      <c r="AO227" s="5"/>
      <c r="AQ227" s="5"/>
      <c r="AR227" s="5"/>
      <c r="AS227" s="5"/>
      <c r="AT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</row>
    <row r="228" spans="18:146" ht="12.75">
      <c r="R228" s="5"/>
      <c r="S228" s="5"/>
      <c r="T228" s="5"/>
      <c r="U228" s="5"/>
      <c r="AL228" s="5"/>
      <c r="AM228" s="5"/>
      <c r="AN228" s="5"/>
      <c r="AO228" s="5"/>
      <c r="AQ228" s="5"/>
      <c r="AR228" s="5"/>
      <c r="AS228" s="5"/>
      <c r="AT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</row>
    <row r="229" spans="18:146" ht="12.75">
      <c r="R229" s="5"/>
      <c r="S229" s="5"/>
      <c r="T229" s="5"/>
      <c r="U229" s="5"/>
      <c r="AL229" s="5"/>
      <c r="AM229" s="5"/>
      <c r="AN229" s="5"/>
      <c r="AO229" s="5"/>
      <c r="AQ229" s="5"/>
      <c r="AR229" s="5"/>
      <c r="AS229" s="5"/>
      <c r="AT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</row>
    <row r="230" spans="18:146" ht="12.75">
      <c r="R230" s="5"/>
      <c r="S230" s="5"/>
      <c r="T230" s="5"/>
      <c r="U230" s="5"/>
      <c r="AL230" s="5"/>
      <c r="AM230" s="5"/>
      <c r="AN230" s="5"/>
      <c r="AO230" s="5"/>
      <c r="AQ230" s="5"/>
      <c r="AR230" s="5"/>
      <c r="AS230" s="5"/>
      <c r="AT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</row>
    <row r="231" spans="18:146" ht="12.75">
      <c r="R231" s="5"/>
      <c r="S231" s="5"/>
      <c r="T231" s="5"/>
      <c r="U231" s="5"/>
      <c r="AL231" s="5"/>
      <c r="AM231" s="5"/>
      <c r="AN231" s="5"/>
      <c r="AO231" s="5"/>
      <c r="AQ231" s="5"/>
      <c r="AR231" s="5"/>
      <c r="AS231" s="5"/>
      <c r="AT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</row>
    <row r="232" spans="18:146" ht="12.75">
      <c r="R232" s="5"/>
      <c r="S232" s="5"/>
      <c r="T232" s="5"/>
      <c r="U232" s="5"/>
      <c r="AL232" s="5"/>
      <c r="AM232" s="5"/>
      <c r="AN232" s="5"/>
      <c r="AO232" s="5"/>
      <c r="AQ232" s="5"/>
      <c r="AR232" s="5"/>
      <c r="AS232" s="5"/>
      <c r="AT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</row>
    <row r="233" spans="18:146" ht="12.75">
      <c r="R233" s="5"/>
      <c r="S233" s="5"/>
      <c r="T233" s="5"/>
      <c r="U233" s="5"/>
      <c r="AL233" s="5"/>
      <c r="AM233" s="5"/>
      <c r="AN233" s="5"/>
      <c r="AO233" s="5"/>
      <c r="AQ233" s="5"/>
      <c r="AR233" s="5"/>
      <c r="AS233" s="5"/>
      <c r="AT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</row>
    <row r="234" spans="18:146" ht="12.75">
      <c r="R234" s="5"/>
      <c r="S234" s="5"/>
      <c r="T234" s="5"/>
      <c r="U234" s="5"/>
      <c r="AL234" s="5"/>
      <c r="AM234" s="5"/>
      <c r="AN234" s="5"/>
      <c r="AO234" s="5"/>
      <c r="AQ234" s="5"/>
      <c r="AR234" s="5"/>
      <c r="AS234" s="5"/>
      <c r="AT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</row>
    <row r="235" spans="18:146" ht="12.75">
      <c r="R235" s="5"/>
      <c r="S235" s="5"/>
      <c r="T235" s="5"/>
      <c r="U235" s="5"/>
      <c r="AL235" s="5"/>
      <c r="AM235" s="5"/>
      <c r="AN235" s="5"/>
      <c r="AO235" s="5"/>
      <c r="AQ235" s="5"/>
      <c r="AR235" s="5"/>
      <c r="AS235" s="5"/>
      <c r="AT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</row>
    <row r="236" spans="18:146" ht="12.75">
      <c r="R236" s="5"/>
      <c r="S236" s="5"/>
      <c r="T236" s="5"/>
      <c r="U236" s="5"/>
      <c r="AL236" s="5"/>
      <c r="AM236" s="5"/>
      <c r="AN236" s="5"/>
      <c r="AO236" s="5"/>
      <c r="AQ236" s="5"/>
      <c r="AR236" s="5"/>
      <c r="AS236" s="5"/>
      <c r="AT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</row>
    <row r="237" spans="18:146" ht="12.75">
      <c r="R237" s="5"/>
      <c r="S237" s="5"/>
      <c r="T237" s="5"/>
      <c r="U237" s="5"/>
      <c r="AL237" s="5"/>
      <c r="AM237" s="5"/>
      <c r="AN237" s="5"/>
      <c r="AO237" s="5"/>
      <c r="AQ237" s="5"/>
      <c r="AR237" s="5"/>
      <c r="AS237" s="5"/>
      <c r="AT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</row>
    <row r="238" spans="18:146" ht="12.75">
      <c r="R238" s="5"/>
      <c r="S238" s="5"/>
      <c r="T238" s="5"/>
      <c r="U238" s="5"/>
      <c r="AL238" s="5"/>
      <c r="AM238" s="5"/>
      <c r="AN238" s="5"/>
      <c r="AO238" s="5"/>
      <c r="AQ238" s="5"/>
      <c r="AR238" s="5"/>
      <c r="AS238" s="5"/>
      <c r="AT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</row>
    <row r="239" spans="18:146" ht="12.75">
      <c r="R239" s="5"/>
      <c r="S239" s="5"/>
      <c r="T239" s="5"/>
      <c r="U239" s="5"/>
      <c r="AL239" s="5"/>
      <c r="AM239" s="5"/>
      <c r="AN239" s="5"/>
      <c r="AO239" s="5"/>
      <c r="AQ239" s="5"/>
      <c r="AR239" s="5"/>
      <c r="AS239" s="5"/>
      <c r="AT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</row>
    <row r="240" spans="18:146" ht="12.75">
      <c r="R240" s="5"/>
      <c r="S240" s="5"/>
      <c r="T240" s="5"/>
      <c r="U240" s="5"/>
      <c r="AL240" s="5"/>
      <c r="AM240" s="5"/>
      <c r="AN240" s="5"/>
      <c r="AO240" s="5"/>
      <c r="AQ240" s="5"/>
      <c r="AR240" s="5"/>
      <c r="AS240" s="5"/>
      <c r="AT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</row>
    <row r="241" spans="18:146" ht="12.75">
      <c r="R241" s="5"/>
      <c r="S241" s="5"/>
      <c r="T241" s="5"/>
      <c r="U241" s="5"/>
      <c r="AL241" s="5"/>
      <c r="AM241" s="5"/>
      <c r="AN241" s="5"/>
      <c r="AO241" s="5"/>
      <c r="AQ241" s="5"/>
      <c r="AR241" s="5"/>
      <c r="AS241" s="5"/>
      <c r="AT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</row>
    <row r="242" spans="18:146" ht="12.75">
      <c r="R242" s="5"/>
      <c r="S242" s="5"/>
      <c r="T242" s="5"/>
      <c r="U242" s="5"/>
      <c r="AL242" s="5"/>
      <c r="AM242" s="5"/>
      <c r="AN242" s="5"/>
      <c r="AO242" s="5"/>
      <c r="AQ242" s="5"/>
      <c r="AR242" s="5"/>
      <c r="AS242" s="5"/>
      <c r="AT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</row>
    <row r="243" spans="18:146" ht="12.75">
      <c r="R243" s="5"/>
      <c r="S243" s="5"/>
      <c r="T243" s="5"/>
      <c r="U243" s="5"/>
      <c r="AL243" s="5"/>
      <c r="AM243" s="5"/>
      <c r="AN243" s="5"/>
      <c r="AO243" s="5"/>
      <c r="AQ243" s="5"/>
      <c r="AR243" s="5"/>
      <c r="AS243" s="5"/>
      <c r="AT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</row>
    <row r="244" spans="18:146" ht="12.75">
      <c r="R244" s="5"/>
      <c r="S244" s="5"/>
      <c r="T244" s="5"/>
      <c r="U244" s="5"/>
      <c r="AL244" s="5"/>
      <c r="AM244" s="5"/>
      <c r="AN244" s="5"/>
      <c r="AO244" s="5"/>
      <c r="AQ244" s="5"/>
      <c r="AR244" s="5"/>
      <c r="AS244" s="5"/>
      <c r="AT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</row>
    <row r="245" spans="18:146" ht="12.75">
      <c r="R245" s="5"/>
      <c r="S245" s="5"/>
      <c r="T245" s="5"/>
      <c r="U245" s="5"/>
      <c r="AL245" s="5"/>
      <c r="AM245" s="5"/>
      <c r="AN245" s="5"/>
      <c r="AO245" s="5"/>
      <c r="AQ245" s="5"/>
      <c r="AR245" s="5"/>
      <c r="AS245" s="5"/>
      <c r="AT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</row>
    <row r="246" spans="18:146" ht="12.75">
      <c r="R246" s="5"/>
      <c r="S246" s="5"/>
      <c r="T246" s="5"/>
      <c r="U246" s="5"/>
      <c r="AL246" s="5"/>
      <c r="AM246" s="5"/>
      <c r="AN246" s="5"/>
      <c r="AO246" s="5"/>
      <c r="AQ246" s="5"/>
      <c r="AR246" s="5"/>
      <c r="AS246" s="5"/>
      <c r="AT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</row>
    <row r="247" spans="18:146" ht="12.75">
      <c r="R247" s="5"/>
      <c r="S247" s="5"/>
      <c r="T247" s="5"/>
      <c r="U247" s="5"/>
      <c r="AL247" s="5"/>
      <c r="AM247" s="5"/>
      <c r="AN247" s="5"/>
      <c r="AO247" s="5"/>
      <c r="AQ247" s="5"/>
      <c r="AR247" s="5"/>
      <c r="AS247" s="5"/>
      <c r="AT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</row>
    <row r="248" spans="18:146" ht="12.75">
      <c r="R248" s="5"/>
      <c r="S248" s="5"/>
      <c r="T248" s="5"/>
      <c r="U248" s="5"/>
      <c r="AL248" s="5"/>
      <c r="AM248" s="5"/>
      <c r="AN248" s="5"/>
      <c r="AO248" s="5"/>
      <c r="AQ248" s="5"/>
      <c r="AR248" s="5"/>
      <c r="AS248" s="5"/>
      <c r="AT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</row>
    <row r="249" spans="18:146" ht="12.75">
      <c r="R249" s="5"/>
      <c r="S249" s="5"/>
      <c r="T249" s="5"/>
      <c r="U249" s="5"/>
      <c r="AL249" s="5"/>
      <c r="AM249" s="5"/>
      <c r="AN249" s="5"/>
      <c r="AO249" s="5"/>
      <c r="AQ249" s="5"/>
      <c r="AR249" s="5"/>
      <c r="AS249" s="5"/>
      <c r="AT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</row>
    <row r="250" spans="18:146" ht="12.75">
      <c r="R250" s="5"/>
      <c r="S250" s="5"/>
      <c r="T250" s="5"/>
      <c r="U250" s="5"/>
      <c r="AL250" s="5"/>
      <c r="AM250" s="5"/>
      <c r="AN250" s="5"/>
      <c r="AO250" s="5"/>
      <c r="AQ250" s="5"/>
      <c r="AR250" s="5"/>
      <c r="AS250" s="5"/>
      <c r="AT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</row>
    <row r="251" spans="18:146" ht="12.75">
      <c r="R251" s="5"/>
      <c r="S251" s="5"/>
      <c r="T251" s="5"/>
      <c r="U251" s="5"/>
      <c r="AL251" s="5"/>
      <c r="AM251" s="5"/>
      <c r="AN251" s="5"/>
      <c r="AO251" s="5"/>
      <c r="AQ251" s="5"/>
      <c r="AR251" s="5"/>
      <c r="AS251" s="5"/>
      <c r="AT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</row>
    <row r="252" spans="18:146" ht="12.75">
      <c r="R252" s="5"/>
      <c r="S252" s="5"/>
      <c r="T252" s="5"/>
      <c r="U252" s="5"/>
      <c r="AL252" s="5"/>
      <c r="AM252" s="5"/>
      <c r="AN252" s="5"/>
      <c r="AO252" s="5"/>
      <c r="AQ252" s="5"/>
      <c r="AR252" s="5"/>
      <c r="AS252" s="5"/>
      <c r="AT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</row>
    <row r="253" spans="18:146" ht="12.75">
      <c r="R253" s="5"/>
      <c r="S253" s="5"/>
      <c r="T253" s="5"/>
      <c r="U253" s="5"/>
      <c r="AL253" s="5"/>
      <c r="AM253" s="5"/>
      <c r="AN253" s="5"/>
      <c r="AO253" s="5"/>
      <c r="AQ253" s="5"/>
      <c r="AR253" s="5"/>
      <c r="AS253" s="5"/>
      <c r="AT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</row>
    <row r="254" spans="18:146" ht="12.75">
      <c r="R254" s="5"/>
      <c r="S254" s="5"/>
      <c r="T254" s="5"/>
      <c r="U254" s="5"/>
      <c r="AL254" s="5"/>
      <c r="AM254" s="5"/>
      <c r="AN254" s="5"/>
      <c r="AO254" s="5"/>
      <c r="AQ254" s="5"/>
      <c r="AR254" s="5"/>
      <c r="AS254" s="5"/>
      <c r="AT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</row>
    <row r="255" spans="18:146" ht="12.75">
      <c r="R255" s="5"/>
      <c r="S255" s="5"/>
      <c r="T255" s="5"/>
      <c r="U255" s="5"/>
      <c r="AL255" s="5"/>
      <c r="AM255" s="5"/>
      <c r="AN255" s="5"/>
      <c r="AO255" s="5"/>
      <c r="AQ255" s="5"/>
      <c r="AR255" s="5"/>
      <c r="AS255" s="5"/>
      <c r="AT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</row>
    <row r="256" spans="18:146" ht="12.75">
      <c r="R256" s="5"/>
      <c r="S256" s="5"/>
      <c r="T256" s="5"/>
      <c r="U256" s="5"/>
      <c r="AL256" s="5"/>
      <c r="AM256" s="5"/>
      <c r="AN256" s="5"/>
      <c r="AO256" s="5"/>
      <c r="AQ256" s="5"/>
      <c r="AR256" s="5"/>
      <c r="AS256" s="5"/>
      <c r="AT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</row>
    <row r="257" spans="18:146" ht="12.75">
      <c r="R257" s="5"/>
      <c r="S257" s="5"/>
      <c r="T257" s="5"/>
      <c r="U257" s="5"/>
      <c r="AL257" s="5"/>
      <c r="AM257" s="5"/>
      <c r="AN257" s="5"/>
      <c r="AO257" s="5"/>
      <c r="AQ257" s="5"/>
      <c r="AR257" s="5"/>
      <c r="AS257" s="5"/>
      <c r="AT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</row>
    <row r="258" spans="18:146" ht="12.75">
      <c r="R258" s="5"/>
      <c r="S258" s="5"/>
      <c r="T258" s="5"/>
      <c r="U258" s="5"/>
      <c r="AL258" s="5"/>
      <c r="AM258" s="5"/>
      <c r="AN258" s="5"/>
      <c r="AO258" s="5"/>
      <c r="AQ258" s="5"/>
      <c r="AR258" s="5"/>
      <c r="AS258" s="5"/>
      <c r="AT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</row>
    <row r="259" spans="18:146" ht="12.75">
      <c r="R259" s="5"/>
      <c r="S259" s="5"/>
      <c r="T259" s="5"/>
      <c r="U259" s="5"/>
      <c r="AL259" s="5"/>
      <c r="AM259" s="5"/>
      <c r="AN259" s="5"/>
      <c r="AO259" s="5"/>
      <c r="AQ259" s="5"/>
      <c r="AR259" s="5"/>
      <c r="AS259" s="5"/>
      <c r="AT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</row>
    <row r="260" spans="18:146" ht="12.75">
      <c r="R260" s="5"/>
      <c r="S260" s="5"/>
      <c r="T260" s="5"/>
      <c r="U260" s="5"/>
      <c r="AL260" s="5"/>
      <c r="AM260" s="5"/>
      <c r="AN260" s="5"/>
      <c r="AO260" s="5"/>
      <c r="AQ260" s="5"/>
      <c r="AR260" s="5"/>
      <c r="AS260" s="5"/>
      <c r="AT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</row>
    <row r="261" spans="18:146" ht="12.75">
      <c r="R261" s="5"/>
      <c r="S261" s="5"/>
      <c r="T261" s="5"/>
      <c r="U261" s="5"/>
      <c r="AL261" s="5"/>
      <c r="AM261" s="5"/>
      <c r="AN261" s="5"/>
      <c r="AO261" s="5"/>
      <c r="AQ261" s="5"/>
      <c r="AR261" s="5"/>
      <c r="AS261" s="5"/>
      <c r="AT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</row>
    <row r="262" spans="18:146" ht="12.75">
      <c r="R262" s="5"/>
      <c r="S262" s="5"/>
      <c r="T262" s="5"/>
      <c r="U262" s="5"/>
      <c r="AL262" s="5"/>
      <c r="AM262" s="5"/>
      <c r="AN262" s="5"/>
      <c r="AO262" s="5"/>
      <c r="AQ262" s="5"/>
      <c r="AR262" s="5"/>
      <c r="AS262" s="5"/>
      <c r="AT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</row>
    <row r="263" spans="18:146" ht="12.75">
      <c r="R263" s="5"/>
      <c r="S263" s="5"/>
      <c r="T263" s="5"/>
      <c r="U263" s="5"/>
      <c r="AL263" s="5"/>
      <c r="AM263" s="5"/>
      <c r="AN263" s="5"/>
      <c r="AO263" s="5"/>
      <c r="AQ263" s="5"/>
      <c r="AR263" s="5"/>
      <c r="AS263" s="5"/>
      <c r="AT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</row>
    <row r="264" spans="18:146" ht="12.75">
      <c r="R264" s="5"/>
      <c r="S264" s="5"/>
      <c r="T264" s="5"/>
      <c r="U264" s="5"/>
      <c r="AL264" s="5"/>
      <c r="AM264" s="5"/>
      <c r="AN264" s="5"/>
      <c r="AO264" s="5"/>
      <c r="AQ264" s="5"/>
      <c r="AR264" s="5"/>
      <c r="AS264" s="5"/>
      <c r="AT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</row>
    <row r="265" spans="18:146" ht="12.75">
      <c r="R265" s="5"/>
      <c r="S265" s="5"/>
      <c r="T265" s="5"/>
      <c r="U265" s="5"/>
      <c r="AL265" s="5"/>
      <c r="AM265" s="5"/>
      <c r="AN265" s="5"/>
      <c r="AO265" s="5"/>
      <c r="AQ265" s="5"/>
      <c r="AR265" s="5"/>
      <c r="AS265" s="5"/>
      <c r="AT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</row>
    <row r="266" spans="18:146" ht="12.75">
      <c r="R266" s="5"/>
      <c r="S266" s="5"/>
      <c r="T266" s="5"/>
      <c r="U266" s="5"/>
      <c r="AL266" s="5"/>
      <c r="AM266" s="5"/>
      <c r="AN266" s="5"/>
      <c r="AO266" s="5"/>
      <c r="AQ266" s="5"/>
      <c r="AR266" s="5"/>
      <c r="AS266" s="5"/>
      <c r="AT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</row>
    <row r="267" spans="18:146" ht="12.75">
      <c r="R267" s="5"/>
      <c r="S267" s="5"/>
      <c r="T267" s="5"/>
      <c r="U267" s="5"/>
      <c r="AL267" s="5"/>
      <c r="AM267" s="5"/>
      <c r="AN267" s="5"/>
      <c r="AO267" s="5"/>
      <c r="AQ267" s="5"/>
      <c r="AR267" s="5"/>
      <c r="AS267" s="5"/>
      <c r="AT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</row>
    <row r="268" spans="18:146" ht="12.75">
      <c r="R268" s="5"/>
      <c r="S268" s="5"/>
      <c r="T268" s="5"/>
      <c r="U268" s="5"/>
      <c r="AL268" s="5"/>
      <c r="AM268" s="5"/>
      <c r="AN268" s="5"/>
      <c r="AO268" s="5"/>
      <c r="AQ268" s="5"/>
      <c r="AR268" s="5"/>
      <c r="AS268" s="5"/>
      <c r="AT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</row>
    <row r="269" spans="18:146" ht="12.75">
      <c r="R269" s="5"/>
      <c r="S269" s="5"/>
      <c r="T269" s="5"/>
      <c r="U269" s="5"/>
      <c r="AL269" s="5"/>
      <c r="AM269" s="5"/>
      <c r="AN269" s="5"/>
      <c r="AO269" s="5"/>
      <c r="AQ269" s="5"/>
      <c r="AR269" s="5"/>
      <c r="AS269" s="5"/>
      <c r="AT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</row>
    <row r="270" spans="18:146" ht="12.75">
      <c r="R270" s="5"/>
      <c r="S270" s="5"/>
      <c r="T270" s="5"/>
      <c r="U270" s="5"/>
      <c r="AL270" s="5"/>
      <c r="AM270" s="5"/>
      <c r="AN270" s="5"/>
      <c r="AO270" s="5"/>
      <c r="AQ270" s="5"/>
      <c r="AR270" s="5"/>
      <c r="AS270" s="5"/>
      <c r="AT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</row>
    <row r="271" spans="18:146" ht="12.75">
      <c r="R271" s="5"/>
      <c r="S271" s="5"/>
      <c r="T271" s="5"/>
      <c r="U271" s="5"/>
      <c r="AL271" s="5"/>
      <c r="AM271" s="5"/>
      <c r="AN271" s="5"/>
      <c r="AO271" s="5"/>
      <c r="AQ271" s="5"/>
      <c r="AR271" s="5"/>
      <c r="AS271" s="5"/>
      <c r="AT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</row>
    <row r="272" spans="18:146" ht="12.75">
      <c r="R272" s="5"/>
      <c r="S272" s="5"/>
      <c r="T272" s="5"/>
      <c r="U272" s="5"/>
      <c r="AL272" s="5"/>
      <c r="AM272" s="5"/>
      <c r="AN272" s="5"/>
      <c r="AO272" s="5"/>
      <c r="AQ272" s="5"/>
      <c r="AR272" s="5"/>
      <c r="AS272" s="5"/>
      <c r="AT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</row>
    <row r="273" spans="18:146" ht="12.75">
      <c r="R273" s="5"/>
      <c r="S273" s="5"/>
      <c r="T273" s="5"/>
      <c r="U273" s="5"/>
      <c r="AL273" s="5"/>
      <c r="AM273" s="5"/>
      <c r="AN273" s="5"/>
      <c r="AO273" s="5"/>
      <c r="AQ273" s="5"/>
      <c r="AR273" s="5"/>
      <c r="AS273" s="5"/>
      <c r="AT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</row>
    <row r="274" spans="18:146" ht="12.75">
      <c r="R274" s="5"/>
      <c r="S274" s="5"/>
      <c r="T274" s="5"/>
      <c r="U274" s="5"/>
      <c r="AL274" s="5"/>
      <c r="AM274" s="5"/>
      <c r="AN274" s="5"/>
      <c r="AO274" s="5"/>
      <c r="AQ274" s="5"/>
      <c r="AR274" s="5"/>
      <c r="AS274" s="5"/>
      <c r="AT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</row>
    <row r="275" spans="18:146" ht="12.75">
      <c r="R275" s="5"/>
      <c r="S275" s="5"/>
      <c r="T275" s="5"/>
      <c r="U275" s="5"/>
      <c r="AL275" s="5"/>
      <c r="AM275" s="5"/>
      <c r="AN275" s="5"/>
      <c r="AO275" s="5"/>
      <c r="AQ275" s="5"/>
      <c r="AR275" s="5"/>
      <c r="AS275" s="5"/>
      <c r="AT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</row>
    <row r="276" spans="18:146" ht="12.75">
      <c r="R276" s="5"/>
      <c r="S276" s="5"/>
      <c r="T276" s="5"/>
      <c r="U276" s="5"/>
      <c r="AL276" s="5"/>
      <c r="AM276" s="5"/>
      <c r="AN276" s="5"/>
      <c r="AO276" s="5"/>
      <c r="AQ276" s="5"/>
      <c r="AR276" s="5"/>
      <c r="AS276" s="5"/>
      <c r="AT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</row>
    <row r="277" spans="18:146" ht="12.75">
      <c r="R277" s="5"/>
      <c r="S277" s="5"/>
      <c r="T277" s="5"/>
      <c r="U277" s="5"/>
      <c r="AL277" s="5"/>
      <c r="AM277" s="5"/>
      <c r="AN277" s="5"/>
      <c r="AO277" s="5"/>
      <c r="AQ277" s="5"/>
      <c r="AR277" s="5"/>
      <c r="AS277" s="5"/>
      <c r="AT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</row>
    <row r="278" spans="18:146" ht="12.75">
      <c r="R278" s="5"/>
      <c r="S278" s="5"/>
      <c r="T278" s="5"/>
      <c r="U278" s="5"/>
      <c r="AL278" s="5"/>
      <c r="AM278" s="5"/>
      <c r="AN278" s="5"/>
      <c r="AO278" s="5"/>
      <c r="AQ278" s="5"/>
      <c r="AR278" s="5"/>
      <c r="AS278" s="5"/>
      <c r="AT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</row>
    <row r="279" spans="18:146" ht="12.75">
      <c r="R279" s="5"/>
      <c r="S279" s="5"/>
      <c r="T279" s="5"/>
      <c r="U279" s="5"/>
      <c r="AL279" s="5"/>
      <c r="AM279" s="5"/>
      <c r="AN279" s="5"/>
      <c r="AO279" s="5"/>
      <c r="AQ279" s="5"/>
      <c r="AR279" s="5"/>
      <c r="AS279" s="5"/>
      <c r="AT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</row>
    <row r="280" spans="18:146" ht="12.75">
      <c r="R280" s="5"/>
      <c r="S280" s="5"/>
      <c r="T280" s="5"/>
      <c r="U280" s="5"/>
      <c r="AL280" s="5"/>
      <c r="AM280" s="5"/>
      <c r="AN280" s="5"/>
      <c r="AO280" s="5"/>
      <c r="AQ280" s="5"/>
      <c r="AR280" s="5"/>
      <c r="AS280" s="5"/>
      <c r="AT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</row>
    <row r="281" spans="18:146" ht="12.75">
      <c r="R281" s="5"/>
      <c r="S281" s="5"/>
      <c r="T281" s="5"/>
      <c r="U281" s="5"/>
      <c r="AL281" s="5"/>
      <c r="AM281" s="5"/>
      <c r="AN281" s="5"/>
      <c r="AO281" s="5"/>
      <c r="AQ281" s="5"/>
      <c r="AR281" s="5"/>
      <c r="AS281" s="5"/>
      <c r="AT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</row>
    <row r="282" spans="18:146" ht="12.75">
      <c r="R282" s="5"/>
      <c r="S282" s="5"/>
      <c r="T282" s="5"/>
      <c r="U282" s="5"/>
      <c r="AL282" s="5"/>
      <c r="AM282" s="5"/>
      <c r="AN282" s="5"/>
      <c r="AO282" s="5"/>
      <c r="AQ282" s="5"/>
      <c r="AR282" s="5"/>
      <c r="AS282" s="5"/>
      <c r="AT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</row>
    <row r="283" spans="18:146" ht="12.75">
      <c r="R283" s="5"/>
      <c r="S283" s="5"/>
      <c r="T283" s="5"/>
      <c r="U283" s="5"/>
      <c r="AL283" s="5"/>
      <c r="AM283" s="5"/>
      <c r="AN283" s="5"/>
      <c r="AO283" s="5"/>
      <c r="AQ283" s="5"/>
      <c r="AR283" s="5"/>
      <c r="AS283" s="5"/>
      <c r="AT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</row>
    <row r="284" spans="18:146" ht="12.75">
      <c r="R284" s="5"/>
      <c r="S284" s="5"/>
      <c r="T284" s="5"/>
      <c r="U284" s="5"/>
      <c r="AL284" s="5"/>
      <c r="AM284" s="5"/>
      <c r="AN284" s="5"/>
      <c r="AO284" s="5"/>
      <c r="AQ284" s="5"/>
      <c r="AR284" s="5"/>
      <c r="AS284" s="5"/>
      <c r="AT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</row>
    <row r="285" spans="18:146" ht="12.75">
      <c r="R285" s="5"/>
      <c r="S285" s="5"/>
      <c r="T285" s="5"/>
      <c r="U285" s="5"/>
      <c r="AL285" s="5"/>
      <c r="AM285" s="5"/>
      <c r="AN285" s="5"/>
      <c r="AO285" s="5"/>
      <c r="AQ285" s="5"/>
      <c r="AR285" s="5"/>
      <c r="AS285" s="5"/>
      <c r="AT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</row>
    <row r="286" spans="18:146" ht="12.75">
      <c r="R286" s="5"/>
      <c r="S286" s="5"/>
      <c r="T286" s="5"/>
      <c r="U286" s="5"/>
      <c r="AL286" s="5"/>
      <c r="AM286" s="5"/>
      <c r="AN286" s="5"/>
      <c r="AO286" s="5"/>
      <c r="AQ286" s="5"/>
      <c r="AR286" s="5"/>
      <c r="AS286" s="5"/>
      <c r="AT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</row>
    <row r="287" spans="18:146" ht="12.75">
      <c r="R287" s="5"/>
      <c r="S287" s="5"/>
      <c r="T287" s="5"/>
      <c r="U287" s="5"/>
      <c r="AL287" s="5"/>
      <c r="AM287" s="5"/>
      <c r="AN287" s="5"/>
      <c r="AO287" s="5"/>
      <c r="AQ287" s="5"/>
      <c r="AR287" s="5"/>
      <c r="AS287" s="5"/>
      <c r="AT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</row>
    <row r="288" spans="18:146" ht="12.75">
      <c r="R288" s="5"/>
      <c r="S288" s="5"/>
      <c r="T288" s="5"/>
      <c r="U288" s="5"/>
      <c r="AL288" s="5"/>
      <c r="AM288" s="5"/>
      <c r="AN288" s="5"/>
      <c r="AO288" s="5"/>
      <c r="AQ288" s="5"/>
      <c r="AR288" s="5"/>
      <c r="AS288" s="5"/>
      <c r="AT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</row>
    <row r="289" spans="18:146" ht="12.75">
      <c r="R289" s="5"/>
      <c r="S289" s="5"/>
      <c r="T289" s="5"/>
      <c r="U289" s="5"/>
      <c r="AL289" s="5"/>
      <c r="AM289" s="5"/>
      <c r="AN289" s="5"/>
      <c r="AO289" s="5"/>
      <c r="AQ289" s="5"/>
      <c r="AR289" s="5"/>
      <c r="AS289" s="5"/>
      <c r="AT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</row>
    <row r="290" spans="18:146" ht="12.75">
      <c r="R290" s="5"/>
      <c r="S290" s="5"/>
      <c r="T290" s="5"/>
      <c r="U290" s="5"/>
      <c r="AL290" s="5"/>
      <c r="AM290" s="5"/>
      <c r="AN290" s="5"/>
      <c r="AO290" s="5"/>
      <c r="AQ290" s="5"/>
      <c r="AR290" s="5"/>
      <c r="AS290" s="5"/>
      <c r="AT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</row>
    <row r="291" spans="18:146" ht="12.75">
      <c r="R291" s="5"/>
      <c r="S291" s="5"/>
      <c r="T291" s="5"/>
      <c r="U291" s="5"/>
      <c r="AL291" s="5"/>
      <c r="AM291" s="5"/>
      <c r="AN291" s="5"/>
      <c r="AO291" s="5"/>
      <c r="AQ291" s="5"/>
      <c r="AR291" s="5"/>
      <c r="AS291" s="5"/>
      <c r="AT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</row>
    <row r="292" spans="18:146" ht="12.75">
      <c r="R292" s="5"/>
      <c r="S292" s="5"/>
      <c r="T292" s="5"/>
      <c r="U292" s="5"/>
      <c r="AL292" s="5"/>
      <c r="AM292" s="5"/>
      <c r="AN292" s="5"/>
      <c r="AO292" s="5"/>
      <c r="AQ292" s="5"/>
      <c r="AR292" s="5"/>
      <c r="AS292" s="5"/>
      <c r="AT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</row>
    <row r="293" spans="18:146" ht="12.75">
      <c r="R293" s="5"/>
      <c r="S293" s="5"/>
      <c r="T293" s="5"/>
      <c r="U293" s="5"/>
      <c r="AL293" s="5"/>
      <c r="AM293" s="5"/>
      <c r="AN293" s="5"/>
      <c r="AO293" s="5"/>
      <c r="AQ293" s="5"/>
      <c r="AR293" s="5"/>
      <c r="AS293" s="5"/>
      <c r="AT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</row>
    <row r="294" spans="18:146" ht="12.75">
      <c r="R294" s="5"/>
      <c r="S294" s="5"/>
      <c r="T294" s="5"/>
      <c r="U294" s="5"/>
      <c r="AL294" s="5"/>
      <c r="AM294" s="5"/>
      <c r="AN294" s="5"/>
      <c r="AO294" s="5"/>
      <c r="AQ294" s="5"/>
      <c r="AR294" s="5"/>
      <c r="AS294" s="5"/>
      <c r="AT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</row>
    <row r="295" spans="18:146" ht="12.75">
      <c r="R295" s="5"/>
      <c r="S295" s="5"/>
      <c r="T295" s="5"/>
      <c r="U295" s="5"/>
      <c r="AL295" s="5"/>
      <c r="AM295" s="5"/>
      <c r="AN295" s="5"/>
      <c r="AO295" s="5"/>
      <c r="AQ295" s="5"/>
      <c r="AR295" s="5"/>
      <c r="AS295" s="5"/>
      <c r="AT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</row>
    <row r="296" spans="18:146" ht="12.75">
      <c r="R296" s="5"/>
      <c r="S296" s="5"/>
      <c r="T296" s="5"/>
      <c r="U296" s="5"/>
      <c r="AL296" s="5"/>
      <c r="AM296" s="5"/>
      <c r="AN296" s="5"/>
      <c r="AO296" s="5"/>
      <c r="AQ296" s="5"/>
      <c r="AR296" s="5"/>
      <c r="AS296" s="5"/>
      <c r="AT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</row>
    <row r="297" spans="18:146" ht="12.75">
      <c r="R297" s="5"/>
      <c r="S297" s="5"/>
      <c r="T297" s="5"/>
      <c r="U297" s="5"/>
      <c r="AL297" s="5"/>
      <c r="AM297" s="5"/>
      <c r="AN297" s="5"/>
      <c r="AO297" s="5"/>
      <c r="AQ297" s="5"/>
      <c r="AR297" s="5"/>
      <c r="AS297" s="5"/>
      <c r="AT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</row>
    <row r="298" spans="18:146" ht="12.75">
      <c r="R298" s="5"/>
      <c r="S298" s="5"/>
      <c r="T298" s="5"/>
      <c r="U298" s="5"/>
      <c r="AL298" s="5"/>
      <c r="AM298" s="5"/>
      <c r="AN298" s="5"/>
      <c r="AO298" s="5"/>
      <c r="AQ298" s="5"/>
      <c r="AR298" s="5"/>
      <c r="AS298" s="5"/>
      <c r="AT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</row>
    <row r="299" spans="18:146" ht="12.75">
      <c r="R299" s="5"/>
      <c r="S299" s="5"/>
      <c r="T299" s="5"/>
      <c r="U299" s="5"/>
      <c r="AL299" s="5"/>
      <c r="AM299" s="5"/>
      <c r="AN299" s="5"/>
      <c r="AO299" s="5"/>
      <c r="AQ299" s="5"/>
      <c r="AR299" s="5"/>
      <c r="AS299" s="5"/>
      <c r="AT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</row>
    <row r="300" spans="18:146" ht="12.75">
      <c r="R300" s="5"/>
      <c r="S300" s="5"/>
      <c r="T300" s="5"/>
      <c r="U300" s="5"/>
      <c r="AL300" s="5"/>
      <c r="AM300" s="5"/>
      <c r="AN300" s="5"/>
      <c r="AO300" s="5"/>
      <c r="AQ300" s="5"/>
      <c r="AR300" s="5"/>
      <c r="AS300" s="5"/>
      <c r="AT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</row>
    <row r="301" spans="18:146" ht="12.75">
      <c r="R301" s="5"/>
      <c r="S301" s="5"/>
      <c r="T301" s="5"/>
      <c r="U301" s="5"/>
      <c r="AL301" s="5"/>
      <c r="AM301" s="5"/>
      <c r="AN301" s="5"/>
      <c r="AO301" s="5"/>
      <c r="AQ301" s="5"/>
      <c r="AR301" s="5"/>
      <c r="AS301" s="5"/>
      <c r="AT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</row>
    <row r="302" spans="18:146" ht="12.75">
      <c r="R302" s="5"/>
      <c r="S302" s="5"/>
      <c r="T302" s="5"/>
      <c r="U302" s="5"/>
      <c r="AL302" s="5"/>
      <c r="AM302" s="5"/>
      <c r="AN302" s="5"/>
      <c r="AO302" s="5"/>
      <c r="AQ302" s="5"/>
      <c r="AR302" s="5"/>
      <c r="AS302" s="5"/>
      <c r="AT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</row>
    <row r="303" spans="18:146" ht="12.75">
      <c r="R303" s="5"/>
      <c r="S303" s="5"/>
      <c r="T303" s="5"/>
      <c r="U303" s="5"/>
      <c r="AL303" s="5"/>
      <c r="AM303" s="5"/>
      <c r="AN303" s="5"/>
      <c r="AO303" s="5"/>
      <c r="AQ303" s="5"/>
      <c r="AR303" s="5"/>
      <c r="AS303" s="5"/>
      <c r="AT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</row>
    <row r="304" spans="18:146" ht="12.75">
      <c r="R304" s="5"/>
      <c r="S304" s="5"/>
      <c r="T304" s="5"/>
      <c r="U304" s="5"/>
      <c r="AL304" s="5"/>
      <c r="AM304" s="5"/>
      <c r="AN304" s="5"/>
      <c r="AO304" s="5"/>
      <c r="AQ304" s="5"/>
      <c r="AR304" s="5"/>
      <c r="AS304" s="5"/>
      <c r="AT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</row>
    <row r="305" spans="18:146" ht="12.75">
      <c r="R305" s="5"/>
      <c r="S305" s="5"/>
      <c r="T305" s="5"/>
      <c r="U305" s="5"/>
      <c r="AL305" s="5"/>
      <c r="AM305" s="5"/>
      <c r="AN305" s="5"/>
      <c r="AO305" s="5"/>
      <c r="AQ305" s="5"/>
      <c r="AR305" s="5"/>
      <c r="AS305" s="5"/>
      <c r="AT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</row>
    <row r="306" spans="18:146" ht="12.75">
      <c r="R306" s="5"/>
      <c r="S306" s="5"/>
      <c r="T306" s="5"/>
      <c r="U306" s="5"/>
      <c r="AL306" s="5"/>
      <c r="AM306" s="5"/>
      <c r="AN306" s="5"/>
      <c r="AO306" s="5"/>
      <c r="AQ306" s="5"/>
      <c r="AR306" s="5"/>
      <c r="AS306" s="5"/>
      <c r="AT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</row>
    <row r="307" spans="18:146" ht="12.75">
      <c r="R307" s="5"/>
      <c r="S307" s="5"/>
      <c r="T307" s="5"/>
      <c r="U307" s="5"/>
      <c r="AL307" s="5"/>
      <c r="AM307" s="5"/>
      <c r="AN307" s="5"/>
      <c r="AO307" s="5"/>
      <c r="AQ307" s="5"/>
      <c r="AR307" s="5"/>
      <c r="AS307" s="5"/>
      <c r="AT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</row>
    <row r="308" spans="18:146" ht="12.75">
      <c r="R308" s="5"/>
      <c r="S308" s="5"/>
      <c r="T308" s="5"/>
      <c r="U308" s="5"/>
      <c r="AL308" s="5"/>
      <c r="AM308" s="5"/>
      <c r="AN308" s="5"/>
      <c r="AO308" s="5"/>
      <c r="AQ308" s="5"/>
      <c r="AR308" s="5"/>
      <c r="AS308" s="5"/>
      <c r="AT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</row>
    <row r="309" spans="18:146" ht="12.75">
      <c r="R309" s="5"/>
      <c r="S309" s="5"/>
      <c r="T309" s="5"/>
      <c r="U309" s="5"/>
      <c r="AL309" s="5"/>
      <c r="AM309" s="5"/>
      <c r="AN309" s="5"/>
      <c r="AO309" s="5"/>
      <c r="AQ309" s="5"/>
      <c r="AR309" s="5"/>
      <c r="AS309" s="5"/>
      <c r="AT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</row>
    <row r="310" spans="18:146" ht="12.75">
      <c r="R310" s="5"/>
      <c r="S310" s="5"/>
      <c r="T310" s="5"/>
      <c r="U310" s="5"/>
      <c r="AL310" s="5"/>
      <c r="AM310" s="5"/>
      <c r="AN310" s="5"/>
      <c r="AO310" s="5"/>
      <c r="AQ310" s="5"/>
      <c r="AR310" s="5"/>
      <c r="AS310" s="5"/>
      <c r="AT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</row>
    <row r="311" spans="18:146" ht="12.75">
      <c r="R311" s="5"/>
      <c r="S311" s="5"/>
      <c r="T311" s="5"/>
      <c r="U311" s="5"/>
      <c r="AL311" s="5"/>
      <c r="AM311" s="5"/>
      <c r="AN311" s="5"/>
      <c r="AO311" s="5"/>
      <c r="AQ311" s="5"/>
      <c r="AR311" s="5"/>
      <c r="AS311" s="5"/>
      <c r="AT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</row>
    <row r="312" spans="18:146" ht="12.75">
      <c r="R312" s="5"/>
      <c r="S312" s="5"/>
      <c r="T312" s="5"/>
      <c r="U312" s="5"/>
      <c r="AL312" s="5"/>
      <c r="AM312" s="5"/>
      <c r="AN312" s="5"/>
      <c r="AO312" s="5"/>
      <c r="AQ312" s="5"/>
      <c r="AR312" s="5"/>
      <c r="AS312" s="5"/>
      <c r="AT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</row>
    <row r="313" spans="18:146" ht="12.75">
      <c r="R313" s="5"/>
      <c r="S313" s="5"/>
      <c r="T313" s="5"/>
      <c r="U313" s="5"/>
      <c r="AL313" s="5"/>
      <c r="AM313" s="5"/>
      <c r="AN313" s="5"/>
      <c r="AO313" s="5"/>
      <c r="AQ313" s="5"/>
      <c r="AR313" s="5"/>
      <c r="AS313" s="5"/>
      <c r="AT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</row>
    <row r="314" spans="18:146" ht="12.75">
      <c r="R314" s="5"/>
      <c r="S314" s="5"/>
      <c r="T314" s="5"/>
      <c r="U314" s="5"/>
      <c r="AL314" s="5"/>
      <c r="AM314" s="5"/>
      <c r="AN314" s="5"/>
      <c r="AO314" s="5"/>
      <c r="AQ314" s="5"/>
      <c r="AR314" s="5"/>
      <c r="AS314" s="5"/>
      <c r="AT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</row>
    <row r="315" spans="18:146" ht="12.75">
      <c r="R315" s="5"/>
      <c r="S315" s="5"/>
      <c r="T315" s="5"/>
      <c r="U315" s="5"/>
      <c r="AL315" s="5"/>
      <c r="AM315" s="5"/>
      <c r="AN315" s="5"/>
      <c r="AO315" s="5"/>
      <c r="AQ315" s="5"/>
      <c r="AR315" s="5"/>
      <c r="AS315" s="5"/>
      <c r="AT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</row>
    <row r="316" spans="18:146" ht="12.75">
      <c r="R316" s="5"/>
      <c r="S316" s="5"/>
      <c r="T316" s="5"/>
      <c r="U316" s="5"/>
      <c r="AL316" s="5"/>
      <c r="AM316" s="5"/>
      <c r="AN316" s="5"/>
      <c r="AO316" s="5"/>
      <c r="AQ316" s="5"/>
      <c r="AR316" s="5"/>
      <c r="AS316" s="5"/>
      <c r="AT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</row>
    <row r="317" spans="18:146" ht="12.75">
      <c r="R317" s="5"/>
      <c r="S317" s="5"/>
      <c r="T317" s="5"/>
      <c r="U317" s="5"/>
      <c r="AL317" s="5"/>
      <c r="AM317" s="5"/>
      <c r="AN317" s="5"/>
      <c r="AO317" s="5"/>
      <c r="AQ317" s="5"/>
      <c r="AR317" s="5"/>
      <c r="AS317" s="5"/>
      <c r="AT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</row>
    <row r="318" spans="18:146" ht="12.75">
      <c r="R318" s="5"/>
      <c r="S318" s="5"/>
      <c r="T318" s="5"/>
      <c r="U318" s="5"/>
      <c r="AL318" s="5"/>
      <c r="AM318" s="5"/>
      <c r="AN318" s="5"/>
      <c r="AO318" s="5"/>
      <c r="AQ318" s="5"/>
      <c r="AR318" s="5"/>
      <c r="AS318" s="5"/>
      <c r="AT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</row>
    <row r="319" spans="18:146" ht="12.75">
      <c r="R319" s="5"/>
      <c r="S319" s="5"/>
      <c r="T319" s="5"/>
      <c r="U319" s="5"/>
      <c r="AL319" s="5"/>
      <c r="AM319" s="5"/>
      <c r="AN319" s="5"/>
      <c r="AO319" s="5"/>
      <c r="AQ319" s="5"/>
      <c r="AR319" s="5"/>
      <c r="AS319" s="5"/>
      <c r="AT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</row>
    <row r="320" spans="18:146" ht="12.75">
      <c r="R320" s="5"/>
      <c r="S320" s="5"/>
      <c r="T320" s="5"/>
      <c r="U320" s="5"/>
      <c r="AL320" s="5"/>
      <c r="AM320" s="5"/>
      <c r="AN320" s="5"/>
      <c r="AO320" s="5"/>
      <c r="AQ320" s="5"/>
      <c r="AR320" s="5"/>
      <c r="AS320" s="5"/>
      <c r="AT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</row>
    <row r="321" spans="18:146" ht="12.75">
      <c r="R321" s="5"/>
      <c r="S321" s="5"/>
      <c r="T321" s="5"/>
      <c r="U321" s="5"/>
      <c r="AL321" s="5"/>
      <c r="AM321" s="5"/>
      <c r="AN321" s="5"/>
      <c r="AO321" s="5"/>
      <c r="AQ321" s="5"/>
      <c r="AR321" s="5"/>
      <c r="AS321" s="5"/>
      <c r="AT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</row>
    <row r="322" spans="18:146" ht="12.75">
      <c r="R322" s="5"/>
      <c r="S322" s="5"/>
      <c r="T322" s="5"/>
      <c r="U322" s="5"/>
      <c r="AL322" s="5"/>
      <c r="AM322" s="5"/>
      <c r="AN322" s="5"/>
      <c r="AO322" s="5"/>
      <c r="AQ322" s="5"/>
      <c r="AR322" s="5"/>
      <c r="AS322" s="5"/>
      <c r="AT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</row>
    <row r="323" spans="18:146" ht="12.75">
      <c r="R323" s="5"/>
      <c r="S323" s="5"/>
      <c r="T323" s="5"/>
      <c r="U323" s="5"/>
      <c r="AL323" s="5"/>
      <c r="AM323" s="5"/>
      <c r="AN323" s="5"/>
      <c r="AO323" s="5"/>
      <c r="AQ323" s="5"/>
      <c r="AR323" s="5"/>
      <c r="AS323" s="5"/>
      <c r="AT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</row>
    <row r="324" spans="18:146" ht="12.75">
      <c r="R324" s="5"/>
      <c r="S324" s="5"/>
      <c r="T324" s="5"/>
      <c r="U324" s="5"/>
      <c r="AL324" s="5"/>
      <c r="AM324" s="5"/>
      <c r="AN324" s="5"/>
      <c r="AO324" s="5"/>
      <c r="AQ324" s="5"/>
      <c r="AR324" s="5"/>
      <c r="AS324" s="5"/>
      <c r="AT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</row>
    <row r="325" spans="18:146" ht="12.75">
      <c r="R325" s="5"/>
      <c r="S325" s="5"/>
      <c r="T325" s="5"/>
      <c r="U325" s="5"/>
      <c r="AL325" s="5"/>
      <c r="AM325" s="5"/>
      <c r="AN325" s="5"/>
      <c r="AO325" s="5"/>
      <c r="AQ325" s="5"/>
      <c r="AR325" s="5"/>
      <c r="AS325" s="5"/>
      <c r="AT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</row>
    <row r="326" spans="18:146" ht="12.75">
      <c r="R326" s="5"/>
      <c r="S326" s="5"/>
      <c r="T326" s="5"/>
      <c r="U326" s="5"/>
      <c r="AL326" s="5"/>
      <c r="AM326" s="5"/>
      <c r="AN326" s="5"/>
      <c r="AO326" s="5"/>
      <c r="AQ326" s="5"/>
      <c r="AR326" s="5"/>
      <c r="AS326" s="5"/>
      <c r="AT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</row>
    <row r="327" spans="18:146" ht="12.75">
      <c r="R327" s="5"/>
      <c r="S327" s="5"/>
      <c r="T327" s="5"/>
      <c r="U327" s="5"/>
      <c r="AL327" s="5"/>
      <c r="AM327" s="5"/>
      <c r="AN327" s="5"/>
      <c r="AO327" s="5"/>
      <c r="AQ327" s="5"/>
      <c r="AR327" s="5"/>
      <c r="AS327" s="5"/>
      <c r="AT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</row>
    <row r="328" spans="18:146" ht="12.75">
      <c r="R328" s="5"/>
      <c r="S328" s="5"/>
      <c r="T328" s="5"/>
      <c r="U328" s="5"/>
      <c r="AL328" s="5"/>
      <c r="AM328" s="5"/>
      <c r="AN328" s="5"/>
      <c r="AO328" s="5"/>
      <c r="AQ328" s="5"/>
      <c r="AR328" s="5"/>
      <c r="AS328" s="5"/>
      <c r="AT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</row>
    <row r="329" spans="18:146" ht="12.75">
      <c r="R329" s="5"/>
      <c r="S329" s="5"/>
      <c r="T329" s="5"/>
      <c r="U329" s="5"/>
      <c r="AL329" s="5"/>
      <c r="AM329" s="5"/>
      <c r="AN329" s="5"/>
      <c r="AO329" s="5"/>
      <c r="AQ329" s="5"/>
      <c r="AR329" s="5"/>
      <c r="AS329" s="5"/>
      <c r="AT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</row>
    <row r="330" spans="18:146" ht="12.75">
      <c r="R330" s="5"/>
      <c r="S330" s="5"/>
      <c r="T330" s="5"/>
      <c r="U330" s="5"/>
      <c r="AL330" s="5"/>
      <c r="AM330" s="5"/>
      <c r="AN330" s="5"/>
      <c r="AO330" s="5"/>
      <c r="AQ330" s="5"/>
      <c r="AR330" s="5"/>
      <c r="AS330" s="5"/>
      <c r="AT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</row>
    <row r="331" spans="18:146" ht="12.75">
      <c r="R331" s="5"/>
      <c r="S331" s="5"/>
      <c r="T331" s="5"/>
      <c r="U331" s="5"/>
      <c r="AL331" s="5"/>
      <c r="AM331" s="5"/>
      <c r="AN331" s="5"/>
      <c r="AO331" s="5"/>
      <c r="AQ331" s="5"/>
      <c r="AR331" s="5"/>
      <c r="AS331" s="5"/>
      <c r="AT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</row>
    <row r="332" spans="18:146" ht="12.75">
      <c r="R332" s="5"/>
      <c r="S332" s="5"/>
      <c r="T332" s="5"/>
      <c r="U332" s="5"/>
      <c r="AL332" s="5"/>
      <c r="AM332" s="5"/>
      <c r="AN332" s="5"/>
      <c r="AO332" s="5"/>
      <c r="AQ332" s="5"/>
      <c r="AR332" s="5"/>
      <c r="AS332" s="5"/>
      <c r="AT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</row>
    <row r="333" spans="18:146" ht="12.75">
      <c r="R333" s="5"/>
      <c r="S333" s="5"/>
      <c r="T333" s="5"/>
      <c r="U333" s="5"/>
      <c r="AL333" s="5"/>
      <c r="AM333" s="5"/>
      <c r="AN333" s="5"/>
      <c r="AO333" s="5"/>
      <c r="AQ333" s="5"/>
      <c r="AR333" s="5"/>
      <c r="AS333" s="5"/>
      <c r="AT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</row>
    <row r="334" spans="18:146" ht="12.75">
      <c r="R334" s="5"/>
      <c r="S334" s="5"/>
      <c r="T334" s="5"/>
      <c r="U334" s="5"/>
      <c r="AL334" s="5"/>
      <c r="AM334" s="5"/>
      <c r="AN334" s="5"/>
      <c r="AO334" s="5"/>
      <c r="AQ334" s="5"/>
      <c r="AR334" s="5"/>
      <c r="AS334" s="5"/>
      <c r="AT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</row>
    <row r="335" spans="18:146" ht="12.75">
      <c r="R335" s="5"/>
      <c r="S335" s="5"/>
      <c r="T335" s="5"/>
      <c r="U335" s="5"/>
      <c r="AL335" s="5"/>
      <c r="AM335" s="5"/>
      <c r="AN335" s="5"/>
      <c r="AO335" s="5"/>
      <c r="AQ335" s="5"/>
      <c r="AR335" s="5"/>
      <c r="AS335" s="5"/>
      <c r="AT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</row>
    <row r="336" spans="18:146" ht="12.75">
      <c r="R336" s="5"/>
      <c r="S336" s="5"/>
      <c r="T336" s="5"/>
      <c r="U336" s="5"/>
      <c r="AL336" s="5"/>
      <c r="AM336" s="5"/>
      <c r="AN336" s="5"/>
      <c r="AO336" s="5"/>
      <c r="AQ336" s="5"/>
      <c r="AR336" s="5"/>
      <c r="AS336" s="5"/>
      <c r="AT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</row>
    <row r="337" spans="18:146" ht="12.75">
      <c r="R337" s="5"/>
      <c r="S337" s="5"/>
      <c r="T337" s="5"/>
      <c r="U337" s="5"/>
      <c r="AL337" s="5"/>
      <c r="AM337" s="5"/>
      <c r="AN337" s="5"/>
      <c r="AO337" s="5"/>
      <c r="AQ337" s="5"/>
      <c r="AR337" s="5"/>
      <c r="AS337" s="5"/>
      <c r="AT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</row>
    <row r="338" spans="18:146" ht="12.75">
      <c r="R338" s="5"/>
      <c r="S338" s="5"/>
      <c r="T338" s="5"/>
      <c r="U338" s="5"/>
      <c r="AL338" s="5"/>
      <c r="AM338" s="5"/>
      <c r="AN338" s="5"/>
      <c r="AO338" s="5"/>
      <c r="AQ338" s="5"/>
      <c r="AR338" s="5"/>
      <c r="AS338" s="5"/>
      <c r="AT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</row>
    <row r="339" spans="18:146" ht="12.75">
      <c r="R339" s="5"/>
      <c r="S339" s="5"/>
      <c r="T339" s="5"/>
      <c r="U339" s="5"/>
      <c r="AL339" s="5"/>
      <c r="AM339" s="5"/>
      <c r="AN339" s="5"/>
      <c r="AO339" s="5"/>
      <c r="AQ339" s="5"/>
      <c r="AR339" s="5"/>
      <c r="AS339" s="5"/>
      <c r="AT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</row>
    <row r="340" spans="18:146" ht="12.75">
      <c r="R340" s="5"/>
      <c r="S340" s="5"/>
      <c r="T340" s="5"/>
      <c r="U340" s="5"/>
      <c r="AL340" s="5"/>
      <c r="AM340" s="5"/>
      <c r="AN340" s="5"/>
      <c r="AO340" s="5"/>
      <c r="AQ340" s="5"/>
      <c r="AR340" s="5"/>
      <c r="AS340" s="5"/>
      <c r="AT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</row>
    <row r="341" spans="18:146" ht="12.75">
      <c r="R341" s="5"/>
      <c r="S341" s="5"/>
      <c r="T341" s="5"/>
      <c r="U341" s="5"/>
      <c r="AL341" s="5"/>
      <c r="AM341" s="5"/>
      <c r="AN341" s="5"/>
      <c r="AO341" s="5"/>
      <c r="AQ341" s="5"/>
      <c r="AR341" s="5"/>
      <c r="AS341" s="5"/>
      <c r="AT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</row>
    <row r="342" spans="18:146" ht="12.75">
      <c r="R342" s="5"/>
      <c r="S342" s="5"/>
      <c r="T342" s="5"/>
      <c r="U342" s="5"/>
      <c r="AL342" s="5"/>
      <c r="AM342" s="5"/>
      <c r="AN342" s="5"/>
      <c r="AO342" s="5"/>
      <c r="AQ342" s="5"/>
      <c r="AR342" s="5"/>
      <c r="AS342" s="5"/>
      <c r="AT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</row>
    <row r="343" spans="18:146" ht="12.75">
      <c r="R343" s="5"/>
      <c r="S343" s="5"/>
      <c r="T343" s="5"/>
      <c r="U343" s="5"/>
      <c r="AL343" s="5"/>
      <c r="AM343" s="5"/>
      <c r="AN343" s="5"/>
      <c r="AO343" s="5"/>
      <c r="AQ343" s="5"/>
      <c r="AR343" s="5"/>
      <c r="AS343" s="5"/>
      <c r="AT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</row>
    <row r="344" spans="18:146" ht="12.75">
      <c r="R344" s="5"/>
      <c r="S344" s="5"/>
      <c r="T344" s="5"/>
      <c r="U344" s="5"/>
      <c r="AL344" s="5"/>
      <c r="AM344" s="5"/>
      <c r="AN344" s="5"/>
      <c r="AO344" s="5"/>
      <c r="AQ344" s="5"/>
      <c r="AR344" s="5"/>
      <c r="AS344" s="5"/>
      <c r="AT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</row>
    <row r="345" spans="18:146" ht="12.75">
      <c r="R345" s="5"/>
      <c r="S345" s="5"/>
      <c r="T345" s="5"/>
      <c r="U345" s="5"/>
      <c r="AL345" s="5"/>
      <c r="AM345" s="5"/>
      <c r="AN345" s="5"/>
      <c r="AO345" s="5"/>
      <c r="AQ345" s="5"/>
      <c r="AR345" s="5"/>
      <c r="AS345" s="5"/>
      <c r="AT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</row>
    <row r="346" spans="18:146" ht="12.75">
      <c r="R346" s="5"/>
      <c r="S346" s="5"/>
      <c r="T346" s="5"/>
      <c r="U346" s="5"/>
      <c r="AL346" s="5"/>
      <c r="AM346" s="5"/>
      <c r="AN346" s="5"/>
      <c r="AO346" s="5"/>
      <c r="AQ346" s="5"/>
      <c r="AR346" s="5"/>
      <c r="AS346" s="5"/>
      <c r="AT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</row>
    <row r="347" spans="18:146" ht="12.75">
      <c r="R347" s="5"/>
      <c r="S347" s="5"/>
      <c r="T347" s="5"/>
      <c r="U347" s="5"/>
      <c r="AL347" s="5"/>
      <c r="AM347" s="5"/>
      <c r="AN347" s="5"/>
      <c r="AO347" s="5"/>
      <c r="AQ347" s="5"/>
      <c r="AR347" s="5"/>
      <c r="AS347" s="5"/>
      <c r="AT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</row>
    <row r="348" spans="18:146" ht="12.75">
      <c r="R348" s="5"/>
      <c r="S348" s="5"/>
      <c r="T348" s="5"/>
      <c r="U348" s="5"/>
      <c r="AL348" s="5"/>
      <c r="AM348" s="5"/>
      <c r="AN348" s="5"/>
      <c r="AO348" s="5"/>
      <c r="AQ348" s="5"/>
      <c r="AR348" s="5"/>
      <c r="AS348" s="5"/>
      <c r="AT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</row>
    <row r="349" spans="18:146" ht="12.75">
      <c r="R349" s="5"/>
      <c r="S349" s="5"/>
      <c r="T349" s="5"/>
      <c r="U349" s="5"/>
      <c r="AL349" s="5"/>
      <c r="AM349" s="5"/>
      <c r="AN349" s="5"/>
      <c r="AO349" s="5"/>
      <c r="AQ349" s="5"/>
      <c r="AR349" s="5"/>
      <c r="AS349" s="5"/>
      <c r="AT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</row>
    <row r="350" spans="18:146" ht="12.75">
      <c r="R350" s="5"/>
      <c r="S350" s="5"/>
      <c r="T350" s="5"/>
      <c r="U350" s="5"/>
      <c r="AL350" s="5"/>
      <c r="AM350" s="5"/>
      <c r="AN350" s="5"/>
      <c r="AO350" s="5"/>
      <c r="AQ350" s="5"/>
      <c r="AR350" s="5"/>
      <c r="AS350" s="5"/>
      <c r="AT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</row>
    <row r="351" spans="18:146" ht="12.75">
      <c r="R351" s="5"/>
      <c r="S351" s="5"/>
      <c r="T351" s="5"/>
      <c r="U351" s="5"/>
      <c r="AL351" s="5"/>
      <c r="AM351" s="5"/>
      <c r="AN351" s="5"/>
      <c r="AO351" s="5"/>
      <c r="AQ351" s="5"/>
      <c r="AR351" s="5"/>
      <c r="AS351" s="5"/>
      <c r="AT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</row>
    <row r="352" spans="18:146" ht="12.75">
      <c r="R352" s="5"/>
      <c r="S352" s="5"/>
      <c r="T352" s="5"/>
      <c r="U352" s="5"/>
      <c r="AL352" s="5"/>
      <c r="AM352" s="5"/>
      <c r="AN352" s="5"/>
      <c r="AO352" s="5"/>
      <c r="AQ352" s="5"/>
      <c r="AR352" s="5"/>
      <c r="AS352" s="5"/>
      <c r="AT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</row>
    <row r="353" spans="18:146" ht="12.75">
      <c r="R353" s="5"/>
      <c r="S353" s="5"/>
      <c r="T353" s="5"/>
      <c r="U353" s="5"/>
      <c r="AL353" s="5"/>
      <c r="AM353" s="5"/>
      <c r="AN353" s="5"/>
      <c r="AO353" s="5"/>
      <c r="AQ353" s="5"/>
      <c r="AR353" s="5"/>
      <c r="AS353" s="5"/>
      <c r="AT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</row>
    <row r="354" spans="18:146" ht="12.75">
      <c r="R354" s="5"/>
      <c r="S354" s="5"/>
      <c r="T354" s="5"/>
      <c r="U354" s="5"/>
      <c r="AL354" s="5"/>
      <c r="AM354" s="5"/>
      <c r="AN354" s="5"/>
      <c r="AO354" s="5"/>
      <c r="AQ354" s="5"/>
      <c r="AR354" s="5"/>
      <c r="AS354" s="5"/>
      <c r="AT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</row>
    <row r="355" spans="18:146" ht="12.75">
      <c r="R355" s="5"/>
      <c r="S355" s="5"/>
      <c r="T355" s="5"/>
      <c r="U355" s="5"/>
      <c r="AL355" s="5"/>
      <c r="AM355" s="5"/>
      <c r="AN355" s="5"/>
      <c r="AO355" s="5"/>
      <c r="AQ355" s="5"/>
      <c r="AR355" s="5"/>
      <c r="AS355" s="5"/>
      <c r="AT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</row>
    <row r="356" spans="18:146" ht="12.75">
      <c r="R356" s="5"/>
      <c r="S356" s="5"/>
      <c r="T356" s="5"/>
      <c r="U356" s="5"/>
      <c r="AL356" s="5"/>
      <c r="AM356" s="5"/>
      <c r="AN356" s="5"/>
      <c r="AO356" s="5"/>
      <c r="AQ356" s="5"/>
      <c r="AR356" s="5"/>
      <c r="AS356" s="5"/>
      <c r="AT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</row>
    <row r="357" spans="18:146" ht="12.75">
      <c r="R357" s="5"/>
      <c r="S357" s="5"/>
      <c r="T357" s="5"/>
      <c r="U357" s="5"/>
      <c r="AL357" s="5"/>
      <c r="AM357" s="5"/>
      <c r="AN357" s="5"/>
      <c r="AO357" s="5"/>
      <c r="AQ357" s="5"/>
      <c r="AR357" s="5"/>
      <c r="AS357" s="5"/>
      <c r="AT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</row>
    <row r="358" spans="18:146" ht="12.75">
      <c r="R358" s="5"/>
      <c r="S358" s="5"/>
      <c r="T358" s="5"/>
      <c r="U358" s="5"/>
      <c r="AL358" s="5"/>
      <c r="AM358" s="5"/>
      <c r="AN358" s="5"/>
      <c r="AO358" s="5"/>
      <c r="AQ358" s="5"/>
      <c r="AR358" s="5"/>
      <c r="AS358" s="5"/>
      <c r="AT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</row>
    <row r="359" spans="18:146" ht="12.75">
      <c r="R359" s="5"/>
      <c r="S359" s="5"/>
      <c r="T359" s="5"/>
      <c r="U359" s="5"/>
      <c r="AL359" s="5"/>
      <c r="AM359" s="5"/>
      <c r="AN359" s="5"/>
      <c r="AO359" s="5"/>
      <c r="AQ359" s="5"/>
      <c r="AR359" s="5"/>
      <c r="AS359" s="5"/>
      <c r="AT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</row>
    <row r="360" spans="18:146" ht="12.75">
      <c r="R360" s="5"/>
      <c r="S360" s="5"/>
      <c r="T360" s="5"/>
      <c r="U360" s="5"/>
      <c r="AL360" s="5"/>
      <c r="AM360" s="5"/>
      <c r="AN360" s="5"/>
      <c r="AO360" s="5"/>
      <c r="AQ360" s="5"/>
      <c r="AR360" s="5"/>
      <c r="AS360" s="5"/>
      <c r="AT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</row>
    <row r="361" spans="18:146" ht="12.75">
      <c r="R361" s="5"/>
      <c r="S361" s="5"/>
      <c r="T361" s="5"/>
      <c r="U361" s="5"/>
      <c r="AL361" s="5"/>
      <c r="AM361" s="5"/>
      <c r="AN361" s="5"/>
      <c r="AO361" s="5"/>
      <c r="AQ361" s="5"/>
      <c r="AR361" s="5"/>
      <c r="AS361" s="5"/>
      <c r="AT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</row>
    <row r="362" spans="18:146" ht="12.75">
      <c r="R362" s="5"/>
      <c r="S362" s="5"/>
      <c r="T362" s="5"/>
      <c r="U362" s="5"/>
      <c r="AL362" s="5"/>
      <c r="AM362" s="5"/>
      <c r="AN362" s="5"/>
      <c r="AO362" s="5"/>
      <c r="AQ362" s="5"/>
      <c r="AR362" s="5"/>
      <c r="AS362" s="5"/>
      <c r="AT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</row>
    <row r="363" spans="18:146" ht="12.75">
      <c r="R363" s="5"/>
      <c r="S363" s="5"/>
      <c r="T363" s="5"/>
      <c r="U363" s="5"/>
      <c r="AL363" s="5"/>
      <c r="AM363" s="5"/>
      <c r="AN363" s="5"/>
      <c r="AO363" s="5"/>
      <c r="AQ363" s="5"/>
      <c r="AR363" s="5"/>
      <c r="AS363" s="5"/>
      <c r="AT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</row>
    <row r="364" spans="18:146" ht="12.75">
      <c r="R364" s="5"/>
      <c r="S364" s="5"/>
      <c r="T364" s="5"/>
      <c r="U364" s="5"/>
      <c r="AL364" s="5"/>
      <c r="AM364" s="5"/>
      <c r="AN364" s="5"/>
      <c r="AO364" s="5"/>
      <c r="AQ364" s="5"/>
      <c r="AR364" s="5"/>
      <c r="AS364" s="5"/>
      <c r="AT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</row>
    <row r="365" spans="18:146" ht="12.75">
      <c r="R365" s="5"/>
      <c r="S365" s="5"/>
      <c r="T365" s="5"/>
      <c r="U365" s="5"/>
      <c r="AL365" s="5"/>
      <c r="AM365" s="5"/>
      <c r="AN365" s="5"/>
      <c r="AO365" s="5"/>
      <c r="AQ365" s="5"/>
      <c r="AR365" s="5"/>
      <c r="AS365" s="5"/>
      <c r="AT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</row>
    <row r="366" spans="18:146" ht="12.75">
      <c r="R366" s="5"/>
      <c r="S366" s="5"/>
      <c r="T366" s="5"/>
      <c r="U366" s="5"/>
      <c r="AL366" s="5"/>
      <c r="AM366" s="5"/>
      <c r="AN366" s="5"/>
      <c r="AO366" s="5"/>
      <c r="AQ366" s="5"/>
      <c r="AR366" s="5"/>
      <c r="AS366" s="5"/>
      <c r="AT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</row>
    <row r="367" spans="18:146" ht="12.75">
      <c r="R367" s="5"/>
      <c r="S367" s="5"/>
      <c r="T367" s="5"/>
      <c r="U367" s="5"/>
      <c r="AL367" s="5"/>
      <c r="AM367" s="5"/>
      <c r="AN367" s="5"/>
      <c r="AO367" s="5"/>
      <c r="AQ367" s="5"/>
      <c r="AR367" s="5"/>
      <c r="AS367" s="5"/>
      <c r="AT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</row>
    <row r="368" spans="18:146" ht="12.75">
      <c r="R368" s="5"/>
      <c r="S368" s="5"/>
      <c r="T368" s="5"/>
      <c r="U368" s="5"/>
      <c r="AL368" s="5"/>
      <c r="AM368" s="5"/>
      <c r="AN368" s="5"/>
      <c r="AO368" s="5"/>
      <c r="AQ368" s="5"/>
      <c r="AR368" s="5"/>
      <c r="AS368" s="5"/>
      <c r="AT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</row>
    <row r="369" spans="18:146" ht="12.75">
      <c r="R369" s="5"/>
      <c r="S369" s="5"/>
      <c r="T369" s="5"/>
      <c r="U369" s="5"/>
      <c r="AL369" s="5"/>
      <c r="AM369" s="5"/>
      <c r="AN369" s="5"/>
      <c r="AO369" s="5"/>
      <c r="AQ369" s="5"/>
      <c r="AR369" s="5"/>
      <c r="AS369" s="5"/>
      <c r="AT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</row>
    <row r="370" spans="18:146" ht="12.75">
      <c r="R370" s="5"/>
      <c r="S370" s="5"/>
      <c r="T370" s="5"/>
      <c r="U370" s="5"/>
      <c r="AL370" s="5"/>
      <c r="AM370" s="5"/>
      <c r="AN370" s="5"/>
      <c r="AO370" s="5"/>
      <c r="AQ370" s="5"/>
      <c r="AR370" s="5"/>
      <c r="AS370" s="5"/>
      <c r="AT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</row>
    <row r="371" spans="18:146" ht="12.75">
      <c r="R371" s="5"/>
      <c r="S371" s="5"/>
      <c r="T371" s="5"/>
      <c r="U371" s="5"/>
      <c r="AL371" s="5"/>
      <c r="AM371" s="5"/>
      <c r="AN371" s="5"/>
      <c r="AO371" s="5"/>
      <c r="AQ371" s="5"/>
      <c r="AR371" s="5"/>
      <c r="AS371" s="5"/>
      <c r="AT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</row>
    <row r="372" spans="18:146" ht="12.75">
      <c r="R372" s="5"/>
      <c r="S372" s="5"/>
      <c r="T372" s="5"/>
      <c r="U372" s="5"/>
      <c r="AL372" s="5"/>
      <c r="AM372" s="5"/>
      <c r="AN372" s="5"/>
      <c r="AO372" s="5"/>
      <c r="AQ372" s="5"/>
      <c r="AR372" s="5"/>
      <c r="AS372" s="5"/>
      <c r="AT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</row>
    <row r="373" spans="18:146" ht="12.75">
      <c r="R373" s="5"/>
      <c r="S373" s="5"/>
      <c r="T373" s="5"/>
      <c r="U373" s="5"/>
      <c r="AL373" s="5"/>
      <c r="AM373" s="5"/>
      <c r="AN373" s="5"/>
      <c r="AO373" s="5"/>
      <c r="AQ373" s="5"/>
      <c r="AR373" s="5"/>
      <c r="AS373" s="5"/>
      <c r="AT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</row>
    <row r="374" spans="18:146" ht="12.75">
      <c r="R374" s="5"/>
      <c r="S374" s="5"/>
      <c r="T374" s="5"/>
      <c r="U374" s="5"/>
      <c r="AL374" s="5"/>
      <c r="AM374" s="5"/>
      <c r="AN374" s="5"/>
      <c r="AO374" s="5"/>
      <c r="AQ374" s="5"/>
      <c r="AR374" s="5"/>
      <c r="AS374" s="5"/>
      <c r="AT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</row>
    <row r="375" spans="18:146" ht="12.75">
      <c r="R375" s="5"/>
      <c r="S375" s="5"/>
      <c r="T375" s="5"/>
      <c r="U375" s="5"/>
      <c r="AL375" s="5"/>
      <c r="AM375" s="5"/>
      <c r="AN375" s="5"/>
      <c r="AO375" s="5"/>
      <c r="AQ375" s="5"/>
      <c r="AR375" s="5"/>
      <c r="AS375" s="5"/>
      <c r="AT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</row>
    <row r="376" spans="18:146" ht="12.75">
      <c r="R376" s="5"/>
      <c r="S376" s="5"/>
      <c r="T376" s="5"/>
      <c r="U376" s="5"/>
      <c r="AL376" s="5"/>
      <c r="AM376" s="5"/>
      <c r="AN376" s="5"/>
      <c r="AO376" s="5"/>
      <c r="AQ376" s="5"/>
      <c r="AR376" s="5"/>
      <c r="AS376" s="5"/>
      <c r="AT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</row>
    <row r="377" spans="18:146" ht="12.75">
      <c r="R377" s="5"/>
      <c r="S377" s="5"/>
      <c r="T377" s="5"/>
      <c r="U377" s="5"/>
      <c r="AL377" s="5"/>
      <c r="AM377" s="5"/>
      <c r="AN377" s="5"/>
      <c r="AO377" s="5"/>
      <c r="AQ377" s="5"/>
      <c r="AR377" s="5"/>
      <c r="AS377" s="5"/>
      <c r="AT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</row>
    <row r="378" spans="18:146" ht="12.75">
      <c r="R378" s="5"/>
      <c r="S378" s="5"/>
      <c r="T378" s="5"/>
      <c r="U378" s="5"/>
      <c r="AL378" s="5"/>
      <c r="AM378" s="5"/>
      <c r="AN378" s="5"/>
      <c r="AO378" s="5"/>
      <c r="AQ378" s="5"/>
      <c r="AR378" s="5"/>
      <c r="AS378" s="5"/>
      <c r="AT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</row>
    <row r="379" spans="18:146" ht="12.75">
      <c r="R379" s="5"/>
      <c r="S379" s="5"/>
      <c r="T379" s="5"/>
      <c r="U379" s="5"/>
      <c r="AL379" s="5"/>
      <c r="AM379" s="5"/>
      <c r="AN379" s="5"/>
      <c r="AO379" s="5"/>
      <c r="AQ379" s="5"/>
      <c r="AR379" s="5"/>
      <c r="AS379" s="5"/>
      <c r="AT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</row>
    <row r="380" spans="18:146" ht="12.75">
      <c r="R380" s="5"/>
      <c r="S380" s="5"/>
      <c r="T380" s="5"/>
      <c r="U380" s="5"/>
      <c r="AL380" s="5"/>
      <c r="AM380" s="5"/>
      <c r="AN380" s="5"/>
      <c r="AO380" s="5"/>
      <c r="AQ380" s="5"/>
      <c r="AR380" s="5"/>
      <c r="AS380" s="5"/>
      <c r="AT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</row>
    <row r="381" spans="18:146" ht="12.75">
      <c r="R381" s="5"/>
      <c r="S381" s="5"/>
      <c r="T381" s="5"/>
      <c r="U381" s="5"/>
      <c r="AL381" s="5"/>
      <c r="AM381" s="5"/>
      <c r="AN381" s="5"/>
      <c r="AO381" s="5"/>
      <c r="AQ381" s="5"/>
      <c r="AR381" s="5"/>
      <c r="AS381" s="5"/>
      <c r="AT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</row>
    <row r="382" spans="18:146" ht="12.75">
      <c r="R382" s="5"/>
      <c r="S382" s="5"/>
      <c r="T382" s="5"/>
      <c r="U382" s="5"/>
      <c r="AL382" s="5"/>
      <c r="AM382" s="5"/>
      <c r="AN382" s="5"/>
      <c r="AO382" s="5"/>
      <c r="AQ382" s="5"/>
      <c r="AR382" s="5"/>
      <c r="AS382" s="5"/>
      <c r="AT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</row>
    <row r="383" spans="18:146" ht="12.75">
      <c r="R383" s="5"/>
      <c r="S383" s="5"/>
      <c r="T383" s="5"/>
      <c r="U383" s="5"/>
      <c r="AL383" s="5"/>
      <c r="AM383" s="5"/>
      <c r="AN383" s="5"/>
      <c r="AO383" s="5"/>
      <c r="AQ383" s="5"/>
      <c r="AR383" s="5"/>
      <c r="AS383" s="5"/>
      <c r="AT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</row>
    <row r="384" spans="18:146" ht="12.75">
      <c r="R384" s="5"/>
      <c r="S384" s="5"/>
      <c r="T384" s="5"/>
      <c r="U384" s="5"/>
      <c r="AL384" s="5"/>
      <c r="AM384" s="5"/>
      <c r="AN384" s="5"/>
      <c r="AO384" s="5"/>
      <c r="AQ384" s="5"/>
      <c r="AR384" s="5"/>
      <c r="AS384" s="5"/>
      <c r="AT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</row>
    <row r="385" spans="18:146" ht="12.75">
      <c r="R385" s="5"/>
      <c r="S385" s="5"/>
      <c r="T385" s="5"/>
      <c r="U385" s="5"/>
      <c r="AL385" s="5"/>
      <c r="AM385" s="5"/>
      <c r="AN385" s="5"/>
      <c r="AO385" s="5"/>
      <c r="AQ385" s="5"/>
      <c r="AR385" s="5"/>
      <c r="AS385" s="5"/>
      <c r="AT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</row>
    <row r="386" spans="18:146" ht="12.75">
      <c r="R386" s="5"/>
      <c r="S386" s="5"/>
      <c r="T386" s="5"/>
      <c r="U386" s="5"/>
      <c r="AL386" s="5"/>
      <c r="AM386" s="5"/>
      <c r="AN386" s="5"/>
      <c r="AO386" s="5"/>
      <c r="AQ386" s="5"/>
      <c r="AR386" s="5"/>
      <c r="AS386" s="5"/>
      <c r="AT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</row>
    <row r="387" spans="18:146" ht="12.75">
      <c r="R387" s="5"/>
      <c r="S387" s="5"/>
      <c r="T387" s="5"/>
      <c r="U387" s="5"/>
      <c r="AL387" s="5"/>
      <c r="AM387" s="5"/>
      <c r="AN387" s="5"/>
      <c r="AO387" s="5"/>
      <c r="AQ387" s="5"/>
      <c r="AR387" s="5"/>
      <c r="AS387" s="5"/>
      <c r="AT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</row>
    <row r="388" spans="18:146" ht="12.75">
      <c r="R388" s="5"/>
      <c r="S388" s="5"/>
      <c r="T388" s="5"/>
      <c r="U388" s="5"/>
      <c r="AL388" s="5"/>
      <c r="AM388" s="5"/>
      <c r="AN388" s="5"/>
      <c r="AO388" s="5"/>
      <c r="AQ388" s="5"/>
      <c r="AR388" s="5"/>
      <c r="AS388" s="5"/>
      <c r="AT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</row>
    <row r="389" spans="18:146" ht="12.75">
      <c r="R389" s="5"/>
      <c r="S389" s="5"/>
      <c r="T389" s="5"/>
      <c r="U389" s="5"/>
      <c r="AL389" s="5"/>
      <c r="AM389" s="5"/>
      <c r="AN389" s="5"/>
      <c r="AO389" s="5"/>
      <c r="AQ389" s="5"/>
      <c r="AR389" s="5"/>
      <c r="AS389" s="5"/>
      <c r="AT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</row>
    <row r="390" spans="18:146" ht="12.75">
      <c r="R390" s="5"/>
      <c r="S390" s="5"/>
      <c r="T390" s="5"/>
      <c r="U390" s="5"/>
      <c r="AL390" s="5"/>
      <c r="AM390" s="5"/>
      <c r="AN390" s="5"/>
      <c r="AO390" s="5"/>
      <c r="AQ390" s="5"/>
      <c r="AR390" s="5"/>
      <c r="AS390" s="5"/>
      <c r="AT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</row>
    <row r="391" spans="18:146" ht="12.75">
      <c r="R391" s="5"/>
      <c r="S391" s="5"/>
      <c r="T391" s="5"/>
      <c r="U391" s="5"/>
      <c r="AL391" s="5"/>
      <c r="AM391" s="5"/>
      <c r="AN391" s="5"/>
      <c r="AO391" s="5"/>
      <c r="AQ391" s="5"/>
      <c r="AR391" s="5"/>
      <c r="AS391" s="5"/>
      <c r="AT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</row>
    <row r="392" spans="18:146" ht="12.75">
      <c r="R392" s="5"/>
      <c r="S392" s="5"/>
      <c r="T392" s="5"/>
      <c r="U392" s="5"/>
      <c r="AL392" s="5"/>
      <c r="AM392" s="5"/>
      <c r="AN392" s="5"/>
      <c r="AO392" s="5"/>
      <c r="AQ392" s="5"/>
      <c r="AR392" s="5"/>
      <c r="AS392" s="5"/>
      <c r="AT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</row>
    <row r="393" spans="18:146" ht="12.75">
      <c r="R393" s="5"/>
      <c r="S393" s="5"/>
      <c r="T393" s="5"/>
      <c r="U393" s="5"/>
      <c r="AL393" s="5"/>
      <c r="AM393" s="5"/>
      <c r="AN393" s="5"/>
      <c r="AO393" s="5"/>
      <c r="AQ393" s="5"/>
      <c r="AR393" s="5"/>
      <c r="AS393" s="5"/>
      <c r="AT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</row>
    <row r="394" spans="18:146" ht="12.75">
      <c r="R394" s="5"/>
      <c r="S394" s="5"/>
      <c r="T394" s="5"/>
      <c r="U394" s="5"/>
      <c r="AL394" s="5"/>
      <c r="AM394" s="5"/>
      <c r="AN394" s="5"/>
      <c r="AO394" s="5"/>
      <c r="AQ394" s="5"/>
      <c r="AR394" s="5"/>
      <c r="AS394" s="5"/>
      <c r="AT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</row>
    <row r="395" spans="18:146" ht="12.75">
      <c r="R395" s="5"/>
      <c r="S395" s="5"/>
      <c r="T395" s="5"/>
      <c r="U395" s="5"/>
      <c r="AL395" s="5"/>
      <c r="AM395" s="5"/>
      <c r="AN395" s="5"/>
      <c r="AO395" s="5"/>
      <c r="AQ395" s="5"/>
      <c r="AR395" s="5"/>
      <c r="AS395" s="5"/>
      <c r="AT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</row>
    <row r="396" spans="18:146" ht="12.75">
      <c r="R396" s="5"/>
      <c r="S396" s="5"/>
      <c r="T396" s="5"/>
      <c r="U396" s="5"/>
      <c r="AL396" s="5"/>
      <c r="AM396" s="5"/>
      <c r="AN396" s="5"/>
      <c r="AO396" s="5"/>
      <c r="AQ396" s="5"/>
      <c r="AR396" s="5"/>
      <c r="AS396" s="5"/>
      <c r="AT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</row>
    <row r="397" spans="18:146" ht="12.75">
      <c r="R397" s="5"/>
      <c r="S397" s="5"/>
      <c r="T397" s="5"/>
      <c r="U397" s="5"/>
      <c r="AL397" s="5"/>
      <c r="AM397" s="5"/>
      <c r="AN397" s="5"/>
      <c r="AO397" s="5"/>
      <c r="AQ397" s="5"/>
      <c r="AR397" s="5"/>
      <c r="AS397" s="5"/>
      <c r="AT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</row>
    <row r="398" spans="18:146" ht="12.75">
      <c r="R398" s="5"/>
      <c r="S398" s="5"/>
      <c r="T398" s="5"/>
      <c r="U398" s="5"/>
      <c r="AL398" s="5"/>
      <c r="AM398" s="5"/>
      <c r="AN398" s="5"/>
      <c r="AO398" s="5"/>
      <c r="AQ398" s="5"/>
      <c r="AR398" s="5"/>
      <c r="AS398" s="5"/>
      <c r="AT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</row>
    <row r="399" spans="18:146" ht="12.75">
      <c r="R399" s="5"/>
      <c r="S399" s="5"/>
      <c r="T399" s="5"/>
      <c r="U399" s="5"/>
      <c r="AL399" s="5"/>
      <c r="AM399" s="5"/>
      <c r="AN399" s="5"/>
      <c r="AO399" s="5"/>
      <c r="AQ399" s="5"/>
      <c r="AR399" s="5"/>
      <c r="AS399" s="5"/>
      <c r="AT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</row>
    <row r="400" spans="18:146" ht="12.75">
      <c r="R400" s="5"/>
      <c r="S400" s="5"/>
      <c r="T400" s="5"/>
      <c r="U400" s="5"/>
      <c r="AL400" s="5"/>
      <c r="AM400" s="5"/>
      <c r="AN400" s="5"/>
      <c r="AO400" s="5"/>
      <c r="AQ400" s="5"/>
      <c r="AR400" s="5"/>
      <c r="AS400" s="5"/>
      <c r="AT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</row>
    <row r="401" spans="18:146" ht="12.75">
      <c r="R401" s="5"/>
      <c r="S401" s="5"/>
      <c r="T401" s="5"/>
      <c r="U401" s="5"/>
      <c r="AL401" s="5"/>
      <c r="AM401" s="5"/>
      <c r="AN401" s="5"/>
      <c r="AO401" s="5"/>
      <c r="AQ401" s="5"/>
      <c r="AR401" s="5"/>
      <c r="AS401" s="5"/>
      <c r="AT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</row>
    <row r="402" spans="18:146" ht="12.75">
      <c r="R402" s="5"/>
      <c r="S402" s="5"/>
      <c r="T402" s="5"/>
      <c r="U402" s="5"/>
      <c r="AL402" s="5"/>
      <c r="AM402" s="5"/>
      <c r="AN402" s="5"/>
      <c r="AO402" s="5"/>
      <c r="AQ402" s="5"/>
      <c r="AR402" s="5"/>
      <c r="AS402" s="5"/>
      <c r="AT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</row>
    <row r="403" spans="18:146" ht="12.75">
      <c r="R403" s="5"/>
      <c r="S403" s="5"/>
      <c r="T403" s="5"/>
      <c r="U403" s="5"/>
      <c r="AL403" s="5"/>
      <c r="AM403" s="5"/>
      <c r="AN403" s="5"/>
      <c r="AO403" s="5"/>
      <c r="AQ403" s="5"/>
      <c r="AR403" s="5"/>
      <c r="AS403" s="5"/>
      <c r="AT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</row>
    <row r="404" spans="18:146" ht="12.75">
      <c r="R404" s="5"/>
      <c r="S404" s="5"/>
      <c r="T404" s="5"/>
      <c r="U404" s="5"/>
      <c r="AL404" s="5"/>
      <c r="AM404" s="5"/>
      <c r="AN404" s="5"/>
      <c r="AO404" s="5"/>
      <c r="AQ404" s="5"/>
      <c r="AR404" s="5"/>
      <c r="AS404" s="5"/>
      <c r="AT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</row>
    <row r="405" spans="18:146" ht="12.75">
      <c r="R405" s="5"/>
      <c r="S405" s="5"/>
      <c r="T405" s="5"/>
      <c r="U405" s="5"/>
      <c r="AL405" s="5"/>
      <c r="AM405" s="5"/>
      <c r="AN405" s="5"/>
      <c r="AO405" s="5"/>
      <c r="AQ405" s="5"/>
      <c r="AR405" s="5"/>
      <c r="AS405" s="5"/>
      <c r="AT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</row>
    <row r="406" spans="18:146" ht="12.75">
      <c r="R406" s="5"/>
      <c r="S406" s="5"/>
      <c r="T406" s="5"/>
      <c r="U406" s="5"/>
      <c r="AL406" s="5"/>
      <c r="AM406" s="5"/>
      <c r="AN406" s="5"/>
      <c r="AO406" s="5"/>
      <c r="AQ406" s="5"/>
      <c r="AR406" s="5"/>
      <c r="AS406" s="5"/>
      <c r="AT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</row>
    <row r="407" spans="18:146" ht="12.75">
      <c r="R407" s="5"/>
      <c r="S407" s="5"/>
      <c r="T407" s="5"/>
      <c r="U407" s="5"/>
      <c r="AL407" s="5"/>
      <c r="AM407" s="5"/>
      <c r="AN407" s="5"/>
      <c r="AO407" s="5"/>
      <c r="AQ407" s="5"/>
      <c r="AR407" s="5"/>
      <c r="AS407" s="5"/>
      <c r="AT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</row>
    <row r="408" spans="18:146" ht="12.75">
      <c r="R408" s="5"/>
      <c r="S408" s="5"/>
      <c r="T408" s="5"/>
      <c r="U408" s="5"/>
      <c r="AL408" s="5"/>
      <c r="AM408" s="5"/>
      <c r="AN408" s="5"/>
      <c r="AO408" s="5"/>
      <c r="AQ408" s="5"/>
      <c r="AR408" s="5"/>
      <c r="AS408" s="5"/>
      <c r="AT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</row>
    <row r="409" spans="18:146" ht="12.75">
      <c r="R409" s="5"/>
      <c r="S409" s="5"/>
      <c r="T409" s="5"/>
      <c r="U409" s="5"/>
      <c r="AL409" s="5"/>
      <c r="AM409" s="5"/>
      <c r="AN409" s="5"/>
      <c r="AO409" s="5"/>
      <c r="AQ409" s="5"/>
      <c r="AR409" s="5"/>
      <c r="AS409" s="5"/>
      <c r="AT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</row>
    <row r="410" spans="18:146" ht="12.75">
      <c r="R410" s="5"/>
      <c r="S410" s="5"/>
      <c r="T410" s="5"/>
      <c r="U410" s="5"/>
      <c r="AL410" s="5"/>
      <c r="AM410" s="5"/>
      <c r="AN410" s="5"/>
      <c r="AO410" s="5"/>
      <c r="AQ410" s="5"/>
      <c r="AR410" s="5"/>
      <c r="AS410" s="5"/>
      <c r="AT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</row>
    <row r="411" spans="18:146" ht="12.75">
      <c r="R411" s="5"/>
      <c r="S411" s="5"/>
      <c r="T411" s="5"/>
      <c r="U411" s="5"/>
      <c r="AL411" s="5"/>
      <c r="AM411" s="5"/>
      <c r="AN411" s="5"/>
      <c r="AO411" s="5"/>
      <c r="AQ411" s="5"/>
      <c r="AR411" s="5"/>
      <c r="AS411" s="5"/>
      <c r="AT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</row>
    <row r="412" spans="18:146" ht="12.75">
      <c r="R412" s="5"/>
      <c r="S412" s="5"/>
      <c r="T412" s="5"/>
      <c r="U412" s="5"/>
      <c r="AL412" s="5"/>
      <c r="AM412" s="5"/>
      <c r="AN412" s="5"/>
      <c r="AO412" s="5"/>
      <c r="AQ412" s="5"/>
      <c r="AR412" s="5"/>
      <c r="AS412" s="5"/>
      <c r="AT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</row>
    <row r="413" spans="18:146" ht="12.75">
      <c r="R413" s="5"/>
      <c r="S413" s="5"/>
      <c r="T413" s="5"/>
      <c r="U413" s="5"/>
      <c r="AL413" s="5"/>
      <c r="AM413" s="5"/>
      <c r="AN413" s="5"/>
      <c r="AO413" s="5"/>
      <c r="AQ413" s="5"/>
      <c r="AR413" s="5"/>
      <c r="AS413" s="5"/>
      <c r="AT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</row>
    <row r="414" spans="18:146" ht="12.75">
      <c r="R414" s="5"/>
      <c r="S414" s="5"/>
      <c r="T414" s="5"/>
      <c r="U414" s="5"/>
      <c r="AL414" s="5"/>
      <c r="AM414" s="5"/>
      <c r="AN414" s="5"/>
      <c r="AO414" s="5"/>
      <c r="AQ414" s="5"/>
      <c r="AR414" s="5"/>
      <c r="AS414" s="5"/>
      <c r="AT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</row>
    <row r="415" spans="18:146" ht="12.75">
      <c r="R415" s="5"/>
      <c r="S415" s="5"/>
      <c r="T415" s="5"/>
      <c r="U415" s="5"/>
      <c r="AL415" s="5"/>
      <c r="AM415" s="5"/>
      <c r="AN415" s="5"/>
      <c r="AO415" s="5"/>
      <c r="AQ415" s="5"/>
      <c r="AR415" s="5"/>
      <c r="AS415" s="5"/>
      <c r="AT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</row>
    <row r="416" spans="18:146" ht="12.75">
      <c r="R416" s="5"/>
      <c r="S416" s="5"/>
      <c r="T416" s="5"/>
      <c r="U416" s="5"/>
      <c r="AL416" s="5"/>
      <c r="AM416" s="5"/>
      <c r="AN416" s="5"/>
      <c r="AO416" s="5"/>
      <c r="AQ416" s="5"/>
      <c r="AR416" s="5"/>
      <c r="AS416" s="5"/>
      <c r="AT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</row>
    <row r="417" spans="18:146" ht="12.75">
      <c r="R417" s="5"/>
      <c r="S417" s="5"/>
      <c r="T417" s="5"/>
      <c r="U417" s="5"/>
      <c r="AL417" s="5"/>
      <c r="AM417" s="5"/>
      <c r="AN417" s="5"/>
      <c r="AO417" s="5"/>
      <c r="AQ417" s="5"/>
      <c r="AR417" s="5"/>
      <c r="AS417" s="5"/>
      <c r="AT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</row>
    <row r="418" spans="18:146" ht="12.75">
      <c r="R418" s="5"/>
      <c r="S418" s="5"/>
      <c r="T418" s="5"/>
      <c r="U418" s="5"/>
      <c r="AL418" s="5"/>
      <c r="AM418" s="5"/>
      <c r="AN418" s="5"/>
      <c r="AO418" s="5"/>
      <c r="AQ418" s="5"/>
      <c r="AR418" s="5"/>
      <c r="AS418" s="5"/>
      <c r="AT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</row>
    <row r="419" spans="18:146" ht="12.75">
      <c r="R419" s="5"/>
      <c r="S419" s="5"/>
      <c r="T419" s="5"/>
      <c r="U419" s="5"/>
      <c r="AL419" s="5"/>
      <c r="AM419" s="5"/>
      <c r="AN419" s="5"/>
      <c r="AO419" s="5"/>
      <c r="AQ419" s="5"/>
      <c r="AR419" s="5"/>
      <c r="AS419" s="5"/>
      <c r="AT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</row>
    <row r="420" spans="18:146" ht="12.75">
      <c r="R420" s="5"/>
      <c r="S420" s="5"/>
      <c r="T420" s="5"/>
      <c r="U420" s="5"/>
      <c r="AL420" s="5"/>
      <c r="AM420" s="5"/>
      <c r="AN420" s="5"/>
      <c r="AO420" s="5"/>
      <c r="AQ420" s="5"/>
      <c r="AR420" s="5"/>
      <c r="AS420" s="5"/>
      <c r="AT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</row>
    <row r="421" spans="18:146" ht="12.75">
      <c r="R421" s="5"/>
      <c r="S421" s="5"/>
      <c r="T421" s="5"/>
      <c r="U421" s="5"/>
      <c r="AL421" s="5"/>
      <c r="AM421" s="5"/>
      <c r="AN421" s="5"/>
      <c r="AO421" s="5"/>
      <c r="AQ421" s="5"/>
      <c r="AR421" s="5"/>
      <c r="AS421" s="5"/>
      <c r="AT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</row>
    <row r="422" spans="18:146" ht="12.75">
      <c r="R422" s="5"/>
      <c r="S422" s="5"/>
      <c r="T422" s="5"/>
      <c r="U422" s="5"/>
      <c r="AL422" s="5"/>
      <c r="AM422" s="5"/>
      <c r="AN422" s="5"/>
      <c r="AO422" s="5"/>
      <c r="AQ422" s="5"/>
      <c r="AR422" s="5"/>
      <c r="AS422" s="5"/>
      <c r="AT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</row>
    <row r="423" spans="18:146" ht="12.75">
      <c r="R423" s="5"/>
      <c r="S423" s="5"/>
      <c r="T423" s="5"/>
      <c r="U423" s="5"/>
      <c r="AL423" s="5"/>
      <c r="AM423" s="5"/>
      <c r="AN423" s="5"/>
      <c r="AO423" s="5"/>
      <c r="AQ423" s="5"/>
      <c r="AR423" s="5"/>
      <c r="AS423" s="5"/>
      <c r="AT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</row>
    <row r="424" spans="18:146" ht="12.75">
      <c r="R424" s="5"/>
      <c r="S424" s="5"/>
      <c r="T424" s="5"/>
      <c r="U424" s="5"/>
      <c r="AL424" s="5"/>
      <c r="AM424" s="5"/>
      <c r="AN424" s="5"/>
      <c r="AO424" s="5"/>
      <c r="AQ424" s="5"/>
      <c r="AR424" s="5"/>
      <c r="AS424" s="5"/>
      <c r="AT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</row>
    <row r="425" spans="18:146" ht="12.75">
      <c r="R425" s="5"/>
      <c r="S425" s="5"/>
      <c r="T425" s="5"/>
      <c r="U425" s="5"/>
      <c r="AL425" s="5"/>
      <c r="AM425" s="5"/>
      <c r="AN425" s="5"/>
      <c r="AO425" s="5"/>
      <c r="AQ425" s="5"/>
      <c r="AR425" s="5"/>
      <c r="AS425" s="5"/>
      <c r="AT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</row>
    <row r="426" spans="18:146" ht="12.75">
      <c r="R426" s="5"/>
      <c r="S426" s="5"/>
      <c r="T426" s="5"/>
      <c r="U426" s="5"/>
      <c r="AL426" s="5"/>
      <c r="AM426" s="5"/>
      <c r="AN426" s="5"/>
      <c r="AO426" s="5"/>
      <c r="AQ426" s="5"/>
      <c r="AR426" s="5"/>
      <c r="AS426" s="5"/>
      <c r="AT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</row>
    <row r="427" spans="18:146" ht="12.75">
      <c r="R427" s="5"/>
      <c r="S427" s="5"/>
      <c r="T427" s="5"/>
      <c r="U427" s="5"/>
      <c r="AL427" s="5"/>
      <c r="AM427" s="5"/>
      <c r="AN427" s="5"/>
      <c r="AO427" s="5"/>
      <c r="AQ427" s="5"/>
      <c r="AR427" s="5"/>
      <c r="AS427" s="5"/>
      <c r="AT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</row>
    <row r="428" spans="18:146" ht="12.75">
      <c r="R428" s="5"/>
      <c r="S428" s="5"/>
      <c r="T428" s="5"/>
      <c r="U428" s="5"/>
      <c r="AL428" s="5"/>
      <c r="AM428" s="5"/>
      <c r="AN428" s="5"/>
      <c r="AO428" s="5"/>
      <c r="AQ428" s="5"/>
      <c r="AR428" s="5"/>
      <c r="AS428" s="5"/>
      <c r="AT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</row>
    <row r="429" spans="18:146" ht="12.75">
      <c r="R429" s="5"/>
      <c r="S429" s="5"/>
      <c r="T429" s="5"/>
      <c r="U429" s="5"/>
      <c r="AL429" s="5"/>
      <c r="AM429" s="5"/>
      <c r="AN429" s="5"/>
      <c r="AO429" s="5"/>
      <c r="AQ429" s="5"/>
      <c r="AR429" s="5"/>
      <c r="AS429" s="5"/>
      <c r="AT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</row>
    <row r="430" spans="18:146" ht="12.75">
      <c r="R430" s="5"/>
      <c r="S430" s="5"/>
      <c r="T430" s="5"/>
      <c r="U430" s="5"/>
      <c r="AL430" s="5"/>
      <c r="AM430" s="5"/>
      <c r="AN430" s="5"/>
      <c r="AO430" s="5"/>
      <c r="AQ430" s="5"/>
      <c r="AR430" s="5"/>
      <c r="AS430" s="5"/>
      <c r="AT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</row>
    <row r="431" spans="18:146" ht="12.75">
      <c r="R431" s="5"/>
      <c r="S431" s="5"/>
      <c r="T431" s="5"/>
      <c r="U431" s="5"/>
      <c r="AL431" s="5"/>
      <c r="AM431" s="5"/>
      <c r="AN431" s="5"/>
      <c r="AO431" s="5"/>
      <c r="AQ431" s="5"/>
      <c r="AR431" s="5"/>
      <c r="AS431" s="5"/>
      <c r="AT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</row>
    <row r="432" spans="18:146" ht="12.75">
      <c r="R432" s="5"/>
      <c r="S432" s="5"/>
      <c r="T432" s="5"/>
      <c r="U432" s="5"/>
      <c r="AL432" s="5"/>
      <c r="AM432" s="5"/>
      <c r="AN432" s="5"/>
      <c r="AO432" s="5"/>
      <c r="AQ432" s="5"/>
      <c r="AR432" s="5"/>
      <c r="AS432" s="5"/>
      <c r="AT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</row>
    <row r="433" spans="18:146" ht="12.75">
      <c r="R433" s="5"/>
      <c r="S433" s="5"/>
      <c r="T433" s="5"/>
      <c r="U433" s="5"/>
      <c r="AL433" s="5"/>
      <c r="AM433" s="5"/>
      <c r="AN433" s="5"/>
      <c r="AO433" s="5"/>
      <c r="AQ433" s="5"/>
      <c r="AR433" s="5"/>
      <c r="AS433" s="5"/>
      <c r="AT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</row>
    <row r="434" spans="18:146" ht="12.75">
      <c r="R434" s="5"/>
      <c r="S434" s="5"/>
      <c r="T434" s="5"/>
      <c r="U434" s="5"/>
      <c r="AL434" s="5"/>
      <c r="AM434" s="5"/>
      <c r="AN434" s="5"/>
      <c r="AO434" s="5"/>
      <c r="AQ434" s="5"/>
      <c r="AR434" s="5"/>
      <c r="AS434" s="5"/>
      <c r="AT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</row>
    <row r="435" spans="18:146" ht="12.75">
      <c r="R435" s="5"/>
      <c r="S435" s="5"/>
      <c r="T435" s="5"/>
      <c r="U435" s="5"/>
      <c r="AL435" s="5"/>
      <c r="AM435" s="5"/>
      <c r="AN435" s="5"/>
      <c r="AO435" s="5"/>
      <c r="AQ435" s="5"/>
      <c r="AR435" s="5"/>
      <c r="AS435" s="5"/>
      <c r="AT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</row>
    <row r="436" spans="18:146" ht="12.75">
      <c r="R436" s="5"/>
      <c r="S436" s="5"/>
      <c r="T436" s="5"/>
      <c r="U436" s="5"/>
      <c r="AL436" s="5"/>
      <c r="AM436" s="5"/>
      <c r="AN436" s="5"/>
      <c r="AO436" s="5"/>
      <c r="AQ436" s="5"/>
      <c r="AR436" s="5"/>
      <c r="AS436" s="5"/>
      <c r="AT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</row>
    <row r="437" spans="18:146" ht="12.75">
      <c r="R437" s="5"/>
      <c r="S437" s="5"/>
      <c r="T437" s="5"/>
      <c r="U437" s="5"/>
      <c r="AL437" s="5"/>
      <c r="AM437" s="5"/>
      <c r="AN437" s="5"/>
      <c r="AO437" s="5"/>
      <c r="AQ437" s="5"/>
      <c r="AR437" s="5"/>
      <c r="AS437" s="5"/>
      <c r="AT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</row>
    <row r="438" spans="18:146" ht="12.75">
      <c r="R438" s="5"/>
      <c r="S438" s="5"/>
      <c r="T438" s="5"/>
      <c r="U438" s="5"/>
      <c r="AL438" s="5"/>
      <c r="AM438" s="5"/>
      <c r="AN438" s="5"/>
      <c r="AO438" s="5"/>
      <c r="AQ438" s="5"/>
      <c r="AR438" s="5"/>
      <c r="AS438" s="5"/>
      <c r="AT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</row>
    <row r="439" spans="18:146" ht="12.75">
      <c r="R439" s="5"/>
      <c r="S439" s="5"/>
      <c r="T439" s="5"/>
      <c r="U439" s="5"/>
      <c r="AL439" s="5"/>
      <c r="AM439" s="5"/>
      <c r="AN439" s="5"/>
      <c r="AO439" s="5"/>
      <c r="AQ439" s="5"/>
      <c r="AR439" s="5"/>
      <c r="AS439" s="5"/>
      <c r="AT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</row>
    <row r="440" spans="18:146" ht="12.75">
      <c r="R440" s="5"/>
      <c r="S440" s="5"/>
      <c r="T440" s="5"/>
      <c r="U440" s="5"/>
      <c r="AL440" s="5"/>
      <c r="AM440" s="5"/>
      <c r="AN440" s="5"/>
      <c r="AO440" s="5"/>
      <c r="AQ440" s="5"/>
      <c r="AR440" s="5"/>
      <c r="AS440" s="5"/>
      <c r="AT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</row>
    <row r="441" spans="18:146" ht="12.75">
      <c r="R441" s="5"/>
      <c r="S441" s="5"/>
      <c r="T441" s="5"/>
      <c r="U441" s="5"/>
      <c r="AL441" s="5"/>
      <c r="AM441" s="5"/>
      <c r="AN441" s="5"/>
      <c r="AO441" s="5"/>
      <c r="AQ441" s="5"/>
      <c r="AR441" s="5"/>
      <c r="AS441" s="5"/>
      <c r="AT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</row>
    <row r="442" spans="18:146" ht="12.75">
      <c r="R442" s="5"/>
      <c r="S442" s="5"/>
      <c r="T442" s="5"/>
      <c r="U442" s="5"/>
      <c r="AL442" s="5"/>
      <c r="AM442" s="5"/>
      <c r="AN442" s="5"/>
      <c r="AO442" s="5"/>
      <c r="AQ442" s="5"/>
      <c r="AR442" s="5"/>
      <c r="AS442" s="5"/>
      <c r="AT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</row>
    <row r="443" spans="18:146" ht="12.75">
      <c r="R443" s="5"/>
      <c r="S443" s="5"/>
      <c r="T443" s="5"/>
      <c r="U443" s="5"/>
      <c r="AL443" s="5"/>
      <c r="AM443" s="5"/>
      <c r="AN443" s="5"/>
      <c r="AO443" s="5"/>
      <c r="AQ443" s="5"/>
      <c r="AR443" s="5"/>
      <c r="AS443" s="5"/>
      <c r="AT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</row>
    <row r="444" spans="18:146" ht="12.75">
      <c r="R444" s="5"/>
      <c r="S444" s="5"/>
      <c r="T444" s="5"/>
      <c r="U444" s="5"/>
      <c r="AL444" s="5"/>
      <c r="AM444" s="5"/>
      <c r="AN444" s="5"/>
      <c r="AO444" s="5"/>
      <c r="AQ444" s="5"/>
      <c r="AR444" s="5"/>
      <c r="AS444" s="5"/>
      <c r="AT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</row>
    <row r="445" spans="18:146" ht="12.75">
      <c r="R445" s="5"/>
      <c r="S445" s="5"/>
      <c r="T445" s="5"/>
      <c r="U445" s="5"/>
      <c r="AL445" s="5"/>
      <c r="AM445" s="5"/>
      <c r="AN445" s="5"/>
      <c r="AO445" s="5"/>
      <c r="AQ445" s="5"/>
      <c r="AR445" s="5"/>
      <c r="AS445" s="5"/>
      <c r="AT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</row>
    <row r="446" spans="18:146" ht="12.75">
      <c r="R446" s="5"/>
      <c r="S446" s="5"/>
      <c r="T446" s="5"/>
      <c r="U446" s="5"/>
      <c r="AL446" s="5"/>
      <c r="AM446" s="5"/>
      <c r="AN446" s="5"/>
      <c r="AO446" s="5"/>
      <c r="AQ446" s="5"/>
      <c r="AR446" s="5"/>
      <c r="AS446" s="5"/>
      <c r="AT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</row>
    <row r="447" spans="18:146" ht="12.75">
      <c r="R447" s="5"/>
      <c r="S447" s="5"/>
      <c r="T447" s="5"/>
      <c r="U447" s="5"/>
      <c r="AL447" s="5"/>
      <c r="AM447" s="5"/>
      <c r="AN447" s="5"/>
      <c r="AO447" s="5"/>
      <c r="AQ447" s="5"/>
      <c r="AR447" s="5"/>
      <c r="AS447" s="5"/>
      <c r="AT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</row>
    <row r="448" spans="18:146" ht="12.75">
      <c r="R448" s="5"/>
      <c r="S448" s="5"/>
      <c r="T448" s="5"/>
      <c r="U448" s="5"/>
      <c r="AL448" s="5"/>
      <c r="AM448" s="5"/>
      <c r="AN448" s="5"/>
      <c r="AO448" s="5"/>
      <c r="AQ448" s="5"/>
      <c r="AR448" s="5"/>
      <c r="AS448" s="5"/>
      <c r="AT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</row>
    <row r="449" spans="18:146" ht="12.75">
      <c r="R449" s="5"/>
      <c r="S449" s="5"/>
      <c r="T449" s="5"/>
      <c r="U449" s="5"/>
      <c r="AL449" s="5"/>
      <c r="AM449" s="5"/>
      <c r="AN449" s="5"/>
      <c r="AO449" s="5"/>
      <c r="AQ449" s="5"/>
      <c r="AR449" s="5"/>
      <c r="AS449" s="5"/>
      <c r="AT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</row>
    <row r="450" spans="18:146" ht="12.75">
      <c r="R450" s="5"/>
      <c r="S450" s="5"/>
      <c r="T450" s="5"/>
      <c r="U450" s="5"/>
      <c r="AL450" s="5"/>
      <c r="AM450" s="5"/>
      <c r="AN450" s="5"/>
      <c r="AO450" s="5"/>
      <c r="AQ450" s="5"/>
      <c r="AR450" s="5"/>
      <c r="AS450" s="5"/>
      <c r="AT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</row>
    <row r="451" spans="18:146" ht="12.75">
      <c r="R451" s="5"/>
      <c r="S451" s="5"/>
      <c r="T451" s="5"/>
      <c r="U451" s="5"/>
      <c r="AL451" s="5"/>
      <c r="AM451" s="5"/>
      <c r="AN451" s="5"/>
      <c r="AO451" s="5"/>
      <c r="AQ451" s="5"/>
      <c r="AR451" s="5"/>
      <c r="AS451" s="5"/>
      <c r="AT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</row>
    <row r="452" spans="18:146" ht="12.75">
      <c r="R452" s="5"/>
      <c r="S452" s="5"/>
      <c r="T452" s="5"/>
      <c r="U452" s="5"/>
      <c r="AL452" s="5"/>
      <c r="AM452" s="5"/>
      <c r="AN452" s="5"/>
      <c r="AO452" s="5"/>
      <c r="AQ452" s="5"/>
      <c r="AR452" s="5"/>
      <c r="AS452" s="5"/>
      <c r="AT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</row>
    <row r="453" spans="18:146" ht="12.75">
      <c r="R453" s="5"/>
      <c r="S453" s="5"/>
      <c r="T453" s="5"/>
      <c r="U453" s="5"/>
      <c r="AL453" s="5"/>
      <c r="AM453" s="5"/>
      <c r="AN453" s="5"/>
      <c r="AO453" s="5"/>
      <c r="AQ453" s="5"/>
      <c r="AR453" s="5"/>
      <c r="AS453" s="5"/>
      <c r="AT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</row>
    <row r="454" spans="18:146" ht="12.75">
      <c r="R454" s="5"/>
      <c r="S454" s="5"/>
      <c r="T454" s="5"/>
      <c r="U454" s="5"/>
      <c r="AL454" s="5"/>
      <c r="AM454" s="5"/>
      <c r="AN454" s="5"/>
      <c r="AO454" s="5"/>
      <c r="AQ454" s="5"/>
      <c r="AR454" s="5"/>
      <c r="AS454" s="5"/>
      <c r="AT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</row>
    <row r="455" spans="18:146" ht="12.75">
      <c r="R455" s="5"/>
      <c r="S455" s="5"/>
      <c r="T455" s="5"/>
      <c r="U455" s="5"/>
      <c r="AL455" s="5"/>
      <c r="AM455" s="5"/>
      <c r="AN455" s="5"/>
      <c r="AO455" s="5"/>
      <c r="AQ455" s="5"/>
      <c r="AR455" s="5"/>
      <c r="AS455" s="5"/>
      <c r="AT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</row>
    <row r="456" spans="18:146" ht="12.75">
      <c r="R456" s="5"/>
      <c r="S456" s="5"/>
      <c r="T456" s="5"/>
      <c r="U456" s="5"/>
      <c r="AL456" s="5"/>
      <c r="AM456" s="5"/>
      <c r="AN456" s="5"/>
      <c r="AO456" s="5"/>
      <c r="AQ456" s="5"/>
      <c r="AR456" s="5"/>
      <c r="AS456" s="5"/>
      <c r="AT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</row>
    <row r="457" spans="18:146" ht="12.75">
      <c r="R457" s="5"/>
      <c r="S457" s="5"/>
      <c r="T457" s="5"/>
      <c r="U457" s="5"/>
      <c r="AL457" s="5"/>
      <c r="AM457" s="5"/>
      <c r="AN457" s="5"/>
      <c r="AO457" s="5"/>
      <c r="AQ457" s="5"/>
      <c r="AR457" s="5"/>
      <c r="AS457" s="5"/>
      <c r="AT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</row>
    <row r="458" spans="18:146" ht="12.75">
      <c r="R458" s="5"/>
      <c r="S458" s="5"/>
      <c r="T458" s="5"/>
      <c r="U458" s="5"/>
      <c r="AL458" s="5"/>
      <c r="AM458" s="5"/>
      <c r="AN458" s="5"/>
      <c r="AO458" s="5"/>
      <c r="AQ458" s="5"/>
      <c r="AR458" s="5"/>
      <c r="AS458" s="5"/>
      <c r="AT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</row>
    <row r="459" spans="18:146" ht="12.75">
      <c r="R459" s="5"/>
      <c r="S459" s="5"/>
      <c r="T459" s="5"/>
      <c r="U459" s="5"/>
      <c r="AL459" s="5"/>
      <c r="AM459" s="5"/>
      <c r="AN459" s="5"/>
      <c r="AO459" s="5"/>
      <c r="AQ459" s="5"/>
      <c r="AR459" s="5"/>
      <c r="AS459" s="5"/>
      <c r="AT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</row>
    <row r="460" spans="18:146" ht="12.75">
      <c r="R460" s="5"/>
      <c r="S460" s="5"/>
      <c r="T460" s="5"/>
      <c r="U460" s="5"/>
      <c r="AL460" s="5"/>
      <c r="AM460" s="5"/>
      <c r="AN460" s="5"/>
      <c r="AO460" s="5"/>
      <c r="AQ460" s="5"/>
      <c r="AR460" s="5"/>
      <c r="AS460" s="5"/>
      <c r="AT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</row>
    <row r="461" spans="18:146" ht="12.75">
      <c r="R461" s="5"/>
      <c r="S461" s="5"/>
      <c r="T461" s="5"/>
      <c r="U461" s="5"/>
      <c r="AL461" s="5"/>
      <c r="AM461" s="5"/>
      <c r="AN461" s="5"/>
      <c r="AO461" s="5"/>
      <c r="AQ461" s="5"/>
      <c r="AR461" s="5"/>
      <c r="AS461" s="5"/>
      <c r="AT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</row>
    <row r="462" spans="18:146" ht="12.75">
      <c r="R462" s="5"/>
      <c r="S462" s="5"/>
      <c r="T462" s="5"/>
      <c r="U462" s="5"/>
      <c r="AL462" s="5"/>
      <c r="AM462" s="5"/>
      <c r="AN462" s="5"/>
      <c r="AO462" s="5"/>
      <c r="AQ462" s="5"/>
      <c r="AR462" s="5"/>
      <c r="AS462" s="5"/>
      <c r="AT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</row>
    <row r="463" spans="18:146" ht="12.75">
      <c r="R463" s="5"/>
      <c r="S463" s="5"/>
      <c r="T463" s="5"/>
      <c r="U463" s="5"/>
      <c r="AL463" s="5"/>
      <c r="AM463" s="5"/>
      <c r="AN463" s="5"/>
      <c r="AO463" s="5"/>
      <c r="AQ463" s="5"/>
      <c r="AR463" s="5"/>
      <c r="AS463" s="5"/>
      <c r="AT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</row>
    <row r="464" spans="18:146" ht="12.75">
      <c r="R464" s="5"/>
      <c r="S464" s="5"/>
      <c r="T464" s="5"/>
      <c r="U464" s="5"/>
      <c r="AL464" s="5"/>
      <c r="AM464" s="5"/>
      <c r="AN464" s="5"/>
      <c r="AO464" s="5"/>
      <c r="AQ464" s="5"/>
      <c r="AR464" s="5"/>
      <c r="AS464" s="5"/>
      <c r="AT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</row>
    <row r="465" spans="18:146" ht="12.75">
      <c r="R465" s="5"/>
      <c r="S465" s="5"/>
      <c r="T465" s="5"/>
      <c r="U465" s="5"/>
      <c r="AL465" s="5"/>
      <c r="AM465" s="5"/>
      <c r="AN465" s="5"/>
      <c r="AO465" s="5"/>
      <c r="AQ465" s="5"/>
      <c r="AR465" s="5"/>
      <c r="AS465" s="5"/>
      <c r="AT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</row>
    <row r="466" spans="18:146" ht="12.75">
      <c r="R466" s="5"/>
      <c r="S466" s="5"/>
      <c r="T466" s="5"/>
      <c r="U466" s="5"/>
      <c r="AL466" s="5"/>
      <c r="AM466" s="5"/>
      <c r="AN466" s="5"/>
      <c r="AO466" s="5"/>
      <c r="AQ466" s="5"/>
      <c r="AR466" s="5"/>
      <c r="AS466" s="5"/>
      <c r="AT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</row>
    <row r="467" spans="18:146" ht="12.75">
      <c r="R467" s="5"/>
      <c r="S467" s="5"/>
      <c r="T467" s="5"/>
      <c r="U467" s="5"/>
      <c r="AL467" s="5"/>
      <c r="AM467" s="5"/>
      <c r="AN467" s="5"/>
      <c r="AO467" s="5"/>
      <c r="AQ467" s="5"/>
      <c r="AR467" s="5"/>
      <c r="AS467" s="5"/>
      <c r="AT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</row>
    <row r="468" spans="18:146" ht="12.75">
      <c r="R468" s="5"/>
      <c r="S468" s="5"/>
      <c r="T468" s="5"/>
      <c r="U468" s="5"/>
      <c r="AL468" s="5"/>
      <c r="AM468" s="5"/>
      <c r="AN468" s="5"/>
      <c r="AO468" s="5"/>
      <c r="AQ468" s="5"/>
      <c r="AR468" s="5"/>
      <c r="AS468" s="5"/>
      <c r="AT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</row>
    <row r="469" spans="18:146" ht="12.75">
      <c r="R469" s="5"/>
      <c r="S469" s="5"/>
      <c r="T469" s="5"/>
      <c r="U469" s="5"/>
      <c r="AL469" s="5"/>
      <c r="AM469" s="5"/>
      <c r="AN469" s="5"/>
      <c r="AO469" s="5"/>
      <c r="AQ469" s="5"/>
      <c r="AR469" s="5"/>
      <c r="AS469" s="5"/>
      <c r="AT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</row>
    <row r="470" spans="18:146" ht="12.75">
      <c r="R470" s="5"/>
      <c r="S470" s="5"/>
      <c r="T470" s="5"/>
      <c r="U470" s="5"/>
      <c r="AL470" s="5"/>
      <c r="AM470" s="5"/>
      <c r="AN470" s="5"/>
      <c r="AO470" s="5"/>
      <c r="AQ470" s="5"/>
      <c r="AR470" s="5"/>
      <c r="AS470" s="5"/>
      <c r="AT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</row>
    <row r="471" spans="18:146" ht="12.75">
      <c r="R471" s="5"/>
      <c r="S471" s="5"/>
      <c r="T471" s="5"/>
      <c r="U471" s="5"/>
      <c r="AL471" s="5"/>
      <c r="AM471" s="5"/>
      <c r="AN471" s="5"/>
      <c r="AO471" s="5"/>
      <c r="AQ471" s="5"/>
      <c r="AR471" s="5"/>
      <c r="AS471" s="5"/>
      <c r="AT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</row>
    <row r="472" spans="18:146" ht="12.75">
      <c r="R472" s="5"/>
      <c r="S472" s="5"/>
      <c r="T472" s="5"/>
      <c r="U472" s="5"/>
      <c r="AL472" s="5"/>
      <c r="AM472" s="5"/>
      <c r="AN472" s="5"/>
      <c r="AO472" s="5"/>
      <c r="AQ472" s="5"/>
      <c r="AR472" s="5"/>
      <c r="AS472" s="5"/>
      <c r="AT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</row>
    <row r="473" spans="18:146" ht="12.75">
      <c r="R473" s="5"/>
      <c r="S473" s="5"/>
      <c r="T473" s="5"/>
      <c r="U473" s="5"/>
      <c r="AL473" s="5"/>
      <c r="AM473" s="5"/>
      <c r="AN473" s="5"/>
      <c r="AO473" s="5"/>
      <c r="AQ473" s="5"/>
      <c r="AR473" s="5"/>
      <c r="AS473" s="5"/>
      <c r="AT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</row>
    <row r="474" spans="18:146" ht="12.75">
      <c r="R474" s="5"/>
      <c r="S474" s="5"/>
      <c r="T474" s="5"/>
      <c r="U474" s="5"/>
      <c r="AL474" s="5"/>
      <c r="AM474" s="5"/>
      <c r="AN474" s="5"/>
      <c r="AO474" s="5"/>
      <c r="AQ474" s="5"/>
      <c r="AR474" s="5"/>
      <c r="AS474" s="5"/>
      <c r="AT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</row>
    <row r="475" spans="18:146" ht="12.75">
      <c r="R475" s="5"/>
      <c r="S475" s="5"/>
      <c r="T475" s="5"/>
      <c r="U475" s="5"/>
      <c r="AL475" s="5"/>
      <c r="AM475" s="5"/>
      <c r="AN475" s="5"/>
      <c r="AO475" s="5"/>
      <c r="AQ475" s="5"/>
      <c r="AR475" s="5"/>
      <c r="AS475" s="5"/>
      <c r="AT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</row>
    <row r="476" spans="18:146" ht="12.75">
      <c r="R476" s="5"/>
      <c r="S476" s="5"/>
      <c r="T476" s="5"/>
      <c r="U476" s="5"/>
      <c r="AL476" s="5"/>
      <c r="AM476" s="5"/>
      <c r="AN476" s="5"/>
      <c r="AO476" s="5"/>
      <c r="AQ476" s="5"/>
      <c r="AR476" s="5"/>
      <c r="AS476" s="5"/>
      <c r="AT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</row>
    <row r="477" spans="18:146" ht="12.75">
      <c r="R477" s="5"/>
      <c r="S477" s="5"/>
      <c r="T477" s="5"/>
      <c r="U477" s="5"/>
      <c r="AL477" s="5"/>
      <c r="AM477" s="5"/>
      <c r="AN477" s="5"/>
      <c r="AO477" s="5"/>
      <c r="AQ477" s="5"/>
      <c r="AR477" s="5"/>
      <c r="AS477" s="5"/>
      <c r="AT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</row>
    <row r="478" spans="18:146" ht="12.75">
      <c r="R478" s="5"/>
      <c r="S478" s="5"/>
      <c r="T478" s="5"/>
      <c r="U478" s="5"/>
      <c r="AL478" s="5"/>
      <c r="AM478" s="5"/>
      <c r="AN478" s="5"/>
      <c r="AO478" s="5"/>
      <c r="AQ478" s="5"/>
      <c r="AR478" s="5"/>
      <c r="AS478" s="5"/>
      <c r="AT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</row>
    <row r="479" spans="18:146" ht="12.75">
      <c r="R479" s="5"/>
      <c r="S479" s="5"/>
      <c r="T479" s="5"/>
      <c r="U479" s="5"/>
      <c r="AL479" s="5"/>
      <c r="AM479" s="5"/>
      <c r="AN479" s="5"/>
      <c r="AO479" s="5"/>
      <c r="AQ479" s="5"/>
      <c r="AR479" s="5"/>
      <c r="AS479" s="5"/>
      <c r="AT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</row>
    <row r="480" spans="18:146" ht="12.75">
      <c r="R480" s="5"/>
      <c r="S480" s="5"/>
      <c r="T480" s="5"/>
      <c r="U480" s="5"/>
      <c r="AL480" s="5"/>
      <c r="AM480" s="5"/>
      <c r="AN480" s="5"/>
      <c r="AO480" s="5"/>
      <c r="AQ480" s="5"/>
      <c r="AR480" s="5"/>
      <c r="AS480" s="5"/>
      <c r="AT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</row>
    <row r="481" spans="18:146" ht="12.75">
      <c r="R481" s="5"/>
      <c r="S481" s="5"/>
      <c r="T481" s="5"/>
      <c r="U481" s="5"/>
      <c r="AL481" s="5"/>
      <c r="AM481" s="5"/>
      <c r="AN481" s="5"/>
      <c r="AO481" s="5"/>
      <c r="AQ481" s="5"/>
      <c r="AR481" s="5"/>
      <c r="AS481" s="5"/>
      <c r="AT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</row>
    <row r="482" spans="18:146" ht="12.75">
      <c r="R482" s="5"/>
      <c r="S482" s="5"/>
      <c r="T482" s="5"/>
      <c r="U482" s="5"/>
      <c r="AL482" s="5"/>
      <c r="AM482" s="5"/>
      <c r="AN482" s="5"/>
      <c r="AO482" s="5"/>
      <c r="AQ482" s="5"/>
      <c r="AR482" s="5"/>
      <c r="AS482" s="5"/>
      <c r="AT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</row>
    <row r="483" spans="18:146" ht="12.75">
      <c r="R483" s="5"/>
      <c r="S483" s="5"/>
      <c r="T483" s="5"/>
      <c r="U483" s="5"/>
      <c r="AL483" s="5"/>
      <c r="AM483" s="5"/>
      <c r="AN483" s="5"/>
      <c r="AO483" s="5"/>
      <c r="AQ483" s="5"/>
      <c r="AR483" s="5"/>
      <c r="AS483" s="5"/>
      <c r="AT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</row>
    <row r="484" spans="18:146" ht="12.75">
      <c r="R484" s="5"/>
      <c r="S484" s="5"/>
      <c r="T484" s="5"/>
      <c r="U484" s="5"/>
      <c r="AL484" s="5"/>
      <c r="AM484" s="5"/>
      <c r="AN484" s="5"/>
      <c r="AO484" s="5"/>
      <c r="AQ484" s="5"/>
      <c r="AR484" s="5"/>
      <c r="AS484" s="5"/>
      <c r="AT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</row>
    <row r="485" spans="18:146" ht="12.75">
      <c r="R485" s="5"/>
      <c r="S485" s="5"/>
      <c r="T485" s="5"/>
      <c r="U485" s="5"/>
      <c r="AL485" s="5"/>
      <c r="AM485" s="5"/>
      <c r="AN485" s="5"/>
      <c r="AO485" s="5"/>
      <c r="AQ485" s="5"/>
      <c r="AR485" s="5"/>
      <c r="AS485" s="5"/>
      <c r="AT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</row>
    <row r="486" spans="18:146" ht="12.75">
      <c r="R486" s="5"/>
      <c r="S486" s="5"/>
      <c r="T486" s="5"/>
      <c r="U486" s="5"/>
      <c r="AL486" s="5"/>
      <c r="AM486" s="5"/>
      <c r="AN486" s="5"/>
      <c r="AO486" s="5"/>
      <c r="AQ486" s="5"/>
      <c r="AR486" s="5"/>
      <c r="AS486" s="5"/>
      <c r="AT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</row>
    <row r="487" spans="18:146" ht="12.75">
      <c r="R487" s="5"/>
      <c r="S487" s="5"/>
      <c r="T487" s="5"/>
      <c r="U487" s="5"/>
      <c r="AL487" s="5"/>
      <c r="AM487" s="5"/>
      <c r="AN487" s="5"/>
      <c r="AO487" s="5"/>
      <c r="AQ487" s="5"/>
      <c r="AR487" s="5"/>
      <c r="AS487" s="5"/>
      <c r="AT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</row>
    <row r="488" spans="18:146" ht="12.75">
      <c r="R488" s="5"/>
      <c r="S488" s="5"/>
      <c r="T488" s="5"/>
      <c r="U488" s="5"/>
      <c r="AL488" s="5"/>
      <c r="AM488" s="5"/>
      <c r="AN488" s="5"/>
      <c r="AO488" s="5"/>
      <c r="AQ488" s="5"/>
      <c r="AR488" s="5"/>
      <c r="AS488" s="5"/>
      <c r="AT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</row>
    <row r="489" spans="18:146" ht="12.75">
      <c r="R489" s="5"/>
      <c r="S489" s="5"/>
      <c r="T489" s="5"/>
      <c r="U489" s="5"/>
      <c r="AL489" s="5"/>
      <c r="AM489" s="5"/>
      <c r="AN489" s="5"/>
      <c r="AO489" s="5"/>
      <c r="AQ489" s="5"/>
      <c r="AR489" s="5"/>
      <c r="AS489" s="5"/>
      <c r="AT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</row>
    <row r="490" spans="18:146" ht="12.75">
      <c r="R490" s="5"/>
      <c r="S490" s="5"/>
      <c r="T490" s="5"/>
      <c r="U490" s="5"/>
      <c r="AL490" s="5"/>
      <c r="AM490" s="5"/>
      <c r="AN490" s="5"/>
      <c r="AO490" s="5"/>
      <c r="AQ490" s="5"/>
      <c r="AR490" s="5"/>
      <c r="AS490" s="5"/>
      <c r="AT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</row>
    <row r="491" spans="18:146" ht="12.75">
      <c r="R491" s="5"/>
      <c r="S491" s="5"/>
      <c r="T491" s="5"/>
      <c r="U491" s="5"/>
      <c r="AL491" s="5"/>
      <c r="AM491" s="5"/>
      <c r="AN491" s="5"/>
      <c r="AO491" s="5"/>
      <c r="AQ491" s="5"/>
      <c r="AR491" s="5"/>
      <c r="AS491" s="5"/>
      <c r="AT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</row>
    <row r="492" spans="18:146" ht="12.75">
      <c r="R492" s="5"/>
      <c r="S492" s="5"/>
      <c r="T492" s="5"/>
      <c r="U492" s="5"/>
      <c r="AL492" s="5"/>
      <c r="AM492" s="5"/>
      <c r="AN492" s="5"/>
      <c r="AO492" s="5"/>
      <c r="AQ492" s="5"/>
      <c r="AR492" s="5"/>
      <c r="AS492" s="5"/>
      <c r="AT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</row>
    <row r="493" spans="18:146" ht="12.75">
      <c r="R493" s="5"/>
      <c r="S493" s="5"/>
      <c r="T493" s="5"/>
      <c r="U493" s="5"/>
      <c r="AL493" s="5"/>
      <c r="AM493" s="5"/>
      <c r="AN493" s="5"/>
      <c r="AO493" s="5"/>
      <c r="AQ493" s="5"/>
      <c r="AR493" s="5"/>
      <c r="AS493" s="5"/>
      <c r="AT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</row>
    <row r="494" spans="18:146" ht="12.75">
      <c r="R494" s="5"/>
      <c r="S494" s="5"/>
      <c r="T494" s="5"/>
      <c r="U494" s="5"/>
      <c r="AL494" s="5"/>
      <c r="AM494" s="5"/>
      <c r="AN494" s="5"/>
      <c r="AO494" s="5"/>
      <c r="AQ494" s="5"/>
      <c r="AR494" s="5"/>
      <c r="AS494" s="5"/>
      <c r="AT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</row>
    <row r="495" spans="18:146" ht="12.75">
      <c r="R495" s="5"/>
      <c r="S495" s="5"/>
      <c r="T495" s="5"/>
      <c r="U495" s="5"/>
      <c r="AL495" s="5"/>
      <c r="AM495" s="5"/>
      <c r="AN495" s="5"/>
      <c r="AO495" s="5"/>
      <c r="AQ495" s="5"/>
      <c r="AR495" s="5"/>
      <c r="AS495" s="5"/>
      <c r="AT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</row>
    <row r="496" spans="18:146" ht="12.75">
      <c r="R496" s="5"/>
      <c r="S496" s="5"/>
      <c r="T496" s="5"/>
      <c r="U496" s="5"/>
      <c r="AL496" s="5"/>
      <c r="AM496" s="5"/>
      <c r="AN496" s="5"/>
      <c r="AO496" s="5"/>
      <c r="AQ496" s="5"/>
      <c r="AR496" s="5"/>
      <c r="AS496" s="5"/>
      <c r="AT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</row>
    <row r="497" spans="18:146" ht="12.75">
      <c r="R497" s="5"/>
      <c r="S497" s="5"/>
      <c r="T497" s="5"/>
      <c r="U497" s="5"/>
      <c r="AL497" s="5"/>
      <c r="AM497" s="5"/>
      <c r="AN497" s="5"/>
      <c r="AO497" s="5"/>
      <c r="AQ497" s="5"/>
      <c r="AR497" s="5"/>
      <c r="AS497" s="5"/>
      <c r="AT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</row>
    <row r="498" spans="18:146" ht="12.75">
      <c r="R498" s="5"/>
      <c r="S498" s="5"/>
      <c r="T498" s="5"/>
      <c r="U498" s="5"/>
      <c r="AL498" s="5"/>
      <c r="AM498" s="5"/>
      <c r="AN498" s="5"/>
      <c r="AO498" s="5"/>
      <c r="AQ498" s="5"/>
      <c r="AR498" s="5"/>
      <c r="AS498" s="5"/>
      <c r="AT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</row>
    <row r="499" spans="18:146" ht="12.75">
      <c r="R499" s="5"/>
      <c r="S499" s="5"/>
      <c r="T499" s="5"/>
      <c r="U499" s="5"/>
      <c r="AL499" s="5"/>
      <c r="AM499" s="5"/>
      <c r="AN499" s="5"/>
      <c r="AO499" s="5"/>
      <c r="AQ499" s="5"/>
      <c r="AR499" s="5"/>
      <c r="AS499" s="5"/>
      <c r="AT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</row>
    <row r="500" spans="18:146" ht="12.75">
      <c r="R500" s="5"/>
      <c r="S500" s="5"/>
      <c r="T500" s="5"/>
      <c r="U500" s="5"/>
      <c r="AL500" s="5"/>
      <c r="AM500" s="5"/>
      <c r="AN500" s="5"/>
      <c r="AO500" s="5"/>
      <c r="AQ500" s="5"/>
      <c r="AR500" s="5"/>
      <c r="AS500" s="5"/>
      <c r="AT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</row>
    <row r="501" spans="18:146" ht="12.75">
      <c r="R501" s="5"/>
      <c r="S501" s="5"/>
      <c r="T501" s="5"/>
      <c r="U501" s="5"/>
      <c r="AL501" s="5"/>
      <c r="AM501" s="5"/>
      <c r="AN501" s="5"/>
      <c r="AO501" s="5"/>
      <c r="AQ501" s="5"/>
      <c r="AR501" s="5"/>
      <c r="AS501" s="5"/>
      <c r="AT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</row>
    <row r="502" spans="18:146" ht="12.75">
      <c r="R502" s="5"/>
      <c r="S502" s="5"/>
      <c r="T502" s="5"/>
      <c r="U502" s="5"/>
      <c r="AL502" s="5"/>
      <c r="AM502" s="5"/>
      <c r="AN502" s="5"/>
      <c r="AO502" s="5"/>
      <c r="AQ502" s="5"/>
      <c r="AR502" s="5"/>
      <c r="AS502" s="5"/>
      <c r="AT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</row>
    <row r="503" spans="18:146" ht="12.75">
      <c r="R503" s="5"/>
      <c r="S503" s="5"/>
      <c r="T503" s="5"/>
      <c r="U503" s="5"/>
      <c r="AL503" s="5"/>
      <c r="AM503" s="5"/>
      <c r="AN503" s="5"/>
      <c r="AO503" s="5"/>
      <c r="AQ503" s="5"/>
      <c r="AR503" s="5"/>
      <c r="AS503" s="5"/>
      <c r="AT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</row>
    <row r="504" spans="18:146" ht="12.75">
      <c r="R504" s="5"/>
      <c r="S504" s="5"/>
      <c r="T504" s="5"/>
      <c r="U504" s="5"/>
      <c r="AL504" s="5"/>
      <c r="AM504" s="5"/>
      <c r="AN504" s="5"/>
      <c r="AO504" s="5"/>
      <c r="AQ504" s="5"/>
      <c r="AR504" s="5"/>
      <c r="AS504" s="5"/>
      <c r="AT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</row>
    <row r="505" spans="18:146" ht="12.75">
      <c r="R505" s="5"/>
      <c r="S505" s="5"/>
      <c r="T505" s="5"/>
      <c r="U505" s="5"/>
      <c r="AL505" s="5"/>
      <c r="AM505" s="5"/>
      <c r="AN505" s="5"/>
      <c r="AO505" s="5"/>
      <c r="AQ505" s="5"/>
      <c r="AR505" s="5"/>
      <c r="AS505" s="5"/>
      <c r="AT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</row>
    <row r="506" spans="18:146" ht="12.75">
      <c r="R506" s="5"/>
      <c r="S506" s="5"/>
      <c r="T506" s="5"/>
      <c r="U506" s="5"/>
      <c r="AL506" s="5"/>
      <c r="AM506" s="5"/>
      <c r="AN506" s="5"/>
      <c r="AO506" s="5"/>
      <c r="AQ506" s="5"/>
      <c r="AR506" s="5"/>
      <c r="AS506" s="5"/>
      <c r="AT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</row>
    <row r="507" spans="18:146" ht="12.75">
      <c r="R507" s="5"/>
      <c r="S507" s="5"/>
      <c r="T507" s="5"/>
      <c r="U507" s="5"/>
      <c r="AL507" s="5"/>
      <c r="AM507" s="5"/>
      <c r="AN507" s="5"/>
      <c r="AO507" s="5"/>
      <c r="AQ507" s="5"/>
      <c r="AR507" s="5"/>
      <c r="AS507" s="5"/>
      <c r="AT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</row>
    <row r="508" spans="18:146" ht="12.75">
      <c r="R508" s="5"/>
      <c r="S508" s="5"/>
      <c r="T508" s="5"/>
      <c r="U508" s="5"/>
      <c r="AL508" s="5"/>
      <c r="AM508" s="5"/>
      <c r="AN508" s="5"/>
      <c r="AO508" s="5"/>
      <c r="AQ508" s="5"/>
      <c r="AR508" s="5"/>
      <c r="AS508" s="5"/>
      <c r="AT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</row>
    <row r="509" spans="18:146" ht="12.75">
      <c r="R509" s="5"/>
      <c r="S509" s="5"/>
      <c r="T509" s="5"/>
      <c r="U509" s="5"/>
      <c r="AL509" s="5"/>
      <c r="AM509" s="5"/>
      <c r="AN509" s="5"/>
      <c r="AO509" s="5"/>
      <c r="AQ509" s="5"/>
      <c r="AR509" s="5"/>
      <c r="AS509" s="5"/>
      <c r="AT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</row>
    <row r="510" spans="18:146" ht="12.75">
      <c r="R510" s="5"/>
      <c r="S510" s="5"/>
      <c r="T510" s="5"/>
      <c r="U510" s="5"/>
      <c r="AL510" s="5"/>
      <c r="AM510" s="5"/>
      <c r="AN510" s="5"/>
      <c r="AO510" s="5"/>
      <c r="AQ510" s="5"/>
      <c r="AR510" s="5"/>
      <c r="AS510" s="5"/>
      <c r="AT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</row>
    <row r="511" spans="18:146" ht="12.75">
      <c r="R511" s="5"/>
      <c r="S511" s="5"/>
      <c r="T511" s="5"/>
      <c r="U511" s="5"/>
      <c r="AL511" s="5"/>
      <c r="AM511" s="5"/>
      <c r="AN511" s="5"/>
      <c r="AO511" s="5"/>
      <c r="AQ511" s="5"/>
      <c r="AR511" s="5"/>
      <c r="AS511" s="5"/>
      <c r="AT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</row>
    <row r="512" spans="18:146" ht="12.75">
      <c r="R512" s="5"/>
      <c r="S512" s="5"/>
      <c r="T512" s="5"/>
      <c r="U512" s="5"/>
      <c r="AL512" s="5"/>
      <c r="AM512" s="5"/>
      <c r="AN512" s="5"/>
      <c r="AO512" s="5"/>
      <c r="AQ512" s="5"/>
      <c r="AR512" s="5"/>
      <c r="AS512" s="5"/>
      <c r="AT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</row>
    <row r="513" spans="18:146" ht="12.75">
      <c r="R513" s="5"/>
      <c r="S513" s="5"/>
      <c r="T513" s="5"/>
      <c r="U513" s="5"/>
      <c r="AL513" s="5"/>
      <c r="AM513" s="5"/>
      <c r="AN513" s="5"/>
      <c r="AO513" s="5"/>
      <c r="AQ513" s="5"/>
      <c r="AR513" s="5"/>
      <c r="AS513" s="5"/>
      <c r="AT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</row>
    <row r="514" spans="18:146" ht="12.75">
      <c r="R514" s="5"/>
      <c r="S514" s="5"/>
      <c r="T514" s="5"/>
      <c r="U514" s="5"/>
      <c r="AL514" s="5"/>
      <c r="AM514" s="5"/>
      <c r="AN514" s="5"/>
      <c r="AO514" s="5"/>
      <c r="AQ514" s="5"/>
      <c r="AR514" s="5"/>
      <c r="AS514" s="5"/>
      <c r="AT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</row>
    <row r="515" spans="18:146" ht="12.75">
      <c r="R515" s="5"/>
      <c r="S515" s="5"/>
      <c r="T515" s="5"/>
      <c r="U515" s="5"/>
      <c r="AL515" s="5"/>
      <c r="AM515" s="5"/>
      <c r="AN515" s="5"/>
      <c r="AO515" s="5"/>
      <c r="AQ515" s="5"/>
      <c r="AR515" s="5"/>
      <c r="AS515" s="5"/>
      <c r="AT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</row>
    <row r="516" spans="18:146" ht="12.75">
      <c r="R516" s="5"/>
      <c r="S516" s="5"/>
      <c r="T516" s="5"/>
      <c r="U516" s="5"/>
      <c r="AL516" s="5"/>
      <c r="AM516" s="5"/>
      <c r="AN516" s="5"/>
      <c r="AO516" s="5"/>
      <c r="AQ516" s="5"/>
      <c r="AR516" s="5"/>
      <c r="AS516" s="5"/>
      <c r="AT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</row>
    <row r="517" spans="18:146" ht="12.75">
      <c r="R517" s="5"/>
      <c r="S517" s="5"/>
      <c r="T517" s="5"/>
      <c r="U517" s="5"/>
      <c r="AL517" s="5"/>
      <c r="AM517" s="5"/>
      <c r="AN517" s="5"/>
      <c r="AO517" s="5"/>
      <c r="AQ517" s="5"/>
      <c r="AR517" s="5"/>
      <c r="AS517" s="5"/>
      <c r="AT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</row>
    <row r="518" spans="18:146" ht="12.75">
      <c r="R518" s="5"/>
      <c r="S518" s="5"/>
      <c r="T518" s="5"/>
      <c r="U518" s="5"/>
      <c r="AL518" s="5"/>
      <c r="AM518" s="5"/>
      <c r="AN518" s="5"/>
      <c r="AO518" s="5"/>
      <c r="AQ518" s="5"/>
      <c r="AR518" s="5"/>
      <c r="AS518" s="5"/>
      <c r="AT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</row>
    <row r="519" spans="18:146" ht="12.75">
      <c r="R519" s="5"/>
      <c r="S519" s="5"/>
      <c r="T519" s="5"/>
      <c r="U519" s="5"/>
      <c r="AL519" s="5"/>
      <c r="AM519" s="5"/>
      <c r="AN519" s="5"/>
      <c r="AO519" s="5"/>
      <c r="AQ519" s="5"/>
      <c r="AR519" s="5"/>
      <c r="AS519" s="5"/>
      <c r="AT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</row>
    <row r="520" spans="18:146" ht="12.75">
      <c r="R520" s="5"/>
      <c r="S520" s="5"/>
      <c r="T520" s="5"/>
      <c r="U520" s="5"/>
      <c r="AL520" s="5"/>
      <c r="AM520" s="5"/>
      <c r="AN520" s="5"/>
      <c r="AO520" s="5"/>
      <c r="AQ520" s="5"/>
      <c r="AR520" s="5"/>
      <c r="AS520" s="5"/>
      <c r="AT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</row>
    <row r="521" spans="18:146" ht="12.75">
      <c r="R521" s="5"/>
      <c r="S521" s="5"/>
      <c r="T521" s="5"/>
      <c r="U521" s="5"/>
      <c r="AL521" s="5"/>
      <c r="AM521" s="5"/>
      <c r="AN521" s="5"/>
      <c r="AO521" s="5"/>
      <c r="AQ521" s="5"/>
      <c r="AR521" s="5"/>
      <c r="AS521" s="5"/>
      <c r="AT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</row>
    <row r="522" spans="18:146" ht="12.75">
      <c r="R522" s="5"/>
      <c r="S522" s="5"/>
      <c r="T522" s="5"/>
      <c r="U522" s="5"/>
      <c r="AL522" s="5"/>
      <c r="AM522" s="5"/>
      <c r="AN522" s="5"/>
      <c r="AO522" s="5"/>
      <c r="AQ522" s="5"/>
      <c r="AR522" s="5"/>
      <c r="AS522" s="5"/>
      <c r="AT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</row>
    <row r="523" spans="18:146" ht="12.75">
      <c r="R523" s="5"/>
      <c r="S523" s="5"/>
      <c r="T523" s="5"/>
      <c r="U523" s="5"/>
      <c r="AL523" s="5"/>
      <c r="AM523" s="5"/>
      <c r="AN523" s="5"/>
      <c r="AO523" s="5"/>
      <c r="AQ523" s="5"/>
      <c r="AR523" s="5"/>
      <c r="AS523" s="5"/>
      <c r="AT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</row>
    <row r="524" spans="18:146" ht="12.75">
      <c r="R524" s="5"/>
      <c r="S524" s="5"/>
      <c r="T524" s="5"/>
      <c r="U524" s="5"/>
      <c r="AL524" s="5"/>
      <c r="AM524" s="5"/>
      <c r="AN524" s="5"/>
      <c r="AO524" s="5"/>
      <c r="AQ524" s="5"/>
      <c r="AR524" s="5"/>
      <c r="AS524" s="5"/>
      <c r="AT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</row>
    <row r="525" spans="18:146" ht="12.75">
      <c r="R525" s="5"/>
      <c r="S525" s="5"/>
      <c r="T525" s="5"/>
      <c r="U525" s="5"/>
      <c r="AL525" s="5"/>
      <c r="AM525" s="5"/>
      <c r="AN525" s="5"/>
      <c r="AO525" s="5"/>
      <c r="AQ525" s="5"/>
      <c r="AR525" s="5"/>
      <c r="AS525" s="5"/>
      <c r="AT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</row>
    <row r="526" spans="18:146" ht="12.75">
      <c r="R526" s="5"/>
      <c r="S526" s="5"/>
      <c r="T526" s="5"/>
      <c r="U526" s="5"/>
      <c r="AL526" s="5"/>
      <c r="AM526" s="5"/>
      <c r="AN526" s="5"/>
      <c r="AO526" s="5"/>
      <c r="AQ526" s="5"/>
      <c r="AR526" s="5"/>
      <c r="AS526" s="5"/>
      <c r="AT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</row>
    <row r="527" spans="18:146" ht="12.75">
      <c r="R527" s="5"/>
      <c r="S527" s="5"/>
      <c r="T527" s="5"/>
      <c r="U527" s="5"/>
      <c r="AL527" s="5"/>
      <c r="AM527" s="5"/>
      <c r="AN527" s="5"/>
      <c r="AO527" s="5"/>
      <c r="AQ527" s="5"/>
      <c r="AR527" s="5"/>
      <c r="AS527" s="5"/>
      <c r="AT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</row>
    <row r="528" spans="18:146" ht="12.75">
      <c r="R528" s="5"/>
      <c r="S528" s="5"/>
      <c r="T528" s="5"/>
      <c r="U528" s="5"/>
      <c r="AL528" s="5"/>
      <c r="AM528" s="5"/>
      <c r="AN528" s="5"/>
      <c r="AO528" s="5"/>
      <c r="AQ528" s="5"/>
      <c r="AR528" s="5"/>
      <c r="AS528" s="5"/>
      <c r="AT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</row>
    <row r="529" spans="18:146" ht="12.75">
      <c r="R529" s="5"/>
      <c r="S529" s="5"/>
      <c r="T529" s="5"/>
      <c r="U529" s="5"/>
      <c r="AL529" s="5"/>
      <c r="AM529" s="5"/>
      <c r="AN529" s="5"/>
      <c r="AO529" s="5"/>
      <c r="AQ529" s="5"/>
      <c r="AR529" s="5"/>
      <c r="AS529" s="5"/>
      <c r="AT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</row>
    <row r="530" spans="18:146" ht="12.75">
      <c r="R530" s="5"/>
      <c r="S530" s="5"/>
      <c r="T530" s="5"/>
      <c r="U530" s="5"/>
      <c r="AL530" s="5"/>
      <c r="AM530" s="5"/>
      <c r="AN530" s="5"/>
      <c r="AO530" s="5"/>
      <c r="AQ530" s="5"/>
      <c r="AR530" s="5"/>
      <c r="AS530" s="5"/>
      <c r="AT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</row>
    <row r="531" spans="18:146" ht="12.75">
      <c r="R531" s="5"/>
      <c r="S531" s="5"/>
      <c r="T531" s="5"/>
      <c r="U531" s="5"/>
      <c r="AL531" s="5"/>
      <c r="AM531" s="5"/>
      <c r="AN531" s="5"/>
      <c r="AO531" s="5"/>
      <c r="AQ531" s="5"/>
      <c r="AR531" s="5"/>
      <c r="AS531" s="5"/>
      <c r="AT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</row>
    <row r="532" spans="18:146" ht="12.75">
      <c r="R532" s="5"/>
      <c r="S532" s="5"/>
      <c r="T532" s="5"/>
      <c r="U532" s="5"/>
      <c r="AL532" s="5"/>
      <c r="AM532" s="5"/>
      <c r="AN532" s="5"/>
      <c r="AO532" s="5"/>
      <c r="AQ532" s="5"/>
      <c r="AR532" s="5"/>
      <c r="AS532" s="5"/>
      <c r="AT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</row>
    <row r="533" spans="18:146" ht="12.75">
      <c r="R533" s="5"/>
      <c r="S533" s="5"/>
      <c r="T533" s="5"/>
      <c r="U533" s="5"/>
      <c r="AL533" s="5"/>
      <c r="AM533" s="5"/>
      <c r="AN533" s="5"/>
      <c r="AO533" s="5"/>
      <c r="AQ533" s="5"/>
      <c r="AR533" s="5"/>
      <c r="AS533" s="5"/>
      <c r="AT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</row>
    <row r="534" spans="18:146" ht="12.75">
      <c r="R534" s="5"/>
      <c r="S534" s="5"/>
      <c r="T534" s="5"/>
      <c r="U534" s="5"/>
      <c r="AL534" s="5"/>
      <c r="AM534" s="5"/>
      <c r="AN534" s="5"/>
      <c r="AO534" s="5"/>
      <c r="AQ534" s="5"/>
      <c r="AR534" s="5"/>
      <c r="AS534" s="5"/>
      <c r="AT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</row>
    <row r="535" spans="18:146" ht="12.75">
      <c r="R535" s="5"/>
      <c r="S535" s="5"/>
      <c r="T535" s="5"/>
      <c r="U535" s="5"/>
      <c r="AL535" s="5"/>
      <c r="AM535" s="5"/>
      <c r="AN535" s="5"/>
      <c r="AO535" s="5"/>
      <c r="AQ535" s="5"/>
      <c r="AR535" s="5"/>
      <c r="AS535" s="5"/>
      <c r="AT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</row>
    <row r="536" spans="18:146" ht="12.75">
      <c r="R536" s="5"/>
      <c r="S536" s="5"/>
      <c r="T536" s="5"/>
      <c r="U536" s="5"/>
      <c r="AL536" s="5"/>
      <c r="AM536" s="5"/>
      <c r="AN536" s="5"/>
      <c r="AO536" s="5"/>
      <c r="AQ536" s="5"/>
      <c r="AR536" s="5"/>
      <c r="AS536" s="5"/>
      <c r="AT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</row>
    <row r="537" spans="18:146" ht="12.75">
      <c r="R537" s="5"/>
      <c r="S537" s="5"/>
      <c r="T537" s="5"/>
      <c r="U537" s="5"/>
      <c r="AL537" s="5"/>
      <c r="AM537" s="5"/>
      <c r="AN537" s="5"/>
      <c r="AO537" s="5"/>
      <c r="AQ537" s="5"/>
      <c r="AR537" s="5"/>
      <c r="AS537" s="5"/>
      <c r="AT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</row>
    <row r="538" spans="18:146" ht="12.75">
      <c r="R538" s="5"/>
      <c r="S538" s="5"/>
      <c r="T538" s="5"/>
      <c r="U538" s="5"/>
      <c r="AL538" s="5"/>
      <c r="AM538" s="5"/>
      <c r="AN538" s="5"/>
      <c r="AO538" s="5"/>
      <c r="AQ538" s="5"/>
      <c r="AR538" s="5"/>
      <c r="AS538" s="5"/>
      <c r="AT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</row>
    <row r="539" spans="18:146" ht="12.75">
      <c r="R539" s="5"/>
      <c r="S539" s="5"/>
      <c r="T539" s="5"/>
      <c r="U539" s="5"/>
      <c r="AL539" s="5"/>
      <c r="AM539" s="5"/>
      <c r="AN539" s="5"/>
      <c r="AO539" s="5"/>
      <c r="AQ539" s="5"/>
      <c r="AR539" s="5"/>
      <c r="AS539" s="5"/>
      <c r="AT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</row>
    <row r="540" spans="18:146" ht="12.75">
      <c r="R540" s="5"/>
      <c r="S540" s="5"/>
      <c r="T540" s="5"/>
      <c r="U540" s="5"/>
      <c r="AL540" s="5"/>
      <c r="AM540" s="5"/>
      <c r="AN540" s="5"/>
      <c r="AO540" s="5"/>
      <c r="AQ540" s="5"/>
      <c r="AR540" s="5"/>
      <c r="AS540" s="5"/>
      <c r="AT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</row>
    <row r="541" spans="18:146" ht="12.75">
      <c r="R541" s="5"/>
      <c r="S541" s="5"/>
      <c r="T541" s="5"/>
      <c r="U541" s="5"/>
      <c r="AL541" s="5"/>
      <c r="AM541" s="5"/>
      <c r="AN541" s="5"/>
      <c r="AO541" s="5"/>
      <c r="AQ541" s="5"/>
      <c r="AR541" s="5"/>
      <c r="AS541" s="5"/>
      <c r="AT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</row>
    <row r="542" spans="18:146" ht="12.75">
      <c r="R542" s="5"/>
      <c r="S542" s="5"/>
      <c r="T542" s="5"/>
      <c r="U542" s="5"/>
      <c r="AL542" s="5"/>
      <c r="AM542" s="5"/>
      <c r="AN542" s="5"/>
      <c r="AO542" s="5"/>
      <c r="AQ542" s="5"/>
      <c r="AR542" s="5"/>
      <c r="AS542" s="5"/>
      <c r="AT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</row>
    <row r="543" spans="18:146" ht="12.75">
      <c r="R543" s="5"/>
      <c r="S543" s="5"/>
      <c r="T543" s="5"/>
      <c r="U543" s="5"/>
      <c r="AL543" s="5"/>
      <c r="AM543" s="5"/>
      <c r="AN543" s="5"/>
      <c r="AO543" s="5"/>
      <c r="AQ543" s="5"/>
      <c r="AR543" s="5"/>
      <c r="AS543" s="5"/>
      <c r="AT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</row>
    <row r="544" spans="18:146" ht="12.75">
      <c r="R544" s="5"/>
      <c r="S544" s="5"/>
      <c r="T544" s="5"/>
      <c r="U544" s="5"/>
      <c r="AL544" s="5"/>
      <c r="AM544" s="5"/>
      <c r="AN544" s="5"/>
      <c r="AO544" s="5"/>
      <c r="AQ544" s="5"/>
      <c r="AR544" s="5"/>
      <c r="AS544" s="5"/>
      <c r="AT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</row>
    <row r="545" spans="18:146" ht="12.75">
      <c r="R545" s="5"/>
      <c r="S545" s="5"/>
      <c r="T545" s="5"/>
      <c r="U545" s="5"/>
      <c r="AL545" s="5"/>
      <c r="AM545" s="5"/>
      <c r="AN545" s="5"/>
      <c r="AO545" s="5"/>
      <c r="AQ545" s="5"/>
      <c r="AR545" s="5"/>
      <c r="AS545" s="5"/>
      <c r="AT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</row>
    <row r="546" spans="18:146" ht="12.75">
      <c r="R546" s="5"/>
      <c r="S546" s="5"/>
      <c r="T546" s="5"/>
      <c r="U546" s="5"/>
      <c r="AL546" s="5"/>
      <c r="AM546" s="5"/>
      <c r="AN546" s="5"/>
      <c r="AO546" s="5"/>
      <c r="AQ546" s="5"/>
      <c r="AR546" s="5"/>
      <c r="AS546" s="5"/>
      <c r="AT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</row>
    <row r="547" spans="18:146" ht="12.75">
      <c r="R547" s="5"/>
      <c r="S547" s="5"/>
      <c r="T547" s="5"/>
      <c r="U547" s="5"/>
      <c r="AL547" s="5"/>
      <c r="AM547" s="5"/>
      <c r="AN547" s="5"/>
      <c r="AO547" s="5"/>
      <c r="AQ547" s="5"/>
      <c r="AR547" s="5"/>
      <c r="AS547" s="5"/>
      <c r="AT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</row>
    <row r="548" spans="18:146" ht="12.75">
      <c r="R548" s="5"/>
      <c r="S548" s="5"/>
      <c r="T548" s="5"/>
      <c r="U548" s="5"/>
      <c r="AL548" s="5"/>
      <c r="AM548" s="5"/>
      <c r="AN548" s="5"/>
      <c r="AO548" s="5"/>
      <c r="AQ548" s="5"/>
      <c r="AR548" s="5"/>
      <c r="AS548" s="5"/>
      <c r="AT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</row>
    <row r="549" spans="18:146" ht="12.75">
      <c r="R549" s="5"/>
      <c r="S549" s="5"/>
      <c r="T549" s="5"/>
      <c r="U549" s="5"/>
      <c r="AL549" s="5"/>
      <c r="AM549" s="5"/>
      <c r="AN549" s="5"/>
      <c r="AO549" s="5"/>
      <c r="AQ549" s="5"/>
      <c r="AR549" s="5"/>
      <c r="AS549" s="5"/>
      <c r="AT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</row>
    <row r="550" spans="18:146" ht="12.75">
      <c r="R550" s="5"/>
      <c r="S550" s="5"/>
      <c r="T550" s="5"/>
      <c r="U550" s="5"/>
      <c r="AL550" s="5"/>
      <c r="AM550" s="5"/>
      <c r="AN550" s="5"/>
      <c r="AO550" s="5"/>
      <c r="AQ550" s="5"/>
      <c r="AR550" s="5"/>
      <c r="AS550" s="5"/>
      <c r="AT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</row>
    <row r="551" spans="18:146" ht="12.75">
      <c r="R551" s="5"/>
      <c r="S551" s="5"/>
      <c r="T551" s="5"/>
      <c r="U551" s="5"/>
      <c r="AL551" s="5"/>
      <c r="AM551" s="5"/>
      <c r="AN551" s="5"/>
      <c r="AO551" s="5"/>
      <c r="AQ551" s="5"/>
      <c r="AR551" s="5"/>
      <c r="AS551" s="5"/>
      <c r="AT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</row>
    <row r="552" spans="18:146" ht="12.75">
      <c r="R552" s="5"/>
      <c r="S552" s="5"/>
      <c r="T552" s="5"/>
      <c r="U552" s="5"/>
      <c r="AL552" s="5"/>
      <c r="AM552" s="5"/>
      <c r="AN552" s="5"/>
      <c r="AO552" s="5"/>
      <c r="AQ552" s="5"/>
      <c r="AR552" s="5"/>
      <c r="AS552" s="5"/>
      <c r="AT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</row>
    <row r="553" spans="18:146" ht="12.75">
      <c r="R553" s="5"/>
      <c r="S553" s="5"/>
      <c r="T553" s="5"/>
      <c r="U553" s="5"/>
      <c r="AL553" s="5"/>
      <c r="AM553" s="5"/>
      <c r="AN553" s="5"/>
      <c r="AO553" s="5"/>
      <c r="AQ553" s="5"/>
      <c r="AR553" s="5"/>
      <c r="AS553" s="5"/>
      <c r="AT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</row>
    <row r="554" spans="18:146" ht="12.75">
      <c r="R554" s="5"/>
      <c r="S554" s="5"/>
      <c r="T554" s="5"/>
      <c r="U554" s="5"/>
      <c r="AL554" s="5"/>
      <c r="AM554" s="5"/>
      <c r="AN554" s="5"/>
      <c r="AO554" s="5"/>
      <c r="AQ554" s="5"/>
      <c r="AR554" s="5"/>
      <c r="AS554" s="5"/>
      <c r="AT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</row>
    <row r="555" spans="18:146" ht="12.75">
      <c r="R555" s="5"/>
      <c r="S555" s="5"/>
      <c r="T555" s="5"/>
      <c r="U555" s="5"/>
      <c r="AL555" s="5"/>
      <c r="AM555" s="5"/>
      <c r="AN555" s="5"/>
      <c r="AO555" s="5"/>
      <c r="AQ555" s="5"/>
      <c r="AR555" s="5"/>
      <c r="AS555" s="5"/>
      <c r="AT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</row>
    <row r="556" spans="18:146" ht="12.75">
      <c r="R556" s="5"/>
      <c r="S556" s="5"/>
      <c r="T556" s="5"/>
      <c r="U556" s="5"/>
      <c r="AL556" s="5"/>
      <c r="AM556" s="5"/>
      <c r="AN556" s="5"/>
      <c r="AO556" s="5"/>
      <c r="AQ556" s="5"/>
      <c r="AR556" s="5"/>
      <c r="AS556" s="5"/>
      <c r="AT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</row>
    <row r="557" spans="18:146" ht="12.75">
      <c r="R557" s="5"/>
      <c r="S557" s="5"/>
      <c r="T557" s="5"/>
      <c r="U557" s="5"/>
      <c r="AL557" s="5"/>
      <c r="AM557" s="5"/>
      <c r="AN557" s="5"/>
      <c r="AO557" s="5"/>
      <c r="AQ557" s="5"/>
      <c r="AR557" s="5"/>
      <c r="AS557" s="5"/>
      <c r="AT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</row>
    <row r="558" spans="18:146" ht="12.75">
      <c r="R558" s="5"/>
      <c r="S558" s="5"/>
      <c r="T558" s="5"/>
      <c r="U558" s="5"/>
      <c r="AL558" s="5"/>
      <c r="AM558" s="5"/>
      <c r="AN558" s="5"/>
      <c r="AO558" s="5"/>
      <c r="AQ558" s="5"/>
      <c r="AR558" s="5"/>
      <c r="AS558" s="5"/>
      <c r="AT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</row>
    <row r="559" spans="18:146" ht="12.75">
      <c r="R559" s="5"/>
      <c r="S559" s="5"/>
      <c r="T559" s="5"/>
      <c r="U559" s="5"/>
      <c r="AL559" s="5"/>
      <c r="AM559" s="5"/>
      <c r="AN559" s="5"/>
      <c r="AO559" s="5"/>
      <c r="AQ559" s="5"/>
      <c r="AR559" s="5"/>
      <c r="AS559" s="5"/>
      <c r="AT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</row>
    <row r="560" spans="18:146" ht="12.75">
      <c r="R560" s="5"/>
      <c r="S560" s="5"/>
      <c r="T560" s="5"/>
      <c r="U560" s="5"/>
      <c r="AL560" s="5"/>
      <c r="AM560" s="5"/>
      <c r="AN560" s="5"/>
      <c r="AO560" s="5"/>
      <c r="AQ560" s="5"/>
      <c r="AR560" s="5"/>
      <c r="AS560" s="5"/>
      <c r="AT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</row>
    <row r="561" spans="18:146" ht="12.75">
      <c r="R561" s="5"/>
      <c r="S561" s="5"/>
      <c r="T561" s="5"/>
      <c r="U561" s="5"/>
      <c r="AL561" s="5"/>
      <c r="AM561" s="5"/>
      <c r="AN561" s="5"/>
      <c r="AO561" s="5"/>
      <c r="AQ561" s="5"/>
      <c r="AR561" s="5"/>
      <c r="AS561" s="5"/>
      <c r="AT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</row>
    <row r="562" spans="18:146" ht="12.75">
      <c r="R562" s="5"/>
      <c r="S562" s="5"/>
      <c r="T562" s="5"/>
      <c r="U562" s="5"/>
      <c r="AL562" s="5"/>
      <c r="AM562" s="5"/>
      <c r="AN562" s="5"/>
      <c r="AO562" s="5"/>
      <c r="AQ562" s="5"/>
      <c r="AR562" s="5"/>
      <c r="AS562" s="5"/>
      <c r="AT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</row>
    <row r="563" spans="18:146" ht="12.75">
      <c r="R563" s="5"/>
      <c r="S563" s="5"/>
      <c r="T563" s="5"/>
      <c r="U563" s="5"/>
      <c r="AL563" s="5"/>
      <c r="AM563" s="5"/>
      <c r="AN563" s="5"/>
      <c r="AO563" s="5"/>
      <c r="AQ563" s="5"/>
      <c r="AR563" s="5"/>
      <c r="AS563" s="5"/>
      <c r="AT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</row>
    <row r="564" spans="18:146" ht="12.75">
      <c r="R564" s="5"/>
      <c r="S564" s="5"/>
      <c r="T564" s="5"/>
      <c r="U564" s="5"/>
      <c r="AL564" s="5"/>
      <c r="AM564" s="5"/>
      <c r="AN564" s="5"/>
      <c r="AO564" s="5"/>
      <c r="AQ564" s="5"/>
      <c r="AR564" s="5"/>
      <c r="AS564" s="5"/>
      <c r="AT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</row>
    <row r="565" spans="18:146" ht="12.75">
      <c r="R565" s="5"/>
      <c r="S565" s="5"/>
      <c r="T565" s="5"/>
      <c r="U565" s="5"/>
      <c r="AL565" s="5"/>
      <c r="AM565" s="5"/>
      <c r="AN565" s="5"/>
      <c r="AO565" s="5"/>
      <c r="AQ565" s="5"/>
      <c r="AR565" s="5"/>
      <c r="AS565" s="5"/>
      <c r="AT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</row>
    <row r="566" spans="18:146" ht="12.75">
      <c r="R566" s="5"/>
      <c r="S566" s="5"/>
      <c r="T566" s="5"/>
      <c r="U566" s="5"/>
      <c r="AL566" s="5"/>
      <c r="AM566" s="5"/>
      <c r="AN566" s="5"/>
      <c r="AO566" s="5"/>
      <c r="AQ566" s="5"/>
      <c r="AR566" s="5"/>
      <c r="AS566" s="5"/>
      <c r="AT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</row>
    <row r="567" spans="18:146" ht="12.75">
      <c r="R567" s="5"/>
      <c r="S567" s="5"/>
      <c r="T567" s="5"/>
      <c r="U567" s="5"/>
      <c r="AL567" s="5"/>
      <c r="AM567" s="5"/>
      <c r="AN567" s="5"/>
      <c r="AO567" s="5"/>
      <c r="AQ567" s="5"/>
      <c r="AR567" s="5"/>
      <c r="AS567" s="5"/>
      <c r="AT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</row>
    <row r="568" spans="18:146" ht="12.75">
      <c r="R568" s="5"/>
      <c r="S568" s="5"/>
      <c r="T568" s="5"/>
      <c r="U568" s="5"/>
      <c r="AL568" s="5"/>
      <c r="AM568" s="5"/>
      <c r="AN568" s="5"/>
      <c r="AO568" s="5"/>
      <c r="AQ568" s="5"/>
      <c r="AR568" s="5"/>
      <c r="AS568" s="5"/>
      <c r="AT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</row>
    <row r="569" spans="18:146" ht="12.75">
      <c r="R569" s="5"/>
      <c r="S569" s="5"/>
      <c r="T569" s="5"/>
      <c r="U569" s="5"/>
      <c r="AL569" s="5"/>
      <c r="AM569" s="5"/>
      <c r="AN569" s="5"/>
      <c r="AO569" s="5"/>
      <c r="AQ569" s="5"/>
      <c r="AR569" s="5"/>
      <c r="AS569" s="5"/>
      <c r="AT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</row>
  </sheetData>
  <sheetProtection/>
  <printOptions/>
  <pageMargins left="0.5" right="0" top="0.5" bottom="0.5" header="0.5" footer="0.25"/>
  <pageSetup horizontalDpi="600" verticalDpi="600" orientation="landscape" scale="90"/>
  <headerFooter alignWithMargins="0"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Q79"/>
  <sheetViews>
    <sheetView zoomScale="148" zoomScaleNormal="148" zoomScalePageLayoutView="0" workbookViewId="0" topLeftCell="A1">
      <pane xSplit="1" ySplit="7" topLeftCell="G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9" sqref="I9"/>
    </sheetView>
  </sheetViews>
  <sheetFormatPr defaultColWidth="8.8515625" defaultRowHeight="12.75"/>
  <cols>
    <col min="1" max="1" width="9.7109375" style="37" customWidth="1"/>
    <col min="2" max="2" width="3.7109375" style="0" hidden="1" customWidth="1"/>
    <col min="3" max="6" width="13.7109375" style="3" hidden="1" customWidth="1"/>
    <col min="7" max="7" width="3.7109375" style="0" customWidth="1"/>
    <col min="8" max="11" width="13.7109375" style="5" customWidth="1"/>
    <col min="12" max="12" width="3.7109375" style="5" customWidth="1"/>
    <col min="13" max="16" width="12.7109375" style="5" customWidth="1"/>
    <col min="17" max="17" width="3.7109375" style="5" customWidth="1"/>
    <col min="18" max="21" width="12.7109375" style="5" customWidth="1"/>
    <col min="22" max="22" width="3.7109375" style="5" customWidth="1"/>
    <col min="23" max="26" width="13.7109375" style="5" customWidth="1"/>
    <col min="27" max="27" width="3.7109375" style="5" customWidth="1"/>
    <col min="28" max="31" width="13.7109375" style="5" customWidth="1"/>
    <col min="32" max="32" width="3.7109375" style="5" customWidth="1"/>
    <col min="33" max="34" width="12.7109375" style="5" customWidth="1"/>
    <col min="35" max="36" width="13.7109375" style="5" customWidth="1"/>
    <col min="37" max="37" width="3.7109375" style="5" customWidth="1"/>
    <col min="38" max="41" width="13.7109375" style="5" customWidth="1"/>
    <col min="42" max="42" width="3.7109375" style="5" customWidth="1"/>
    <col min="43" max="46" width="13.7109375" style="5" customWidth="1"/>
    <col min="47" max="47" width="3.7109375" style="5" customWidth="1"/>
    <col min="48" max="51" width="13.7109375" style="5" customWidth="1"/>
    <col min="52" max="52" width="3.7109375" style="5" customWidth="1"/>
    <col min="53" max="56" width="13.7109375" style="5" customWidth="1"/>
    <col min="57" max="57" width="3.7109375" style="5" customWidth="1"/>
    <col min="58" max="61" width="13.7109375" style="5" customWidth="1"/>
    <col min="62" max="62" width="3.7109375" style="5" customWidth="1"/>
    <col min="63" max="66" width="12.7109375" style="5" customWidth="1"/>
    <col min="67" max="67" width="3.7109375" style="5" customWidth="1"/>
    <col min="68" max="71" width="12.7109375" style="5" customWidth="1"/>
    <col min="72" max="72" width="3.7109375" style="5" customWidth="1"/>
    <col min="73" max="76" width="12.7109375" style="5" customWidth="1"/>
    <col min="77" max="77" width="3.7109375" style="5" customWidth="1"/>
    <col min="78" max="81" width="13.7109375" style="5" customWidth="1"/>
    <col min="82" max="82" width="3.7109375" style="5" customWidth="1"/>
    <col min="83" max="86" width="12.7109375" style="5" customWidth="1"/>
    <col min="87" max="87" width="3.7109375" style="5" customWidth="1"/>
    <col min="88" max="91" width="13.7109375" style="5" customWidth="1"/>
    <col min="92" max="92" width="3.7109375" style="5" customWidth="1"/>
    <col min="93" max="96" width="13.7109375" style="5" customWidth="1"/>
    <col min="97" max="97" width="3.7109375" style="5" customWidth="1"/>
    <col min="98" max="101" width="13.7109375" style="5" customWidth="1"/>
    <col min="102" max="102" width="3.7109375" style="5" customWidth="1"/>
    <col min="103" max="106" width="13.7109375" style="5" customWidth="1"/>
    <col min="107" max="107" width="3.7109375" style="5" customWidth="1"/>
    <col min="108" max="111" width="13.7109375" style="5" customWidth="1"/>
    <col min="112" max="112" width="3.7109375" style="5" customWidth="1"/>
    <col min="113" max="116" width="13.7109375" style="5" customWidth="1"/>
    <col min="117" max="117" width="3.7109375" style="5" customWidth="1"/>
    <col min="118" max="121" width="13.7109375" style="5" customWidth="1"/>
  </cols>
  <sheetData>
    <row r="1" spans="1:108" ht="12.75">
      <c r="A1" s="1"/>
      <c r="B1" s="2"/>
      <c r="D1" s="4"/>
      <c r="H1" s="4" t="s">
        <v>71</v>
      </c>
      <c r="AB1" s="4" t="s">
        <v>71</v>
      </c>
      <c r="AQ1" s="4" t="s">
        <v>71</v>
      </c>
      <c r="BZ1" s="4" t="s">
        <v>71</v>
      </c>
      <c r="CE1" s="4"/>
      <c r="CJ1" s="4"/>
      <c r="CO1" s="4" t="s">
        <v>71</v>
      </c>
      <c r="DD1" s="4" t="s">
        <v>71</v>
      </c>
    </row>
    <row r="2" spans="1:108" ht="12.75">
      <c r="A2" s="1"/>
      <c r="B2" s="2"/>
      <c r="D2" s="4"/>
      <c r="H2" s="4" t="s">
        <v>70</v>
      </c>
      <c r="AB2" s="4" t="s">
        <v>70</v>
      </c>
      <c r="AQ2" s="4" t="s">
        <v>70</v>
      </c>
      <c r="BZ2" s="4" t="s">
        <v>70</v>
      </c>
      <c r="CE2" s="4"/>
      <c r="CJ2" s="4"/>
      <c r="CO2" s="4" t="s">
        <v>70</v>
      </c>
      <c r="DD2" s="4" t="s">
        <v>70</v>
      </c>
    </row>
    <row r="3" spans="1:108" ht="12.75">
      <c r="A3" s="1"/>
      <c r="B3" s="2"/>
      <c r="D3" s="7"/>
      <c r="H3" s="4" t="s">
        <v>101</v>
      </c>
      <c r="AB3" s="4" t="s">
        <v>101</v>
      </c>
      <c r="AQ3" s="4" t="s">
        <v>101</v>
      </c>
      <c r="BZ3" s="4" t="s">
        <v>101</v>
      </c>
      <c r="CE3" s="4"/>
      <c r="CJ3" s="4"/>
      <c r="CO3" s="4" t="s">
        <v>101</v>
      </c>
      <c r="DD3" s="4" t="s">
        <v>101</v>
      </c>
    </row>
    <row r="4" spans="1:4" ht="12.75">
      <c r="A4" s="1"/>
      <c r="B4" s="2"/>
      <c r="C4" s="7"/>
      <c r="D4" s="4"/>
    </row>
    <row r="5" spans="1:121" ht="12.75">
      <c r="A5" s="9" t="s">
        <v>0</v>
      </c>
      <c r="C5" s="10" t="s">
        <v>103</v>
      </c>
      <c r="D5" s="11"/>
      <c r="E5" s="12"/>
      <c r="F5" s="12"/>
      <c r="H5" s="13" t="s">
        <v>104</v>
      </c>
      <c r="I5" s="16"/>
      <c r="J5" s="15"/>
      <c r="K5" s="12"/>
      <c r="M5" s="42" t="s">
        <v>14</v>
      </c>
      <c r="N5" s="14"/>
      <c r="O5" s="15"/>
      <c r="P5" s="12"/>
      <c r="R5" s="42" t="s">
        <v>132</v>
      </c>
      <c r="S5" s="14"/>
      <c r="T5" s="15"/>
      <c r="U5" s="12"/>
      <c r="W5" s="82" t="s">
        <v>96</v>
      </c>
      <c r="X5" s="80"/>
      <c r="Y5" s="81"/>
      <c r="Z5" s="12"/>
      <c r="AB5" s="42" t="s">
        <v>15</v>
      </c>
      <c r="AC5" s="14"/>
      <c r="AD5" s="15"/>
      <c r="AE5" s="12"/>
      <c r="AG5" s="42" t="s">
        <v>16</v>
      </c>
      <c r="AH5" s="14"/>
      <c r="AI5" s="15"/>
      <c r="AJ5" s="12"/>
      <c r="AL5" s="42" t="s">
        <v>17</v>
      </c>
      <c r="AM5" s="14"/>
      <c r="AN5" s="15"/>
      <c r="AO5" s="12"/>
      <c r="AQ5" s="42" t="s">
        <v>18</v>
      </c>
      <c r="AR5" s="14"/>
      <c r="AS5" s="15"/>
      <c r="AT5" s="12"/>
      <c r="AV5" s="13" t="s">
        <v>19</v>
      </c>
      <c r="AW5" s="14"/>
      <c r="AX5" s="15"/>
      <c r="AY5" s="12"/>
      <c r="BA5" s="79" t="s">
        <v>140</v>
      </c>
      <c r="BB5" s="80"/>
      <c r="BC5" s="81"/>
      <c r="BD5" s="12"/>
      <c r="BF5" s="13" t="s">
        <v>72</v>
      </c>
      <c r="BG5" s="14"/>
      <c r="BH5" s="15"/>
      <c r="BI5" s="12"/>
      <c r="BK5" s="13" t="s">
        <v>95</v>
      </c>
      <c r="BL5" s="14"/>
      <c r="BM5" s="15"/>
      <c r="BN5" s="12"/>
      <c r="BP5" s="13" t="s">
        <v>20</v>
      </c>
      <c r="BQ5" s="14"/>
      <c r="BR5" s="15"/>
      <c r="BS5" s="12"/>
      <c r="BU5" s="42" t="s">
        <v>80</v>
      </c>
      <c r="BV5" s="14"/>
      <c r="BW5" s="15"/>
      <c r="BX5" s="12"/>
      <c r="BZ5" s="42" t="s">
        <v>21</v>
      </c>
      <c r="CA5" s="14"/>
      <c r="CB5" s="15"/>
      <c r="CC5" s="12"/>
      <c r="CE5" s="42" t="s">
        <v>81</v>
      </c>
      <c r="CF5" s="14"/>
      <c r="CG5" s="15"/>
      <c r="CH5" s="12"/>
      <c r="CJ5" s="42" t="s">
        <v>91</v>
      </c>
      <c r="CK5" s="16"/>
      <c r="CL5" s="15"/>
      <c r="CM5" s="12"/>
      <c r="CO5" s="42" t="s">
        <v>22</v>
      </c>
      <c r="CP5" s="16"/>
      <c r="CQ5" s="15"/>
      <c r="CR5" s="12"/>
      <c r="CT5" s="13" t="s">
        <v>23</v>
      </c>
      <c r="CU5" s="16"/>
      <c r="CV5" s="15"/>
      <c r="CW5" s="12"/>
      <c r="CY5" s="13" t="s">
        <v>24</v>
      </c>
      <c r="CZ5" s="16"/>
      <c r="DA5" s="15"/>
      <c r="DB5" s="12"/>
      <c r="DD5" s="13" t="s">
        <v>73</v>
      </c>
      <c r="DE5" s="16"/>
      <c r="DF5" s="15"/>
      <c r="DG5" s="12"/>
      <c r="DH5" s="43"/>
      <c r="DI5" s="13" t="s">
        <v>25</v>
      </c>
      <c r="DJ5" s="16"/>
      <c r="DK5" s="15"/>
      <c r="DL5" s="12"/>
      <c r="DM5" s="44"/>
      <c r="DN5" s="13" t="s">
        <v>133</v>
      </c>
      <c r="DO5" s="16"/>
      <c r="DP5" s="15"/>
      <c r="DQ5" s="12"/>
    </row>
    <row r="6" spans="1:121" ht="12.75">
      <c r="A6" s="22" t="s">
        <v>10</v>
      </c>
      <c r="B6" s="8"/>
      <c r="C6" s="42" t="s">
        <v>99</v>
      </c>
      <c r="D6" s="14"/>
      <c r="E6" s="41"/>
      <c r="F6" s="83" t="s">
        <v>157</v>
      </c>
      <c r="H6" s="23">
        <f>M6+W6+AB6+AG6+AL6+AQ6+AV6+BF6+BK6+BP6+BU6+BZ6+CE6+CJ6+CO6+CT6+CY6+DD6+DI6</f>
        <v>0.0305169</v>
      </c>
      <c r="I6" s="24">
        <f>N6+S6+X6+AC6+AH6+AM6+AR6+AW6+BB6+BG6+BL6+BQ6+BV6+CA6+CF6+CK6+CP6+CU6+CZ6+DE6+DJ6+DO6</f>
        <v>0.048390999999999997</v>
      </c>
      <c r="J6" s="24">
        <f>O6+T6+Y6+AD6+AI6+AN6+AS6+AX6+BC6+BH6+BM6+BR6+BW6+CB6+CG6+CL6+CQ6+CV6+DA6+DF6+DK6+DP6</f>
        <v>0.06703959999999999</v>
      </c>
      <c r="K6" s="83" t="s">
        <v>157</v>
      </c>
      <c r="M6" s="45">
        <v>0.0158108</v>
      </c>
      <c r="N6" s="8">
        <v>0.0158583</v>
      </c>
      <c r="O6" s="25">
        <v>0.0161658</v>
      </c>
      <c r="P6" s="83" t="s">
        <v>157</v>
      </c>
      <c r="R6" s="45">
        <v>0</v>
      </c>
      <c r="S6" s="8">
        <v>7.8E-05</v>
      </c>
      <c r="T6" s="25">
        <v>7.95E-05</v>
      </c>
      <c r="U6" s="83" t="s">
        <v>157</v>
      </c>
      <c r="W6" s="45">
        <v>8.74E-05</v>
      </c>
      <c r="X6" s="8">
        <v>8.77E-05</v>
      </c>
      <c r="Y6" s="25">
        <v>8.94E-05</v>
      </c>
      <c r="Z6" s="83" t="s">
        <v>157</v>
      </c>
      <c r="AB6" s="45">
        <v>0.0010807</v>
      </c>
      <c r="AC6" s="8">
        <v>0.0035581</v>
      </c>
      <c r="AD6" s="25">
        <v>0.0038139</v>
      </c>
      <c r="AE6" s="83" t="s">
        <v>157</v>
      </c>
      <c r="AG6" s="45">
        <v>0.0003561</v>
      </c>
      <c r="AH6" s="8">
        <v>0.0009192</v>
      </c>
      <c r="AI6" s="25">
        <v>0.0009371</v>
      </c>
      <c r="AJ6" s="83" t="s">
        <v>157</v>
      </c>
      <c r="AL6" s="45">
        <v>0.0008518</v>
      </c>
      <c r="AM6" s="8">
        <v>0.0010013</v>
      </c>
      <c r="AN6" s="25">
        <v>0.0010207</v>
      </c>
      <c r="AO6" s="83" t="s">
        <v>157</v>
      </c>
      <c r="AQ6" s="45">
        <v>0.0014423</v>
      </c>
      <c r="AR6" s="8">
        <v>0.0015996</v>
      </c>
      <c r="AS6" s="25">
        <v>0.0016443</v>
      </c>
      <c r="AT6" s="83" t="s">
        <v>157</v>
      </c>
      <c r="AV6" s="45">
        <v>0.001761</v>
      </c>
      <c r="AW6" s="8">
        <v>0.002883</v>
      </c>
      <c r="AX6" s="25">
        <v>0.0090192</v>
      </c>
      <c r="AY6" s="83" t="s">
        <v>157</v>
      </c>
      <c r="BA6" s="45">
        <v>0</v>
      </c>
      <c r="BB6" s="8">
        <v>0.0008091</v>
      </c>
      <c r="BC6" s="25">
        <v>0.0008248</v>
      </c>
      <c r="BD6" s="83" t="s">
        <v>157</v>
      </c>
      <c r="BF6" s="45">
        <v>0.0009208</v>
      </c>
      <c r="BG6" s="8">
        <v>0.0016967</v>
      </c>
      <c r="BH6" s="25">
        <v>0.0037887</v>
      </c>
      <c r="BI6" s="83" t="s">
        <v>157</v>
      </c>
      <c r="BK6" s="45">
        <v>0.0002179</v>
      </c>
      <c r="BL6" s="8">
        <v>0.0002186</v>
      </c>
      <c r="BM6" s="25">
        <v>0.0002591</v>
      </c>
      <c r="BN6" s="83" t="s">
        <v>157</v>
      </c>
      <c r="BP6" s="45">
        <v>0.0016377</v>
      </c>
      <c r="BQ6" s="8">
        <v>0.0019698</v>
      </c>
      <c r="BR6" s="25">
        <v>0.0034914</v>
      </c>
      <c r="BS6" s="83" t="s">
        <v>157</v>
      </c>
      <c r="BU6" s="45">
        <v>2.69E-05</v>
      </c>
      <c r="BV6" s="8">
        <v>2.7E-05</v>
      </c>
      <c r="BW6" s="25">
        <v>4.29E-05</v>
      </c>
      <c r="BX6" s="83" t="s">
        <v>157</v>
      </c>
      <c r="BZ6" s="45">
        <v>0.0025402</v>
      </c>
      <c r="CA6" s="8">
        <v>0.0043491</v>
      </c>
      <c r="CB6" s="25">
        <v>0.004681</v>
      </c>
      <c r="CC6" s="83" t="s">
        <v>157</v>
      </c>
      <c r="CE6" s="45">
        <v>0.0005386</v>
      </c>
      <c r="CF6" s="8">
        <v>0.0005403</v>
      </c>
      <c r="CG6" s="25">
        <v>0.0005507</v>
      </c>
      <c r="CH6" s="83" t="s">
        <v>157</v>
      </c>
      <c r="CJ6" s="45">
        <v>9.11E-05</v>
      </c>
      <c r="CK6" s="24">
        <v>0.0001687</v>
      </c>
      <c r="CL6" s="25">
        <v>0.000172</v>
      </c>
      <c r="CM6" s="83" t="s">
        <v>157</v>
      </c>
      <c r="CO6" s="45">
        <v>0.0006927</v>
      </c>
      <c r="CP6" s="24">
        <v>0.0010866</v>
      </c>
      <c r="CQ6" s="25">
        <v>0.0039967</v>
      </c>
      <c r="CR6" s="83" t="s">
        <v>157</v>
      </c>
      <c r="CT6" s="45">
        <v>6.93E-05</v>
      </c>
      <c r="CU6" s="24">
        <v>0.0002915</v>
      </c>
      <c r="CV6" s="25">
        <v>0.0020548</v>
      </c>
      <c r="CW6" s="83" t="s">
        <v>157</v>
      </c>
      <c r="CY6" s="45">
        <v>0.0003356</v>
      </c>
      <c r="CZ6" s="24">
        <v>0.0007469</v>
      </c>
      <c r="DA6" s="25">
        <v>0.0007614</v>
      </c>
      <c r="DB6" s="83" t="s">
        <v>157</v>
      </c>
      <c r="DD6" s="45">
        <v>0.0013297</v>
      </c>
      <c r="DE6" s="24">
        <v>0.0015412</v>
      </c>
      <c r="DF6" s="25">
        <v>0.0015711</v>
      </c>
      <c r="DG6" s="83" t="s">
        <v>157</v>
      </c>
      <c r="DH6" s="43"/>
      <c r="DI6" s="45">
        <v>0.0007263</v>
      </c>
      <c r="DJ6" s="24">
        <v>0.0085859</v>
      </c>
      <c r="DK6" s="25">
        <v>0.0116935</v>
      </c>
      <c r="DL6" s="83" t="s">
        <v>157</v>
      </c>
      <c r="DM6" s="44"/>
      <c r="DN6" s="45">
        <v>0</v>
      </c>
      <c r="DO6" s="24">
        <v>0.0003744</v>
      </c>
      <c r="DP6" s="25">
        <v>0.0003816</v>
      </c>
      <c r="DQ6" s="83" t="s">
        <v>157</v>
      </c>
    </row>
    <row r="7" spans="1:121" ht="12.75">
      <c r="A7" s="30"/>
      <c r="C7" s="31" t="s">
        <v>11</v>
      </c>
      <c r="D7" s="31" t="s">
        <v>12</v>
      </c>
      <c r="E7" s="31" t="s">
        <v>13</v>
      </c>
      <c r="F7" s="31" t="s">
        <v>158</v>
      </c>
      <c r="H7" s="31" t="s">
        <v>11</v>
      </c>
      <c r="I7" s="31" t="s">
        <v>12</v>
      </c>
      <c r="J7" s="31" t="s">
        <v>13</v>
      </c>
      <c r="K7" s="31" t="s">
        <v>158</v>
      </c>
      <c r="M7" s="31" t="s">
        <v>11</v>
      </c>
      <c r="N7" s="31" t="s">
        <v>12</v>
      </c>
      <c r="O7" s="31" t="s">
        <v>13</v>
      </c>
      <c r="P7" s="31" t="s">
        <v>158</v>
      </c>
      <c r="R7" s="31" t="s">
        <v>11</v>
      </c>
      <c r="S7" s="31" t="s">
        <v>12</v>
      </c>
      <c r="T7" s="31" t="s">
        <v>13</v>
      </c>
      <c r="U7" s="31" t="s">
        <v>158</v>
      </c>
      <c r="W7" s="31" t="s">
        <v>11</v>
      </c>
      <c r="X7" s="31" t="s">
        <v>12</v>
      </c>
      <c r="Y7" s="31" t="s">
        <v>13</v>
      </c>
      <c r="Z7" s="31" t="s">
        <v>158</v>
      </c>
      <c r="AB7" s="31" t="s">
        <v>11</v>
      </c>
      <c r="AC7" s="31" t="s">
        <v>12</v>
      </c>
      <c r="AD7" s="31" t="s">
        <v>13</v>
      </c>
      <c r="AE7" s="31" t="s">
        <v>158</v>
      </c>
      <c r="AG7" s="31" t="s">
        <v>11</v>
      </c>
      <c r="AH7" s="31" t="s">
        <v>12</v>
      </c>
      <c r="AI7" s="31" t="s">
        <v>13</v>
      </c>
      <c r="AJ7" s="31" t="s">
        <v>158</v>
      </c>
      <c r="AL7" s="31" t="s">
        <v>11</v>
      </c>
      <c r="AM7" s="31" t="s">
        <v>12</v>
      </c>
      <c r="AN7" s="31" t="s">
        <v>13</v>
      </c>
      <c r="AO7" s="31" t="s">
        <v>158</v>
      </c>
      <c r="AQ7" s="31" t="s">
        <v>11</v>
      </c>
      <c r="AR7" s="31" t="s">
        <v>12</v>
      </c>
      <c r="AS7" s="31" t="s">
        <v>13</v>
      </c>
      <c r="AT7" s="31" t="s">
        <v>158</v>
      </c>
      <c r="AV7" s="31" t="s">
        <v>11</v>
      </c>
      <c r="AW7" s="31" t="s">
        <v>12</v>
      </c>
      <c r="AX7" s="31" t="s">
        <v>13</v>
      </c>
      <c r="AY7" s="31" t="s">
        <v>158</v>
      </c>
      <c r="BA7" s="31" t="s">
        <v>11</v>
      </c>
      <c r="BB7" s="31" t="s">
        <v>12</v>
      </c>
      <c r="BC7" s="31" t="s">
        <v>13</v>
      </c>
      <c r="BD7" s="31" t="s">
        <v>158</v>
      </c>
      <c r="BF7" s="31" t="s">
        <v>11</v>
      </c>
      <c r="BG7" s="31" t="s">
        <v>12</v>
      </c>
      <c r="BH7" s="31" t="s">
        <v>13</v>
      </c>
      <c r="BI7" s="31" t="s">
        <v>158</v>
      </c>
      <c r="BK7" s="31" t="s">
        <v>11</v>
      </c>
      <c r="BL7" s="31" t="s">
        <v>12</v>
      </c>
      <c r="BM7" s="31" t="s">
        <v>13</v>
      </c>
      <c r="BN7" s="31" t="s">
        <v>158</v>
      </c>
      <c r="BP7" s="31" t="s">
        <v>11</v>
      </c>
      <c r="BQ7" s="31" t="s">
        <v>12</v>
      </c>
      <c r="BR7" s="31" t="s">
        <v>13</v>
      </c>
      <c r="BS7" s="31" t="s">
        <v>158</v>
      </c>
      <c r="BU7" s="31" t="s">
        <v>11</v>
      </c>
      <c r="BV7" s="31" t="s">
        <v>12</v>
      </c>
      <c r="BW7" s="31" t="s">
        <v>13</v>
      </c>
      <c r="BX7" s="31" t="s">
        <v>158</v>
      </c>
      <c r="BZ7" s="31" t="s">
        <v>11</v>
      </c>
      <c r="CA7" s="31" t="s">
        <v>12</v>
      </c>
      <c r="CB7" s="31" t="s">
        <v>13</v>
      </c>
      <c r="CC7" s="31" t="s">
        <v>158</v>
      </c>
      <c r="CE7" s="31" t="s">
        <v>11</v>
      </c>
      <c r="CF7" s="31" t="s">
        <v>12</v>
      </c>
      <c r="CG7" s="31" t="s">
        <v>13</v>
      </c>
      <c r="CH7" s="31" t="s">
        <v>158</v>
      </c>
      <c r="CJ7" s="31" t="s">
        <v>11</v>
      </c>
      <c r="CK7" s="31" t="s">
        <v>12</v>
      </c>
      <c r="CL7" s="31" t="s">
        <v>13</v>
      </c>
      <c r="CM7" s="31" t="s">
        <v>158</v>
      </c>
      <c r="CO7" s="31" t="s">
        <v>11</v>
      </c>
      <c r="CP7" s="31" t="s">
        <v>12</v>
      </c>
      <c r="CQ7" s="31" t="s">
        <v>13</v>
      </c>
      <c r="CR7" s="31" t="s">
        <v>158</v>
      </c>
      <c r="CT7" s="31" t="s">
        <v>11</v>
      </c>
      <c r="CU7" s="31" t="s">
        <v>12</v>
      </c>
      <c r="CV7" s="31" t="s">
        <v>13</v>
      </c>
      <c r="CW7" s="31" t="s">
        <v>158</v>
      </c>
      <c r="CY7" s="31" t="s">
        <v>11</v>
      </c>
      <c r="CZ7" s="31" t="s">
        <v>12</v>
      </c>
      <c r="DA7" s="31" t="s">
        <v>13</v>
      </c>
      <c r="DB7" s="31" t="s">
        <v>158</v>
      </c>
      <c r="DD7" s="31" t="s">
        <v>11</v>
      </c>
      <c r="DE7" s="31" t="s">
        <v>12</v>
      </c>
      <c r="DF7" s="31" t="s">
        <v>13</v>
      </c>
      <c r="DG7" s="31" t="s">
        <v>158</v>
      </c>
      <c r="DH7" s="46"/>
      <c r="DI7" s="31" t="s">
        <v>11</v>
      </c>
      <c r="DJ7" s="31" t="s">
        <v>12</v>
      </c>
      <c r="DK7" s="31" t="s">
        <v>13</v>
      </c>
      <c r="DL7" s="31" t="s">
        <v>158</v>
      </c>
      <c r="DM7" s="73"/>
      <c r="DN7" s="31" t="s">
        <v>11</v>
      </c>
      <c r="DO7" s="31" t="s">
        <v>12</v>
      </c>
      <c r="DP7" s="31" t="s">
        <v>13</v>
      </c>
      <c r="DQ7" s="31" t="s">
        <v>158</v>
      </c>
    </row>
    <row r="8" spans="1:121" ht="12.75">
      <c r="A8" s="37">
        <v>43009</v>
      </c>
      <c r="B8" s="38"/>
      <c r="D8" s="3">
        <v>1596906</v>
      </c>
      <c r="E8" s="35">
        <f aca="true" t="shared" si="0" ref="E8:E37">C8+D8</f>
        <v>1596906</v>
      </c>
      <c r="F8" s="35">
        <v>239565</v>
      </c>
      <c r="H8" s="47"/>
      <c r="I8" s="36">
        <f aca="true" t="shared" si="1" ref="I8:I37">N8+S8+X8+AC8+AH8+AM8+AR8+AW8+BB8+BG8+BL8+BQ8+BV8+CA8+CF8+CK8+CP8+CU8+CZ8+DE8+DJ8+DO8</f>
        <v>107055.93947759998</v>
      </c>
      <c r="J8" s="36">
        <f aca="true" t="shared" si="2" ref="J8:J37">H8+I8</f>
        <v>107055.93947759998</v>
      </c>
      <c r="K8" s="36">
        <f aca="true" t="shared" si="3" ref="K8:K37">P8+U8+Z8+AE8+AJ8+AO8+AT8+AY8+BD8+BI8+BN8+BS8+BX8+CC8+CH8+CM8+CR8+CW8+DB8+DG8+DL8+DQ8</f>
        <v>16060.341773999997</v>
      </c>
      <c r="N8" s="5">
        <f aca="true" t="shared" si="4" ref="N8:N37">D8*$O$6</f>
        <v>25815.263014800003</v>
      </c>
      <c r="O8" s="5">
        <f aca="true" t="shared" si="5" ref="O8:O37">M8+N8</f>
        <v>25815.263014800003</v>
      </c>
      <c r="P8" s="36">
        <f aca="true" t="shared" si="6" ref="P8:P37">O$6*$F8</f>
        <v>3872.7598770000004</v>
      </c>
      <c r="S8" s="5">
        <f aca="true" t="shared" si="7" ref="S8:S37">D8*$T$6</f>
        <v>126.954027</v>
      </c>
      <c r="T8" s="5">
        <f aca="true" t="shared" si="8" ref="T8:T37">R8+S8</f>
        <v>126.954027</v>
      </c>
      <c r="U8" s="36">
        <f aca="true" t="shared" si="9" ref="U8:U37">T$6*$F8</f>
        <v>19.0454175</v>
      </c>
      <c r="X8" s="5">
        <f aca="true" t="shared" si="10" ref="X8:X37">D8*$Y$6</f>
        <v>142.7633964</v>
      </c>
      <c r="Y8" s="5">
        <f aca="true" t="shared" si="11" ref="Y8:Y37">W8+X8</f>
        <v>142.7633964</v>
      </c>
      <c r="Z8" s="36">
        <f aca="true" t="shared" si="12" ref="Z8:Z37">Y$6*$F8</f>
        <v>21.417111000000002</v>
      </c>
      <c r="AC8" s="5">
        <f aca="true" t="shared" si="13" ref="AC8:AC37">D8*$AD$6</f>
        <v>6090.4397934</v>
      </c>
      <c r="AD8" s="5">
        <f aca="true" t="shared" si="14" ref="AD8:AD37">AB8+AC8</f>
        <v>6090.4397934</v>
      </c>
      <c r="AE8" s="36">
        <f aca="true" t="shared" si="15" ref="AE8:AE37">AD$6*$F8</f>
        <v>913.6769535</v>
      </c>
      <c r="AH8" s="5">
        <f aca="true" t="shared" si="16" ref="AH8:AH37">D8*$AI$6</f>
        <v>1496.4606125999999</v>
      </c>
      <c r="AI8" s="5">
        <f aca="true" t="shared" si="17" ref="AI8:AI37">AG8+AH8</f>
        <v>1496.4606125999999</v>
      </c>
      <c r="AJ8" s="36">
        <f aca="true" t="shared" si="18" ref="AJ8:AJ37">AI$6*$F8</f>
        <v>224.49636149999998</v>
      </c>
      <c r="AM8" s="5">
        <f aca="true" t="shared" si="19" ref="AM8:AM37">D8*$AN$6</f>
        <v>1629.9619542</v>
      </c>
      <c r="AN8" s="5">
        <f aca="true" t="shared" si="20" ref="AN8:AN37">AL8+AM8</f>
        <v>1629.9619542</v>
      </c>
      <c r="AO8" s="36">
        <f aca="true" t="shared" si="21" ref="AO8:AO37">AN$6*$F8</f>
        <v>244.5239955</v>
      </c>
      <c r="AR8" s="5">
        <f aca="true" t="shared" si="22" ref="AR8:AR37">D8*$AS$6</f>
        <v>2625.7925358</v>
      </c>
      <c r="AS8" s="5">
        <f aca="true" t="shared" si="23" ref="AS8:AS37">AQ8+AR8</f>
        <v>2625.7925358</v>
      </c>
      <c r="AT8" s="36">
        <f aca="true" t="shared" si="24" ref="AT8:AT37">AS$6*$F8</f>
        <v>393.91672950000003</v>
      </c>
      <c r="AW8" s="5">
        <f aca="true" t="shared" si="25" ref="AW8:AW37">D8*$AX$6</f>
        <v>14402.8145952</v>
      </c>
      <c r="AX8" s="5">
        <f aca="true" t="shared" si="26" ref="AX8:AX37">AV8+AW8</f>
        <v>14402.8145952</v>
      </c>
      <c r="AY8" s="36">
        <f aca="true" t="shared" si="27" ref="AY8:AY37">AX$6*$F8</f>
        <v>2160.684648</v>
      </c>
      <c r="BB8" s="5">
        <f aca="true" t="shared" si="28" ref="BB8:BB37">D8*$BC$6</f>
        <v>1317.1280688</v>
      </c>
      <c r="BC8" s="5">
        <f aca="true" t="shared" si="29" ref="BC8:BC37">BA8+BB8</f>
        <v>1317.1280688</v>
      </c>
      <c r="BD8" s="36">
        <f aca="true" t="shared" si="30" ref="BD8:BD37">BC$6*$F8</f>
        <v>197.593212</v>
      </c>
      <c r="BG8" s="5">
        <f aca="true" t="shared" si="31" ref="BG8:BG37">D8*$BH$6</f>
        <v>6050.1977621999995</v>
      </c>
      <c r="BH8" s="5">
        <f aca="true" t="shared" si="32" ref="BH8:BH37">BF8+BG8</f>
        <v>6050.1977621999995</v>
      </c>
      <c r="BI8" s="36">
        <f aca="true" t="shared" si="33" ref="BI8:BI37">BH$6*$F8</f>
        <v>907.6399154999999</v>
      </c>
      <c r="BL8" s="5">
        <f aca="true" t="shared" si="34" ref="BL8:BL37">D8*$BM$6</f>
        <v>413.75834460000004</v>
      </c>
      <c r="BM8" s="5">
        <f aca="true" t="shared" si="35" ref="BM8:BM37">BK8+BL8</f>
        <v>413.75834460000004</v>
      </c>
      <c r="BN8" s="36">
        <f aca="true" t="shared" si="36" ref="BN8:BN37">BM$6*$F8</f>
        <v>62.0712915</v>
      </c>
      <c r="BQ8" s="5">
        <f aca="true" t="shared" si="37" ref="BQ8:BQ37">D8*$BR$6</f>
        <v>5575.4376084</v>
      </c>
      <c r="BR8" s="5">
        <f aca="true" t="shared" si="38" ref="BR8:BR37">BP8+BQ8</f>
        <v>5575.4376084</v>
      </c>
      <c r="BS8" s="36">
        <f aca="true" t="shared" si="39" ref="BS8:BS37">BR$6*$F8</f>
        <v>836.417241</v>
      </c>
      <c r="BV8" s="5">
        <f aca="true" t="shared" si="40" ref="BV8:BV37">D8*$BW$6</f>
        <v>68.5072674</v>
      </c>
      <c r="BW8" s="5">
        <f aca="true" t="shared" si="41" ref="BW8:BW37">BU8+BV8</f>
        <v>68.5072674</v>
      </c>
      <c r="BX8" s="36">
        <f aca="true" t="shared" si="42" ref="BX8:BX37">BW$6*$F8</f>
        <v>10.277338499999999</v>
      </c>
      <c r="CA8" s="5">
        <f aca="true" t="shared" si="43" ref="CA8:CA37">D8*$CB$6</f>
        <v>7475.116986</v>
      </c>
      <c r="CB8" s="5">
        <f aca="true" t="shared" si="44" ref="CB8:CB37">BZ8+CA8</f>
        <v>7475.116986</v>
      </c>
      <c r="CC8" s="36">
        <f aca="true" t="shared" si="45" ref="CC8:CC37">CB$6*$F8</f>
        <v>1121.403765</v>
      </c>
      <c r="CF8" s="5">
        <f aca="true" t="shared" si="46" ref="CF8:CF37">D8*$CG$6</f>
        <v>879.4161342</v>
      </c>
      <c r="CG8" s="5">
        <f aca="true" t="shared" si="47" ref="CG8:CG37">CE8+CF8</f>
        <v>879.4161342</v>
      </c>
      <c r="CH8" s="36">
        <f aca="true" t="shared" si="48" ref="CH8:CH37">CG$6*$F8</f>
        <v>131.9284455</v>
      </c>
      <c r="CK8" s="5">
        <f aca="true" t="shared" si="49" ref="CK8:CK37">D8*$CL$6</f>
        <v>274.66783200000003</v>
      </c>
      <c r="CL8" s="36">
        <f aca="true" t="shared" si="50" ref="CL8:CL37">CJ8+CK8</f>
        <v>274.66783200000003</v>
      </c>
      <c r="CM8" s="36">
        <f aca="true" t="shared" si="51" ref="CM8:CM37">CL$6*$F8</f>
        <v>41.20518</v>
      </c>
      <c r="CP8" s="5">
        <f aca="true" t="shared" si="52" ref="CP8:CP37">D8*$CQ$6</f>
        <v>6382.354210199999</v>
      </c>
      <c r="CQ8" s="36">
        <f aca="true" t="shared" si="53" ref="CQ8:CQ37">CO8+CP8</f>
        <v>6382.354210199999</v>
      </c>
      <c r="CR8" s="36">
        <f aca="true" t="shared" si="54" ref="CR8:CR37">CQ$6*$F8</f>
        <v>957.4694354999999</v>
      </c>
      <c r="CU8" s="5">
        <f aca="true" t="shared" si="55" ref="CU8:CU37">D8*$CV$6</f>
        <v>3281.3224487999996</v>
      </c>
      <c r="CV8" s="5">
        <f aca="true" t="shared" si="56" ref="CV8:CV37">CT8+CU8</f>
        <v>3281.3224487999996</v>
      </c>
      <c r="CW8" s="36">
        <f aca="true" t="shared" si="57" ref="CW8:CW37">CV$6*$F8</f>
        <v>492.25816199999997</v>
      </c>
      <c r="CZ8" s="5">
        <f aca="true" t="shared" si="58" ref="CZ8:CZ37">D8*$DA$6</f>
        <v>1215.8842284</v>
      </c>
      <c r="DA8" s="5">
        <f aca="true" t="shared" si="59" ref="DA8:DA37">CY8+CZ8</f>
        <v>1215.8842284</v>
      </c>
      <c r="DB8" s="36">
        <f aca="true" t="shared" si="60" ref="DB8:DB37">DA$6*$F8</f>
        <v>182.404791</v>
      </c>
      <c r="DE8" s="5">
        <f aca="true" t="shared" si="61" ref="DE8:DE37">D8*$DF$6</f>
        <v>2508.8990166</v>
      </c>
      <c r="DF8" s="5">
        <f aca="true" t="shared" si="62" ref="DF8:DF37">DD8+DE8</f>
        <v>2508.8990166</v>
      </c>
      <c r="DG8" s="36">
        <f aca="true" t="shared" si="63" ref="DG8:DG37">DF$6*$F8</f>
        <v>376.3805715</v>
      </c>
      <c r="DJ8" s="36">
        <f aca="true" t="shared" si="64" ref="DJ8:DJ37">D8*$DK$6</f>
        <v>18673.420311</v>
      </c>
      <c r="DK8" s="36">
        <f aca="true" t="shared" si="65" ref="DK8:DK37">DI8+DJ8</f>
        <v>18673.420311</v>
      </c>
      <c r="DL8" s="36">
        <f aca="true" t="shared" si="66" ref="DL8:DL37">DK$6*$F8</f>
        <v>2801.3533275</v>
      </c>
      <c r="DO8" s="36">
        <f aca="true" t="shared" si="67" ref="DO8:DO37">D8*$DP$6</f>
        <v>609.3793296</v>
      </c>
      <c r="DP8" s="36">
        <f aca="true" t="shared" si="68" ref="DP8:DP37">DN8+DO8</f>
        <v>609.3793296</v>
      </c>
      <c r="DQ8" s="36">
        <f aca="true" t="shared" si="69" ref="DQ8:DQ37">DP$6*$F8</f>
        <v>91.418004</v>
      </c>
    </row>
    <row r="9" spans="1:121" ht="12.75">
      <c r="A9" s="37">
        <v>43191</v>
      </c>
      <c r="C9" s="3">
        <v>4855000</v>
      </c>
      <c r="D9" s="3">
        <v>1596906</v>
      </c>
      <c r="E9" s="35">
        <f t="shared" si="0"/>
        <v>6451906</v>
      </c>
      <c r="F9" s="35">
        <v>239565</v>
      </c>
      <c r="H9" s="47">
        <f>M9+R9+W9+AB9+AG9+AL9+AQ9+AV9+BA9+BF9+BK9+BP9+BU9+BZ9+CE9+CJ9+CO9+CT9+CY9+DD9+DI9+DN9</f>
        <v>325477.2580000001</v>
      </c>
      <c r="I9" s="36">
        <f t="shared" si="1"/>
        <v>107055.93947759998</v>
      </c>
      <c r="J9" s="36">
        <f t="shared" si="2"/>
        <v>432533.1974776001</v>
      </c>
      <c r="K9" s="36">
        <f t="shared" si="3"/>
        <v>16060.341773999997</v>
      </c>
      <c r="M9" s="5">
        <f aca="true" t="shared" si="70" ref="M9:M37">C9*$O$6</f>
        <v>78484.959</v>
      </c>
      <c r="N9" s="5">
        <f t="shared" si="4"/>
        <v>25815.263014800003</v>
      </c>
      <c r="O9" s="5">
        <f t="shared" si="5"/>
        <v>104300.2220148</v>
      </c>
      <c r="P9" s="36">
        <f t="shared" si="6"/>
        <v>3872.7598770000004</v>
      </c>
      <c r="R9" s="5">
        <f aca="true" t="shared" si="71" ref="R9:R37">C9*$T$6</f>
        <v>385.97249999999997</v>
      </c>
      <c r="S9" s="5">
        <f t="shared" si="7"/>
        <v>126.954027</v>
      </c>
      <c r="T9" s="5">
        <f t="shared" si="8"/>
        <v>512.926527</v>
      </c>
      <c r="U9" s="36">
        <f t="shared" si="9"/>
        <v>19.0454175</v>
      </c>
      <c r="W9" s="5">
        <f aca="true" t="shared" si="72" ref="W9:W37">C9*$Y$6</f>
        <v>434.03700000000003</v>
      </c>
      <c r="X9" s="5">
        <f t="shared" si="10"/>
        <v>142.7633964</v>
      </c>
      <c r="Y9" s="5">
        <f t="shared" si="11"/>
        <v>576.8003964000001</v>
      </c>
      <c r="Z9" s="36">
        <f t="shared" si="12"/>
        <v>21.417111000000002</v>
      </c>
      <c r="AB9" s="5">
        <f aca="true" t="shared" si="73" ref="AB9:AB37">C9*$AD$6</f>
        <v>18516.4845</v>
      </c>
      <c r="AC9" s="5">
        <f t="shared" si="13"/>
        <v>6090.4397934</v>
      </c>
      <c r="AD9" s="5">
        <f t="shared" si="14"/>
        <v>24606.9242934</v>
      </c>
      <c r="AE9" s="36">
        <f t="shared" si="15"/>
        <v>913.6769535</v>
      </c>
      <c r="AG9" s="5">
        <f aca="true" t="shared" si="74" ref="AG9:AG37">C9*$AI$6</f>
        <v>4549.6205</v>
      </c>
      <c r="AH9" s="5">
        <f t="shared" si="16"/>
        <v>1496.4606125999999</v>
      </c>
      <c r="AI9" s="5">
        <f t="shared" si="17"/>
        <v>6046.0811126</v>
      </c>
      <c r="AJ9" s="36">
        <f t="shared" si="18"/>
        <v>224.49636149999998</v>
      </c>
      <c r="AL9" s="5">
        <f aca="true" t="shared" si="75" ref="AL9:AL37">C9*$AN$6</f>
        <v>4955.498500000001</v>
      </c>
      <c r="AM9" s="5">
        <f t="shared" si="19"/>
        <v>1629.9619542</v>
      </c>
      <c r="AN9" s="5">
        <f t="shared" si="20"/>
        <v>6585.460454200001</v>
      </c>
      <c r="AO9" s="36">
        <f t="shared" si="21"/>
        <v>244.5239955</v>
      </c>
      <c r="AQ9" s="5">
        <f aca="true" t="shared" si="76" ref="AQ9:AQ37">C9*$AS$6</f>
        <v>7983.0765</v>
      </c>
      <c r="AR9" s="5">
        <f t="shared" si="22"/>
        <v>2625.7925358</v>
      </c>
      <c r="AS9" s="5">
        <f t="shared" si="23"/>
        <v>10608.8690358</v>
      </c>
      <c r="AT9" s="36">
        <f t="shared" si="24"/>
        <v>393.91672950000003</v>
      </c>
      <c r="AV9" s="5">
        <f aca="true" t="shared" si="77" ref="AV9:AV37">C9*$AX$6</f>
        <v>43788.216</v>
      </c>
      <c r="AW9" s="5">
        <f t="shared" si="25"/>
        <v>14402.8145952</v>
      </c>
      <c r="AX9" s="5">
        <f t="shared" si="26"/>
        <v>58191.0305952</v>
      </c>
      <c r="AY9" s="36">
        <f t="shared" si="27"/>
        <v>2160.684648</v>
      </c>
      <c r="BA9" s="5">
        <f aca="true" t="shared" si="78" ref="BA9:BA37">C9*$BC$6</f>
        <v>4004.404</v>
      </c>
      <c r="BB9" s="5">
        <f t="shared" si="28"/>
        <v>1317.1280688</v>
      </c>
      <c r="BC9" s="5">
        <f t="shared" si="29"/>
        <v>5321.5320688</v>
      </c>
      <c r="BD9" s="36">
        <f t="shared" si="30"/>
        <v>197.593212</v>
      </c>
      <c r="BF9" s="5">
        <f aca="true" t="shared" si="79" ref="BF9:BF37">C9*$BH$6</f>
        <v>18394.1385</v>
      </c>
      <c r="BG9" s="5">
        <f t="shared" si="31"/>
        <v>6050.1977621999995</v>
      </c>
      <c r="BH9" s="5">
        <f t="shared" si="32"/>
        <v>24444.3362622</v>
      </c>
      <c r="BI9" s="36">
        <f t="shared" si="33"/>
        <v>907.6399154999999</v>
      </c>
      <c r="BK9" s="5">
        <f aca="true" t="shared" si="80" ref="BK9:BK37">C9*$BM$6</f>
        <v>1257.9305</v>
      </c>
      <c r="BL9" s="5">
        <f t="shared" si="34"/>
        <v>413.75834460000004</v>
      </c>
      <c r="BM9" s="5">
        <f t="shared" si="35"/>
        <v>1671.6888446</v>
      </c>
      <c r="BN9" s="36">
        <f t="shared" si="36"/>
        <v>62.0712915</v>
      </c>
      <c r="BP9" s="5">
        <f aca="true" t="shared" si="81" ref="BP9:BP37">C9*$BR$6</f>
        <v>16950.747</v>
      </c>
      <c r="BQ9" s="5">
        <f t="shared" si="37"/>
        <v>5575.4376084</v>
      </c>
      <c r="BR9" s="5">
        <f t="shared" si="38"/>
        <v>22526.1846084</v>
      </c>
      <c r="BS9" s="36">
        <f t="shared" si="39"/>
        <v>836.417241</v>
      </c>
      <c r="BU9" s="5">
        <f aca="true" t="shared" si="82" ref="BU9:BU37">C9*$BW$6</f>
        <v>208.27949999999998</v>
      </c>
      <c r="BV9" s="5">
        <f t="shared" si="40"/>
        <v>68.5072674</v>
      </c>
      <c r="BW9" s="5">
        <f t="shared" si="41"/>
        <v>276.7867674</v>
      </c>
      <c r="BX9" s="36">
        <f t="shared" si="42"/>
        <v>10.277338499999999</v>
      </c>
      <c r="BZ9" s="5">
        <f aca="true" t="shared" si="83" ref="BZ9:BZ37">C9*$CB$6</f>
        <v>22726.255</v>
      </c>
      <c r="CA9" s="5">
        <f t="shared" si="43"/>
        <v>7475.116986</v>
      </c>
      <c r="CB9" s="5">
        <f t="shared" si="44"/>
        <v>30201.371986000002</v>
      </c>
      <c r="CC9" s="36">
        <f t="shared" si="45"/>
        <v>1121.403765</v>
      </c>
      <c r="CE9" s="5">
        <f aca="true" t="shared" si="84" ref="CE9:CE37">C9*$CG$6</f>
        <v>2673.6485</v>
      </c>
      <c r="CF9" s="5">
        <f t="shared" si="46"/>
        <v>879.4161342</v>
      </c>
      <c r="CG9" s="5">
        <f t="shared" si="47"/>
        <v>3553.0646342</v>
      </c>
      <c r="CH9" s="36">
        <f t="shared" si="48"/>
        <v>131.9284455</v>
      </c>
      <c r="CJ9" s="5">
        <f aca="true" t="shared" si="85" ref="CJ9:CJ37">C9*$CL$6</f>
        <v>835.0600000000001</v>
      </c>
      <c r="CK9" s="5">
        <f t="shared" si="49"/>
        <v>274.66783200000003</v>
      </c>
      <c r="CL9" s="36">
        <f t="shared" si="50"/>
        <v>1109.727832</v>
      </c>
      <c r="CM9" s="36">
        <f t="shared" si="51"/>
        <v>41.20518</v>
      </c>
      <c r="CO9" s="5">
        <f aca="true" t="shared" si="86" ref="CO9:CO37">C9*$CQ$6</f>
        <v>19403.978499999997</v>
      </c>
      <c r="CP9" s="5">
        <f t="shared" si="52"/>
        <v>6382.354210199999</v>
      </c>
      <c r="CQ9" s="36">
        <f t="shared" si="53"/>
        <v>25786.332710199997</v>
      </c>
      <c r="CR9" s="36">
        <f t="shared" si="54"/>
        <v>957.4694354999999</v>
      </c>
      <c r="CT9" s="5">
        <f aca="true" t="shared" si="87" ref="CT9:CT37">C9*$CV$6</f>
        <v>9976.054</v>
      </c>
      <c r="CU9" s="5">
        <f t="shared" si="55"/>
        <v>3281.3224487999996</v>
      </c>
      <c r="CV9" s="5">
        <f t="shared" si="56"/>
        <v>13257.3764488</v>
      </c>
      <c r="CW9" s="36">
        <f t="shared" si="57"/>
        <v>492.25816199999997</v>
      </c>
      <c r="CY9" s="5">
        <f aca="true" t="shared" si="88" ref="CY9:CY37">C9*$DA$6</f>
        <v>3696.5969999999998</v>
      </c>
      <c r="CZ9" s="5">
        <f t="shared" si="58"/>
        <v>1215.8842284</v>
      </c>
      <c r="DA9" s="5">
        <f t="shared" si="59"/>
        <v>4912.4812284</v>
      </c>
      <c r="DB9" s="36">
        <f t="shared" si="60"/>
        <v>182.404791</v>
      </c>
      <c r="DD9" s="5">
        <f aca="true" t="shared" si="89" ref="DD9:DD37">C9*$DF$6</f>
        <v>7627.6905</v>
      </c>
      <c r="DE9" s="5">
        <f t="shared" si="61"/>
        <v>2508.8990166</v>
      </c>
      <c r="DF9" s="5">
        <f t="shared" si="62"/>
        <v>10136.5895166</v>
      </c>
      <c r="DG9" s="36">
        <f t="shared" si="63"/>
        <v>376.3805715</v>
      </c>
      <c r="DI9" s="5">
        <f aca="true" t="shared" si="90" ref="DI9:DI37">C9*$DK$6</f>
        <v>56771.942500000005</v>
      </c>
      <c r="DJ9" s="36">
        <f t="shared" si="64"/>
        <v>18673.420311</v>
      </c>
      <c r="DK9" s="36">
        <f t="shared" si="65"/>
        <v>75445.362811</v>
      </c>
      <c r="DL9" s="36">
        <f t="shared" si="66"/>
        <v>2801.3533275</v>
      </c>
      <c r="DN9" s="5">
        <f aca="true" t="shared" si="91" ref="DN9:DN37">C9*$DP$6</f>
        <v>1852.6680000000001</v>
      </c>
      <c r="DO9" s="36">
        <f t="shared" si="67"/>
        <v>609.3793296</v>
      </c>
      <c r="DP9" s="36">
        <f t="shared" si="68"/>
        <v>2462.0473296</v>
      </c>
      <c r="DQ9" s="36">
        <f t="shared" si="69"/>
        <v>91.418004</v>
      </c>
    </row>
    <row r="10" spans="1:121" ht="12.75">
      <c r="A10" s="37">
        <v>43374</v>
      </c>
      <c r="D10" s="3">
        <v>1475531</v>
      </c>
      <c r="E10" s="35">
        <f t="shared" si="0"/>
        <v>1475531</v>
      </c>
      <c r="F10" s="35">
        <v>239565</v>
      </c>
      <c r="H10" s="47"/>
      <c r="I10" s="36">
        <f t="shared" si="1"/>
        <v>98919.00802759998</v>
      </c>
      <c r="J10" s="36">
        <f t="shared" si="2"/>
        <v>98919.00802759998</v>
      </c>
      <c r="K10" s="36">
        <f t="shared" si="3"/>
        <v>16060.341773999997</v>
      </c>
      <c r="N10" s="5">
        <f t="shared" si="4"/>
        <v>23853.1390398</v>
      </c>
      <c r="O10" s="5">
        <f t="shared" si="5"/>
        <v>23853.1390398</v>
      </c>
      <c r="P10" s="36">
        <f t="shared" si="6"/>
        <v>3872.7598770000004</v>
      </c>
      <c r="S10" s="5">
        <f t="shared" si="7"/>
        <v>117.30471449999999</v>
      </c>
      <c r="T10" s="5">
        <f t="shared" si="8"/>
        <v>117.30471449999999</v>
      </c>
      <c r="U10" s="36">
        <f t="shared" si="9"/>
        <v>19.0454175</v>
      </c>
      <c r="X10" s="5">
        <f t="shared" si="10"/>
        <v>131.91247140000002</v>
      </c>
      <c r="Y10" s="5">
        <f t="shared" si="11"/>
        <v>131.91247140000002</v>
      </c>
      <c r="Z10" s="36">
        <f t="shared" si="12"/>
        <v>21.417111000000002</v>
      </c>
      <c r="AC10" s="5">
        <f t="shared" si="13"/>
        <v>5627.5276809</v>
      </c>
      <c r="AD10" s="5">
        <f t="shared" si="14"/>
        <v>5627.5276809</v>
      </c>
      <c r="AE10" s="36">
        <f t="shared" si="15"/>
        <v>913.6769535</v>
      </c>
      <c r="AH10" s="5">
        <f t="shared" si="16"/>
        <v>1382.7201000999999</v>
      </c>
      <c r="AI10" s="5">
        <f t="shared" si="17"/>
        <v>1382.7201000999999</v>
      </c>
      <c r="AJ10" s="36">
        <f t="shared" si="18"/>
        <v>224.49636149999998</v>
      </c>
      <c r="AM10" s="5">
        <f t="shared" si="19"/>
        <v>1506.0744917</v>
      </c>
      <c r="AN10" s="5">
        <f t="shared" si="20"/>
        <v>1506.0744917</v>
      </c>
      <c r="AO10" s="36">
        <f t="shared" si="21"/>
        <v>244.5239955</v>
      </c>
      <c r="AR10" s="5">
        <f t="shared" si="22"/>
        <v>2426.2156233</v>
      </c>
      <c r="AS10" s="5">
        <f t="shared" si="23"/>
        <v>2426.2156233</v>
      </c>
      <c r="AT10" s="36">
        <f t="shared" si="24"/>
        <v>393.91672950000003</v>
      </c>
      <c r="AW10" s="5">
        <f t="shared" si="25"/>
        <v>13308.109195199999</v>
      </c>
      <c r="AX10" s="5">
        <f t="shared" si="26"/>
        <v>13308.109195199999</v>
      </c>
      <c r="AY10" s="36">
        <f t="shared" si="27"/>
        <v>2160.684648</v>
      </c>
      <c r="BB10" s="5">
        <f t="shared" si="28"/>
        <v>1217.0179688</v>
      </c>
      <c r="BC10" s="5">
        <f t="shared" si="29"/>
        <v>1217.0179688</v>
      </c>
      <c r="BD10" s="36">
        <f t="shared" si="30"/>
        <v>197.593212</v>
      </c>
      <c r="BG10" s="5">
        <f t="shared" si="31"/>
        <v>5590.3442997</v>
      </c>
      <c r="BH10" s="5">
        <f t="shared" si="32"/>
        <v>5590.3442997</v>
      </c>
      <c r="BI10" s="36">
        <f t="shared" si="33"/>
        <v>907.6399154999999</v>
      </c>
      <c r="BL10" s="5">
        <f t="shared" si="34"/>
        <v>382.3100821</v>
      </c>
      <c r="BM10" s="5">
        <f t="shared" si="35"/>
        <v>382.3100821</v>
      </c>
      <c r="BN10" s="36">
        <f t="shared" si="36"/>
        <v>62.0712915</v>
      </c>
      <c r="BQ10" s="5">
        <f t="shared" si="37"/>
        <v>5151.6689334</v>
      </c>
      <c r="BR10" s="5">
        <f t="shared" si="38"/>
        <v>5151.6689334</v>
      </c>
      <c r="BS10" s="36">
        <f t="shared" si="39"/>
        <v>836.417241</v>
      </c>
      <c r="BV10" s="5">
        <f t="shared" si="40"/>
        <v>63.3002799</v>
      </c>
      <c r="BW10" s="5">
        <f t="shared" si="41"/>
        <v>63.3002799</v>
      </c>
      <c r="BX10" s="36">
        <f t="shared" si="42"/>
        <v>10.277338499999999</v>
      </c>
      <c r="CA10" s="5">
        <f t="shared" si="43"/>
        <v>6906.960611</v>
      </c>
      <c r="CB10" s="5">
        <f t="shared" si="44"/>
        <v>6906.960611</v>
      </c>
      <c r="CC10" s="36">
        <f t="shared" si="45"/>
        <v>1121.403765</v>
      </c>
      <c r="CF10" s="5">
        <f t="shared" si="46"/>
        <v>812.5749217</v>
      </c>
      <c r="CG10" s="5">
        <f t="shared" si="47"/>
        <v>812.5749217</v>
      </c>
      <c r="CH10" s="36">
        <f t="shared" si="48"/>
        <v>131.9284455</v>
      </c>
      <c r="CK10" s="5">
        <f t="shared" si="49"/>
        <v>253.791332</v>
      </c>
      <c r="CL10" s="36">
        <f t="shared" si="50"/>
        <v>253.791332</v>
      </c>
      <c r="CM10" s="36">
        <f t="shared" si="51"/>
        <v>41.20518</v>
      </c>
      <c r="CP10" s="5">
        <f t="shared" si="52"/>
        <v>5897.2547477</v>
      </c>
      <c r="CQ10" s="36">
        <f t="shared" si="53"/>
        <v>5897.2547477</v>
      </c>
      <c r="CR10" s="36">
        <f t="shared" si="54"/>
        <v>957.4694354999999</v>
      </c>
      <c r="CU10" s="5">
        <f t="shared" si="55"/>
        <v>3031.9210988</v>
      </c>
      <c r="CV10" s="5">
        <f t="shared" si="56"/>
        <v>3031.9210988</v>
      </c>
      <c r="CW10" s="36">
        <f t="shared" si="57"/>
        <v>492.25816199999997</v>
      </c>
      <c r="CZ10" s="5">
        <f t="shared" si="58"/>
        <v>1123.4693034</v>
      </c>
      <c r="DA10" s="5">
        <f t="shared" si="59"/>
        <v>1123.4693034</v>
      </c>
      <c r="DB10" s="36">
        <f t="shared" si="60"/>
        <v>182.404791</v>
      </c>
      <c r="DE10" s="5">
        <f t="shared" si="61"/>
        <v>2318.2067541</v>
      </c>
      <c r="DF10" s="5">
        <f t="shared" si="62"/>
        <v>2318.2067541</v>
      </c>
      <c r="DG10" s="36">
        <f t="shared" si="63"/>
        <v>376.3805715</v>
      </c>
      <c r="DJ10" s="36">
        <f t="shared" si="64"/>
        <v>17254.1217485</v>
      </c>
      <c r="DK10" s="36">
        <f t="shared" si="65"/>
        <v>17254.1217485</v>
      </c>
      <c r="DL10" s="36">
        <f t="shared" si="66"/>
        <v>2801.3533275</v>
      </c>
      <c r="DO10" s="36">
        <f t="shared" si="67"/>
        <v>563.0626296</v>
      </c>
      <c r="DP10" s="36">
        <f t="shared" si="68"/>
        <v>563.0626296</v>
      </c>
      <c r="DQ10" s="36">
        <f t="shared" si="69"/>
        <v>91.418004</v>
      </c>
    </row>
    <row r="11" spans="1:121" ht="12.75">
      <c r="A11" s="37">
        <v>43556</v>
      </c>
      <c r="C11" s="3">
        <v>5100000</v>
      </c>
      <c r="D11" s="3">
        <v>1475531</v>
      </c>
      <c r="E11" s="35">
        <f t="shared" si="0"/>
        <v>6575531</v>
      </c>
      <c r="F11" s="35">
        <v>239565</v>
      </c>
      <c r="H11" s="47">
        <f>M11+R11+W11+AB11+AG11+AL11+AQ11+AV11+BA11+BF11+BK11+BP11+BU11+BZ11+CE11+CJ11+CO11+CT11+CY11+DD11+DI11+DN11</f>
        <v>341901.96</v>
      </c>
      <c r="I11" s="36">
        <f t="shared" si="1"/>
        <v>98919.00802759998</v>
      </c>
      <c r="J11" s="36">
        <f t="shared" si="2"/>
        <v>440820.96802759997</v>
      </c>
      <c r="K11" s="36">
        <f t="shared" si="3"/>
        <v>16060.341773999997</v>
      </c>
      <c r="M11" s="5">
        <f t="shared" si="70"/>
        <v>82445.58</v>
      </c>
      <c r="N11" s="5">
        <f t="shared" si="4"/>
        <v>23853.1390398</v>
      </c>
      <c r="O11" s="5">
        <f t="shared" si="5"/>
        <v>106298.7190398</v>
      </c>
      <c r="P11" s="36">
        <f t="shared" si="6"/>
        <v>3872.7598770000004</v>
      </c>
      <c r="R11" s="5">
        <f t="shared" si="71"/>
        <v>405.45</v>
      </c>
      <c r="S11" s="5">
        <f t="shared" si="7"/>
        <v>117.30471449999999</v>
      </c>
      <c r="T11" s="5">
        <f t="shared" si="8"/>
        <v>522.7547145</v>
      </c>
      <c r="U11" s="36">
        <f t="shared" si="9"/>
        <v>19.0454175</v>
      </c>
      <c r="W11" s="5">
        <f t="shared" si="72"/>
        <v>455.94</v>
      </c>
      <c r="X11" s="5">
        <f t="shared" si="10"/>
        <v>131.91247140000002</v>
      </c>
      <c r="Y11" s="5">
        <f t="shared" si="11"/>
        <v>587.8524714</v>
      </c>
      <c r="Z11" s="36">
        <f t="shared" si="12"/>
        <v>21.417111000000002</v>
      </c>
      <c r="AB11" s="5">
        <f t="shared" si="73"/>
        <v>19450.89</v>
      </c>
      <c r="AC11" s="5">
        <f t="shared" si="13"/>
        <v>5627.5276809</v>
      </c>
      <c r="AD11" s="5">
        <f t="shared" si="14"/>
        <v>25078.4176809</v>
      </c>
      <c r="AE11" s="36">
        <f t="shared" si="15"/>
        <v>913.6769535</v>
      </c>
      <c r="AG11" s="5">
        <f t="shared" si="74"/>
        <v>4779.21</v>
      </c>
      <c r="AH11" s="5">
        <f t="shared" si="16"/>
        <v>1382.7201000999999</v>
      </c>
      <c r="AI11" s="5">
        <f t="shared" si="17"/>
        <v>6161.9301001</v>
      </c>
      <c r="AJ11" s="36">
        <f t="shared" si="18"/>
        <v>224.49636149999998</v>
      </c>
      <c r="AL11" s="5">
        <f t="shared" si="75"/>
        <v>5205.570000000001</v>
      </c>
      <c r="AM11" s="5">
        <f t="shared" si="19"/>
        <v>1506.0744917</v>
      </c>
      <c r="AN11" s="5">
        <f t="shared" si="20"/>
        <v>6711.644491700001</v>
      </c>
      <c r="AO11" s="36">
        <f t="shared" si="21"/>
        <v>244.5239955</v>
      </c>
      <c r="AQ11" s="5">
        <f t="shared" si="76"/>
        <v>8385.93</v>
      </c>
      <c r="AR11" s="5">
        <f t="shared" si="22"/>
        <v>2426.2156233</v>
      </c>
      <c r="AS11" s="5">
        <f t="shared" si="23"/>
        <v>10812.1456233</v>
      </c>
      <c r="AT11" s="36">
        <f t="shared" si="24"/>
        <v>393.91672950000003</v>
      </c>
      <c r="AV11" s="5">
        <f t="shared" si="77"/>
        <v>45997.92</v>
      </c>
      <c r="AW11" s="5">
        <f t="shared" si="25"/>
        <v>13308.109195199999</v>
      </c>
      <c r="AX11" s="5">
        <f t="shared" si="26"/>
        <v>59306.0291952</v>
      </c>
      <c r="AY11" s="36">
        <f t="shared" si="27"/>
        <v>2160.684648</v>
      </c>
      <c r="BA11" s="5">
        <f t="shared" si="78"/>
        <v>4206.48</v>
      </c>
      <c r="BB11" s="5">
        <f t="shared" si="28"/>
        <v>1217.0179688</v>
      </c>
      <c r="BC11" s="5">
        <f t="shared" si="29"/>
        <v>5423.497968799999</v>
      </c>
      <c r="BD11" s="36">
        <f t="shared" si="30"/>
        <v>197.593212</v>
      </c>
      <c r="BF11" s="5">
        <f t="shared" si="79"/>
        <v>19322.37</v>
      </c>
      <c r="BG11" s="5">
        <f t="shared" si="31"/>
        <v>5590.3442997</v>
      </c>
      <c r="BH11" s="5">
        <f t="shared" si="32"/>
        <v>24912.714299699997</v>
      </c>
      <c r="BI11" s="36">
        <f t="shared" si="33"/>
        <v>907.6399154999999</v>
      </c>
      <c r="BK11" s="5">
        <f t="shared" si="80"/>
        <v>1321.41</v>
      </c>
      <c r="BL11" s="5">
        <f t="shared" si="34"/>
        <v>382.3100821</v>
      </c>
      <c r="BM11" s="5">
        <f t="shared" si="35"/>
        <v>1703.7200821000001</v>
      </c>
      <c r="BN11" s="36">
        <f t="shared" si="36"/>
        <v>62.0712915</v>
      </c>
      <c r="BP11" s="5">
        <f t="shared" si="81"/>
        <v>17806.14</v>
      </c>
      <c r="BQ11" s="5">
        <f t="shared" si="37"/>
        <v>5151.6689334</v>
      </c>
      <c r="BR11" s="5">
        <f t="shared" si="38"/>
        <v>22957.8089334</v>
      </c>
      <c r="BS11" s="36">
        <f t="shared" si="39"/>
        <v>836.417241</v>
      </c>
      <c r="BU11" s="5">
        <f t="shared" si="82"/>
        <v>218.79</v>
      </c>
      <c r="BV11" s="5">
        <f t="shared" si="40"/>
        <v>63.3002799</v>
      </c>
      <c r="BW11" s="5">
        <f t="shared" si="41"/>
        <v>282.0902799</v>
      </c>
      <c r="BX11" s="36">
        <f t="shared" si="42"/>
        <v>10.277338499999999</v>
      </c>
      <c r="BZ11" s="5">
        <f t="shared" si="83"/>
        <v>23873.100000000002</v>
      </c>
      <c r="CA11" s="5">
        <f t="shared" si="43"/>
        <v>6906.960611</v>
      </c>
      <c r="CB11" s="5">
        <f t="shared" si="44"/>
        <v>30780.060611</v>
      </c>
      <c r="CC11" s="36">
        <f t="shared" si="45"/>
        <v>1121.403765</v>
      </c>
      <c r="CE11" s="5">
        <f t="shared" si="84"/>
        <v>2808.57</v>
      </c>
      <c r="CF11" s="5">
        <f t="shared" si="46"/>
        <v>812.5749217</v>
      </c>
      <c r="CG11" s="5">
        <f t="shared" si="47"/>
        <v>3621.1449217</v>
      </c>
      <c r="CH11" s="36">
        <f t="shared" si="48"/>
        <v>131.9284455</v>
      </c>
      <c r="CJ11" s="5">
        <f t="shared" si="85"/>
        <v>877.2</v>
      </c>
      <c r="CK11" s="5">
        <f t="shared" si="49"/>
        <v>253.791332</v>
      </c>
      <c r="CL11" s="36">
        <f t="shared" si="50"/>
        <v>1130.991332</v>
      </c>
      <c r="CM11" s="36">
        <f t="shared" si="51"/>
        <v>41.20518</v>
      </c>
      <c r="CO11" s="5">
        <f t="shared" si="86"/>
        <v>20383.17</v>
      </c>
      <c r="CP11" s="5">
        <f t="shared" si="52"/>
        <v>5897.2547477</v>
      </c>
      <c r="CQ11" s="36">
        <f t="shared" si="53"/>
        <v>26280.4247477</v>
      </c>
      <c r="CR11" s="36">
        <f t="shared" si="54"/>
        <v>957.4694354999999</v>
      </c>
      <c r="CT11" s="5">
        <f t="shared" si="87"/>
        <v>10479.48</v>
      </c>
      <c r="CU11" s="5">
        <f t="shared" si="55"/>
        <v>3031.9210988</v>
      </c>
      <c r="CV11" s="5">
        <f t="shared" si="56"/>
        <v>13511.401098799999</v>
      </c>
      <c r="CW11" s="36">
        <f t="shared" si="57"/>
        <v>492.25816199999997</v>
      </c>
      <c r="CY11" s="5">
        <f t="shared" si="88"/>
        <v>3883.14</v>
      </c>
      <c r="CZ11" s="5">
        <f t="shared" si="58"/>
        <v>1123.4693034</v>
      </c>
      <c r="DA11" s="5">
        <f t="shared" si="59"/>
        <v>5006.6093034</v>
      </c>
      <c r="DB11" s="36">
        <f t="shared" si="60"/>
        <v>182.404791</v>
      </c>
      <c r="DD11" s="5">
        <f t="shared" si="89"/>
        <v>8012.61</v>
      </c>
      <c r="DE11" s="5">
        <f t="shared" si="61"/>
        <v>2318.2067541</v>
      </c>
      <c r="DF11" s="5">
        <f t="shared" si="62"/>
        <v>10330.8167541</v>
      </c>
      <c r="DG11" s="36">
        <f t="shared" si="63"/>
        <v>376.3805715</v>
      </c>
      <c r="DI11" s="5">
        <f t="shared" si="90"/>
        <v>59636.850000000006</v>
      </c>
      <c r="DJ11" s="36">
        <f t="shared" si="64"/>
        <v>17254.1217485</v>
      </c>
      <c r="DK11" s="36">
        <f t="shared" si="65"/>
        <v>76890.97174850001</v>
      </c>
      <c r="DL11" s="36">
        <f t="shared" si="66"/>
        <v>2801.3533275</v>
      </c>
      <c r="DN11" s="5">
        <f t="shared" si="91"/>
        <v>1946.16</v>
      </c>
      <c r="DO11" s="36">
        <f t="shared" si="67"/>
        <v>563.0626296</v>
      </c>
      <c r="DP11" s="36">
        <f t="shared" si="68"/>
        <v>2509.2226296</v>
      </c>
      <c r="DQ11" s="36">
        <f t="shared" si="69"/>
        <v>91.418004</v>
      </c>
    </row>
    <row r="12" spans="1:121" ht="12.75">
      <c r="A12" s="37">
        <v>43739</v>
      </c>
      <c r="D12" s="3">
        <v>1348031</v>
      </c>
      <c r="E12" s="35">
        <f t="shared" si="0"/>
        <v>1348031</v>
      </c>
      <c r="F12" s="35">
        <v>239565</v>
      </c>
      <c r="H12" s="47"/>
      <c r="I12" s="36">
        <f t="shared" si="1"/>
        <v>90371.45902760001</v>
      </c>
      <c r="J12" s="36">
        <f t="shared" si="2"/>
        <v>90371.45902760001</v>
      </c>
      <c r="K12" s="36">
        <f t="shared" si="3"/>
        <v>16060.341773999997</v>
      </c>
      <c r="N12" s="5">
        <f t="shared" si="4"/>
        <v>21791.999539800003</v>
      </c>
      <c r="O12" s="5">
        <f t="shared" si="5"/>
        <v>21791.999539800003</v>
      </c>
      <c r="P12" s="36">
        <f t="shared" si="6"/>
        <v>3872.7598770000004</v>
      </c>
      <c r="S12" s="5">
        <f t="shared" si="7"/>
        <v>107.1684645</v>
      </c>
      <c r="T12" s="5">
        <f t="shared" si="8"/>
        <v>107.1684645</v>
      </c>
      <c r="U12" s="36">
        <f t="shared" si="9"/>
        <v>19.0454175</v>
      </c>
      <c r="X12" s="5">
        <f t="shared" si="10"/>
        <v>120.5139714</v>
      </c>
      <c r="Y12" s="5">
        <f t="shared" si="11"/>
        <v>120.5139714</v>
      </c>
      <c r="Z12" s="36">
        <f t="shared" si="12"/>
        <v>21.417111000000002</v>
      </c>
      <c r="AC12" s="5">
        <f t="shared" si="13"/>
        <v>5141.2554309</v>
      </c>
      <c r="AD12" s="5">
        <f t="shared" si="14"/>
        <v>5141.2554309</v>
      </c>
      <c r="AE12" s="36">
        <f t="shared" si="15"/>
        <v>913.6769535</v>
      </c>
      <c r="AH12" s="5">
        <f t="shared" si="16"/>
        <v>1263.2398501</v>
      </c>
      <c r="AI12" s="5">
        <f t="shared" si="17"/>
        <v>1263.2398501</v>
      </c>
      <c r="AJ12" s="36">
        <f t="shared" si="18"/>
        <v>224.49636149999998</v>
      </c>
      <c r="AM12" s="5">
        <f t="shared" si="19"/>
        <v>1375.9352417</v>
      </c>
      <c r="AN12" s="5">
        <f t="shared" si="20"/>
        <v>1375.9352417</v>
      </c>
      <c r="AO12" s="36">
        <f t="shared" si="21"/>
        <v>244.5239955</v>
      </c>
      <c r="AR12" s="5">
        <f t="shared" si="22"/>
        <v>2216.5673733</v>
      </c>
      <c r="AS12" s="5">
        <f t="shared" si="23"/>
        <v>2216.5673733</v>
      </c>
      <c r="AT12" s="36">
        <f t="shared" si="24"/>
        <v>393.91672950000003</v>
      </c>
      <c r="AW12" s="5">
        <f t="shared" si="25"/>
        <v>12158.1611952</v>
      </c>
      <c r="AX12" s="5">
        <f t="shared" si="26"/>
        <v>12158.1611952</v>
      </c>
      <c r="AY12" s="36">
        <f t="shared" si="27"/>
        <v>2160.684648</v>
      </c>
      <c r="BB12" s="5">
        <f t="shared" si="28"/>
        <v>1111.8559688</v>
      </c>
      <c r="BC12" s="5">
        <f t="shared" si="29"/>
        <v>1111.8559688</v>
      </c>
      <c r="BD12" s="36">
        <f t="shared" si="30"/>
        <v>197.593212</v>
      </c>
      <c r="BG12" s="5">
        <f t="shared" si="31"/>
        <v>5107.2850497</v>
      </c>
      <c r="BH12" s="5">
        <f t="shared" si="32"/>
        <v>5107.2850497</v>
      </c>
      <c r="BI12" s="36">
        <f t="shared" si="33"/>
        <v>907.6399154999999</v>
      </c>
      <c r="BL12" s="5">
        <f t="shared" si="34"/>
        <v>349.2748321</v>
      </c>
      <c r="BM12" s="5">
        <f t="shared" si="35"/>
        <v>349.2748321</v>
      </c>
      <c r="BN12" s="36">
        <f t="shared" si="36"/>
        <v>62.0712915</v>
      </c>
      <c r="BQ12" s="5">
        <f t="shared" si="37"/>
        <v>4706.5154334</v>
      </c>
      <c r="BR12" s="5">
        <f t="shared" si="38"/>
        <v>4706.5154334</v>
      </c>
      <c r="BS12" s="36">
        <f t="shared" si="39"/>
        <v>836.417241</v>
      </c>
      <c r="BV12" s="5">
        <f t="shared" si="40"/>
        <v>57.8305299</v>
      </c>
      <c r="BW12" s="5">
        <f t="shared" si="41"/>
        <v>57.8305299</v>
      </c>
      <c r="BX12" s="36">
        <f t="shared" si="42"/>
        <v>10.277338499999999</v>
      </c>
      <c r="CA12" s="5">
        <f t="shared" si="43"/>
        <v>6310.133111</v>
      </c>
      <c r="CB12" s="5">
        <f t="shared" si="44"/>
        <v>6310.133111</v>
      </c>
      <c r="CC12" s="36">
        <f t="shared" si="45"/>
        <v>1121.403765</v>
      </c>
      <c r="CF12" s="5">
        <f t="shared" si="46"/>
        <v>742.3606717</v>
      </c>
      <c r="CG12" s="5">
        <f t="shared" si="47"/>
        <v>742.3606717</v>
      </c>
      <c r="CH12" s="36">
        <f t="shared" si="48"/>
        <v>131.9284455</v>
      </c>
      <c r="CK12" s="5">
        <f t="shared" si="49"/>
        <v>231.861332</v>
      </c>
      <c r="CL12" s="36">
        <f t="shared" si="50"/>
        <v>231.861332</v>
      </c>
      <c r="CM12" s="36">
        <f t="shared" si="51"/>
        <v>41.20518</v>
      </c>
      <c r="CP12" s="5">
        <f t="shared" si="52"/>
        <v>5387.6754977</v>
      </c>
      <c r="CQ12" s="36">
        <f t="shared" si="53"/>
        <v>5387.6754977</v>
      </c>
      <c r="CR12" s="36">
        <f t="shared" si="54"/>
        <v>957.4694354999999</v>
      </c>
      <c r="CU12" s="5">
        <f t="shared" si="55"/>
        <v>2769.9340988</v>
      </c>
      <c r="CV12" s="5">
        <f t="shared" si="56"/>
        <v>2769.9340988</v>
      </c>
      <c r="CW12" s="36">
        <f t="shared" si="57"/>
        <v>492.25816199999997</v>
      </c>
      <c r="CZ12" s="5">
        <f t="shared" si="58"/>
        <v>1026.3908033999999</v>
      </c>
      <c r="DA12" s="5">
        <f t="shared" si="59"/>
        <v>1026.3908033999999</v>
      </c>
      <c r="DB12" s="36">
        <f t="shared" si="60"/>
        <v>182.404791</v>
      </c>
      <c r="DE12" s="5">
        <f t="shared" si="61"/>
        <v>2117.8915041</v>
      </c>
      <c r="DF12" s="5">
        <f t="shared" si="62"/>
        <v>2117.8915041</v>
      </c>
      <c r="DG12" s="36">
        <f t="shared" si="63"/>
        <v>376.3805715</v>
      </c>
      <c r="DJ12" s="36">
        <f t="shared" si="64"/>
        <v>15763.2004985</v>
      </c>
      <c r="DK12" s="36">
        <f t="shared" si="65"/>
        <v>15763.2004985</v>
      </c>
      <c r="DL12" s="36">
        <f t="shared" si="66"/>
        <v>2801.3533275</v>
      </c>
      <c r="DO12" s="36">
        <f t="shared" si="67"/>
        <v>514.4086296</v>
      </c>
      <c r="DP12" s="36">
        <f t="shared" si="68"/>
        <v>514.4086296</v>
      </c>
      <c r="DQ12" s="36">
        <f t="shared" si="69"/>
        <v>91.418004</v>
      </c>
    </row>
    <row r="13" spans="1:121" ht="12.75">
      <c r="A13" s="37">
        <v>43922</v>
      </c>
      <c r="C13" s="3">
        <v>5355000</v>
      </c>
      <c r="D13" s="3">
        <v>1348031</v>
      </c>
      <c r="E13" s="35">
        <f t="shared" si="0"/>
        <v>6703031</v>
      </c>
      <c r="F13" s="35">
        <v>239565</v>
      </c>
      <c r="H13" s="47">
        <f>M13+R13+W13+AB13+AG13+AL13+AQ13+AV13+BA13+BF13+BK13+BP13+BU13+BZ13+CE13+CJ13+CO13+CT13+CY13+DD13+DI13+DN13</f>
        <v>358997.058</v>
      </c>
      <c r="I13" s="36">
        <f t="shared" si="1"/>
        <v>90371.45902760001</v>
      </c>
      <c r="J13" s="36">
        <f t="shared" si="2"/>
        <v>449368.5170276</v>
      </c>
      <c r="K13" s="36">
        <f t="shared" si="3"/>
        <v>16060.341773999997</v>
      </c>
      <c r="M13" s="5">
        <f t="shared" si="70"/>
        <v>86567.85900000001</v>
      </c>
      <c r="N13" s="5">
        <f t="shared" si="4"/>
        <v>21791.999539800003</v>
      </c>
      <c r="O13" s="5">
        <f t="shared" si="5"/>
        <v>108359.85853980001</v>
      </c>
      <c r="P13" s="36">
        <f t="shared" si="6"/>
        <v>3872.7598770000004</v>
      </c>
      <c r="R13" s="5">
        <f t="shared" si="71"/>
        <v>425.72249999999997</v>
      </c>
      <c r="S13" s="5">
        <f t="shared" si="7"/>
        <v>107.1684645</v>
      </c>
      <c r="T13" s="5">
        <f t="shared" si="8"/>
        <v>532.8909645</v>
      </c>
      <c r="U13" s="36">
        <f t="shared" si="9"/>
        <v>19.0454175</v>
      </c>
      <c r="W13" s="5">
        <f t="shared" si="72"/>
        <v>478.737</v>
      </c>
      <c r="X13" s="5">
        <f t="shared" si="10"/>
        <v>120.5139714</v>
      </c>
      <c r="Y13" s="5">
        <f t="shared" si="11"/>
        <v>599.2509714</v>
      </c>
      <c r="Z13" s="36">
        <f t="shared" si="12"/>
        <v>21.417111000000002</v>
      </c>
      <c r="AB13" s="5">
        <f t="shared" si="73"/>
        <v>20423.4345</v>
      </c>
      <c r="AC13" s="5">
        <f t="shared" si="13"/>
        <v>5141.2554309</v>
      </c>
      <c r="AD13" s="5">
        <f t="shared" si="14"/>
        <v>25564.6899309</v>
      </c>
      <c r="AE13" s="36">
        <f t="shared" si="15"/>
        <v>913.6769535</v>
      </c>
      <c r="AG13" s="5">
        <f t="shared" si="74"/>
        <v>5018.1705</v>
      </c>
      <c r="AH13" s="5">
        <f t="shared" si="16"/>
        <v>1263.2398501</v>
      </c>
      <c r="AI13" s="5">
        <f t="shared" si="17"/>
        <v>6281.4103501</v>
      </c>
      <c r="AJ13" s="36">
        <f t="shared" si="18"/>
        <v>224.49636149999998</v>
      </c>
      <c r="AL13" s="5">
        <f t="shared" si="75"/>
        <v>5465.8485</v>
      </c>
      <c r="AM13" s="5">
        <f t="shared" si="19"/>
        <v>1375.9352417</v>
      </c>
      <c r="AN13" s="5">
        <f t="shared" si="20"/>
        <v>6841.7837417</v>
      </c>
      <c r="AO13" s="36">
        <f t="shared" si="21"/>
        <v>244.5239955</v>
      </c>
      <c r="AQ13" s="5">
        <f t="shared" si="76"/>
        <v>8805.2265</v>
      </c>
      <c r="AR13" s="5">
        <f t="shared" si="22"/>
        <v>2216.5673733</v>
      </c>
      <c r="AS13" s="5">
        <f t="shared" si="23"/>
        <v>11021.793873300001</v>
      </c>
      <c r="AT13" s="36">
        <f t="shared" si="24"/>
        <v>393.91672950000003</v>
      </c>
      <c r="AV13" s="5">
        <f t="shared" si="77"/>
        <v>48297.816</v>
      </c>
      <c r="AW13" s="5">
        <f t="shared" si="25"/>
        <v>12158.1611952</v>
      </c>
      <c r="AX13" s="5">
        <f t="shared" si="26"/>
        <v>60455.9771952</v>
      </c>
      <c r="AY13" s="36">
        <f t="shared" si="27"/>
        <v>2160.684648</v>
      </c>
      <c r="BA13" s="5">
        <f t="shared" si="78"/>
        <v>4416.804</v>
      </c>
      <c r="BB13" s="5">
        <f t="shared" si="28"/>
        <v>1111.8559688</v>
      </c>
      <c r="BC13" s="5">
        <f t="shared" si="29"/>
        <v>5528.659968800001</v>
      </c>
      <c r="BD13" s="36">
        <f t="shared" si="30"/>
        <v>197.593212</v>
      </c>
      <c r="BF13" s="5">
        <f t="shared" si="79"/>
        <v>20288.4885</v>
      </c>
      <c r="BG13" s="5">
        <f t="shared" si="31"/>
        <v>5107.2850497</v>
      </c>
      <c r="BH13" s="5">
        <f t="shared" si="32"/>
        <v>25395.7735497</v>
      </c>
      <c r="BI13" s="36">
        <f t="shared" si="33"/>
        <v>907.6399154999999</v>
      </c>
      <c r="BK13" s="5">
        <f t="shared" si="80"/>
        <v>1387.4805000000001</v>
      </c>
      <c r="BL13" s="5">
        <f t="shared" si="34"/>
        <v>349.2748321</v>
      </c>
      <c r="BM13" s="5">
        <f t="shared" si="35"/>
        <v>1736.7553321</v>
      </c>
      <c r="BN13" s="36">
        <f t="shared" si="36"/>
        <v>62.0712915</v>
      </c>
      <c r="BP13" s="5">
        <f t="shared" si="81"/>
        <v>18696.447</v>
      </c>
      <c r="BQ13" s="5">
        <f t="shared" si="37"/>
        <v>4706.5154334</v>
      </c>
      <c r="BR13" s="5">
        <f t="shared" si="38"/>
        <v>23402.9624334</v>
      </c>
      <c r="BS13" s="36">
        <f t="shared" si="39"/>
        <v>836.417241</v>
      </c>
      <c r="BU13" s="5">
        <f t="shared" si="82"/>
        <v>229.7295</v>
      </c>
      <c r="BV13" s="5">
        <f t="shared" si="40"/>
        <v>57.8305299</v>
      </c>
      <c r="BW13" s="5">
        <f t="shared" si="41"/>
        <v>287.5600299</v>
      </c>
      <c r="BX13" s="36">
        <f t="shared" si="42"/>
        <v>10.277338499999999</v>
      </c>
      <c r="BZ13" s="5">
        <f t="shared" si="83"/>
        <v>25066.755</v>
      </c>
      <c r="CA13" s="5">
        <f t="shared" si="43"/>
        <v>6310.133111</v>
      </c>
      <c r="CB13" s="5">
        <f t="shared" si="44"/>
        <v>31376.888111</v>
      </c>
      <c r="CC13" s="36">
        <f t="shared" si="45"/>
        <v>1121.403765</v>
      </c>
      <c r="CE13" s="5">
        <f t="shared" si="84"/>
        <v>2948.9985</v>
      </c>
      <c r="CF13" s="5">
        <f t="shared" si="46"/>
        <v>742.3606717</v>
      </c>
      <c r="CG13" s="5">
        <f t="shared" si="47"/>
        <v>3691.3591717</v>
      </c>
      <c r="CH13" s="36">
        <f t="shared" si="48"/>
        <v>131.9284455</v>
      </c>
      <c r="CJ13" s="5">
        <f t="shared" si="85"/>
        <v>921.0600000000001</v>
      </c>
      <c r="CK13" s="5">
        <f t="shared" si="49"/>
        <v>231.861332</v>
      </c>
      <c r="CL13" s="36">
        <f t="shared" si="50"/>
        <v>1152.9213320000001</v>
      </c>
      <c r="CM13" s="36">
        <f t="shared" si="51"/>
        <v>41.20518</v>
      </c>
      <c r="CO13" s="5">
        <f t="shared" si="86"/>
        <v>21402.3285</v>
      </c>
      <c r="CP13" s="5">
        <f t="shared" si="52"/>
        <v>5387.6754977</v>
      </c>
      <c r="CQ13" s="36">
        <f t="shared" si="53"/>
        <v>26790.003997699998</v>
      </c>
      <c r="CR13" s="36">
        <f t="shared" si="54"/>
        <v>957.4694354999999</v>
      </c>
      <c r="CT13" s="5">
        <f t="shared" si="87"/>
        <v>11003.454</v>
      </c>
      <c r="CU13" s="5">
        <f t="shared" si="55"/>
        <v>2769.9340988</v>
      </c>
      <c r="CV13" s="5">
        <f t="shared" si="56"/>
        <v>13773.3880988</v>
      </c>
      <c r="CW13" s="36">
        <f t="shared" si="57"/>
        <v>492.25816199999997</v>
      </c>
      <c r="CY13" s="5">
        <f t="shared" si="88"/>
        <v>4077.297</v>
      </c>
      <c r="CZ13" s="5">
        <f t="shared" si="58"/>
        <v>1026.3908033999999</v>
      </c>
      <c r="DA13" s="5">
        <f t="shared" si="59"/>
        <v>5103.6878034</v>
      </c>
      <c r="DB13" s="36">
        <f t="shared" si="60"/>
        <v>182.404791</v>
      </c>
      <c r="DD13" s="5">
        <f t="shared" si="89"/>
        <v>8413.2405</v>
      </c>
      <c r="DE13" s="5">
        <f t="shared" si="61"/>
        <v>2117.8915041</v>
      </c>
      <c r="DF13" s="5">
        <f t="shared" si="62"/>
        <v>10531.1320041</v>
      </c>
      <c r="DG13" s="36">
        <f t="shared" si="63"/>
        <v>376.3805715</v>
      </c>
      <c r="DI13" s="5">
        <f t="shared" si="90"/>
        <v>62618.692500000005</v>
      </c>
      <c r="DJ13" s="36">
        <f t="shared" si="64"/>
        <v>15763.2004985</v>
      </c>
      <c r="DK13" s="36">
        <f t="shared" si="65"/>
        <v>78381.8929985</v>
      </c>
      <c r="DL13" s="36">
        <f t="shared" si="66"/>
        <v>2801.3533275</v>
      </c>
      <c r="DN13" s="5">
        <f t="shared" si="91"/>
        <v>2043.468</v>
      </c>
      <c r="DO13" s="36">
        <f t="shared" si="67"/>
        <v>514.4086296</v>
      </c>
      <c r="DP13" s="36">
        <f t="shared" si="68"/>
        <v>2557.8766296000003</v>
      </c>
      <c r="DQ13" s="36">
        <f t="shared" si="69"/>
        <v>91.418004</v>
      </c>
    </row>
    <row r="14" spans="1:121" ht="12.75">
      <c r="A14" s="37">
        <v>44105</v>
      </c>
      <c r="D14" s="3">
        <v>1214156</v>
      </c>
      <c r="E14" s="35">
        <f t="shared" si="0"/>
        <v>1214156</v>
      </c>
      <c r="F14" s="35">
        <v>239565</v>
      </c>
      <c r="H14" s="47"/>
      <c r="I14" s="36">
        <f t="shared" si="1"/>
        <v>81396.53257760001</v>
      </c>
      <c r="J14" s="36">
        <f t="shared" si="2"/>
        <v>81396.53257760001</v>
      </c>
      <c r="K14" s="36">
        <f t="shared" si="3"/>
        <v>16060.341773999997</v>
      </c>
      <c r="N14" s="5">
        <f t="shared" si="4"/>
        <v>19627.803064800002</v>
      </c>
      <c r="O14" s="5">
        <f t="shared" si="5"/>
        <v>19627.803064800002</v>
      </c>
      <c r="P14" s="36">
        <f t="shared" si="6"/>
        <v>3872.7598770000004</v>
      </c>
      <c r="S14" s="5">
        <f t="shared" si="7"/>
        <v>96.525402</v>
      </c>
      <c r="T14" s="5">
        <f t="shared" si="8"/>
        <v>96.525402</v>
      </c>
      <c r="U14" s="36">
        <f t="shared" si="9"/>
        <v>19.0454175</v>
      </c>
      <c r="X14" s="5">
        <f t="shared" si="10"/>
        <v>108.5455464</v>
      </c>
      <c r="Y14" s="5">
        <f t="shared" si="11"/>
        <v>108.5455464</v>
      </c>
      <c r="Z14" s="36">
        <f t="shared" si="12"/>
        <v>21.417111000000002</v>
      </c>
      <c r="AC14" s="5">
        <f t="shared" si="13"/>
        <v>4630.6695684</v>
      </c>
      <c r="AD14" s="5">
        <f t="shared" si="14"/>
        <v>4630.6695684</v>
      </c>
      <c r="AE14" s="36">
        <f t="shared" si="15"/>
        <v>913.6769535</v>
      </c>
      <c r="AH14" s="5">
        <f t="shared" si="16"/>
        <v>1137.7855875999999</v>
      </c>
      <c r="AI14" s="5">
        <f t="shared" si="17"/>
        <v>1137.7855875999999</v>
      </c>
      <c r="AJ14" s="36">
        <f t="shared" si="18"/>
        <v>224.49636149999998</v>
      </c>
      <c r="AM14" s="5">
        <f t="shared" si="19"/>
        <v>1239.2890292</v>
      </c>
      <c r="AN14" s="5">
        <f t="shared" si="20"/>
        <v>1239.2890292</v>
      </c>
      <c r="AO14" s="36">
        <f t="shared" si="21"/>
        <v>244.5239955</v>
      </c>
      <c r="AR14" s="5">
        <f t="shared" si="22"/>
        <v>1996.4367108000001</v>
      </c>
      <c r="AS14" s="5">
        <f t="shared" si="23"/>
        <v>1996.4367108000001</v>
      </c>
      <c r="AT14" s="36">
        <f t="shared" si="24"/>
        <v>393.91672950000003</v>
      </c>
      <c r="AW14" s="5">
        <f t="shared" si="25"/>
        <v>10950.7157952</v>
      </c>
      <c r="AX14" s="5">
        <f t="shared" si="26"/>
        <v>10950.7157952</v>
      </c>
      <c r="AY14" s="36">
        <f t="shared" si="27"/>
        <v>2160.684648</v>
      </c>
      <c r="BB14" s="5">
        <f t="shared" si="28"/>
        <v>1001.4358688</v>
      </c>
      <c r="BC14" s="5">
        <f t="shared" si="29"/>
        <v>1001.4358688</v>
      </c>
      <c r="BD14" s="36">
        <f t="shared" si="30"/>
        <v>197.593212</v>
      </c>
      <c r="BG14" s="5">
        <f t="shared" si="31"/>
        <v>4600.072837199999</v>
      </c>
      <c r="BH14" s="5">
        <f t="shared" si="32"/>
        <v>4600.072837199999</v>
      </c>
      <c r="BI14" s="36">
        <f t="shared" si="33"/>
        <v>907.6399154999999</v>
      </c>
      <c r="BL14" s="5">
        <f t="shared" si="34"/>
        <v>314.5878196</v>
      </c>
      <c r="BM14" s="5">
        <f t="shared" si="35"/>
        <v>314.5878196</v>
      </c>
      <c r="BN14" s="36">
        <f t="shared" si="36"/>
        <v>62.0712915</v>
      </c>
      <c r="BQ14" s="5">
        <f t="shared" si="37"/>
        <v>4239.1042584</v>
      </c>
      <c r="BR14" s="5">
        <f t="shared" si="38"/>
        <v>4239.1042584</v>
      </c>
      <c r="BS14" s="36">
        <f t="shared" si="39"/>
        <v>836.417241</v>
      </c>
      <c r="BV14" s="5">
        <f t="shared" si="40"/>
        <v>52.0872924</v>
      </c>
      <c r="BW14" s="5">
        <f t="shared" si="41"/>
        <v>52.0872924</v>
      </c>
      <c r="BX14" s="36">
        <f t="shared" si="42"/>
        <v>10.277338499999999</v>
      </c>
      <c r="CA14" s="5">
        <f t="shared" si="43"/>
        <v>5683.464236000001</v>
      </c>
      <c r="CB14" s="5">
        <f t="shared" si="44"/>
        <v>5683.464236000001</v>
      </c>
      <c r="CC14" s="36">
        <f t="shared" si="45"/>
        <v>1121.403765</v>
      </c>
      <c r="CF14" s="5">
        <f t="shared" si="46"/>
        <v>668.6357092</v>
      </c>
      <c r="CG14" s="5">
        <f t="shared" si="47"/>
        <v>668.6357092</v>
      </c>
      <c r="CH14" s="36">
        <f t="shared" si="48"/>
        <v>131.9284455</v>
      </c>
      <c r="CK14" s="5">
        <f t="shared" si="49"/>
        <v>208.834832</v>
      </c>
      <c r="CL14" s="36">
        <f t="shared" si="50"/>
        <v>208.834832</v>
      </c>
      <c r="CM14" s="36">
        <f t="shared" si="51"/>
        <v>41.20518</v>
      </c>
      <c r="CP14" s="5">
        <f t="shared" si="52"/>
        <v>4852.6172852</v>
      </c>
      <c r="CQ14" s="36">
        <f t="shared" si="53"/>
        <v>4852.6172852</v>
      </c>
      <c r="CR14" s="36">
        <f t="shared" si="54"/>
        <v>957.4694354999999</v>
      </c>
      <c r="CU14" s="5">
        <f t="shared" si="55"/>
        <v>2494.8477488</v>
      </c>
      <c r="CV14" s="5">
        <f t="shared" si="56"/>
        <v>2494.8477488</v>
      </c>
      <c r="CW14" s="36">
        <f t="shared" si="57"/>
        <v>492.25816199999997</v>
      </c>
      <c r="CZ14" s="5">
        <f t="shared" si="58"/>
        <v>924.4583784</v>
      </c>
      <c r="DA14" s="5">
        <f t="shared" si="59"/>
        <v>924.4583784</v>
      </c>
      <c r="DB14" s="36">
        <f t="shared" si="60"/>
        <v>182.404791</v>
      </c>
      <c r="DE14" s="5">
        <f t="shared" si="61"/>
        <v>1907.5604916</v>
      </c>
      <c r="DF14" s="5">
        <f t="shared" si="62"/>
        <v>1907.5604916</v>
      </c>
      <c r="DG14" s="36">
        <f t="shared" si="63"/>
        <v>376.3805715</v>
      </c>
      <c r="DJ14" s="36">
        <f t="shared" si="64"/>
        <v>14197.733186000001</v>
      </c>
      <c r="DK14" s="36">
        <f t="shared" si="65"/>
        <v>14197.733186000001</v>
      </c>
      <c r="DL14" s="36">
        <f t="shared" si="66"/>
        <v>2801.3533275</v>
      </c>
      <c r="DO14" s="36">
        <f t="shared" si="67"/>
        <v>463.32192960000003</v>
      </c>
      <c r="DP14" s="36">
        <f t="shared" si="68"/>
        <v>463.32192960000003</v>
      </c>
      <c r="DQ14" s="36">
        <f t="shared" si="69"/>
        <v>91.418004</v>
      </c>
    </row>
    <row r="15" spans="1:121" ht="12.75">
      <c r="A15" s="37">
        <v>44287</v>
      </c>
      <c r="C15" s="3">
        <v>5620000</v>
      </c>
      <c r="D15" s="3">
        <v>1214156</v>
      </c>
      <c r="E15" s="35">
        <f t="shared" si="0"/>
        <v>6834156</v>
      </c>
      <c r="F15" s="35">
        <v>239565</v>
      </c>
      <c r="H15" s="47">
        <f>M15+R15+W15+AB15+AG15+AL15+AQ15+AV15+BA15+BF15+BK15+BP15+BU15+BZ15+CE15+CJ15+CO15+CT15+CY15+DD15+DI15+DN15</f>
        <v>376762.5520000001</v>
      </c>
      <c r="I15" s="36">
        <f t="shared" si="1"/>
        <v>81396.53257760001</v>
      </c>
      <c r="J15" s="36">
        <f t="shared" si="2"/>
        <v>458159.0845776001</v>
      </c>
      <c r="K15" s="36">
        <f t="shared" si="3"/>
        <v>16060.341773999997</v>
      </c>
      <c r="M15" s="5">
        <f t="shared" si="70"/>
        <v>90851.796</v>
      </c>
      <c r="N15" s="5">
        <f t="shared" si="4"/>
        <v>19627.803064800002</v>
      </c>
      <c r="O15" s="5">
        <f t="shared" si="5"/>
        <v>110479.5990648</v>
      </c>
      <c r="P15" s="36">
        <f t="shared" si="6"/>
        <v>3872.7598770000004</v>
      </c>
      <c r="R15" s="5">
        <f t="shared" si="71"/>
        <v>446.78999999999996</v>
      </c>
      <c r="S15" s="5">
        <f t="shared" si="7"/>
        <v>96.525402</v>
      </c>
      <c r="T15" s="5">
        <f t="shared" si="8"/>
        <v>543.315402</v>
      </c>
      <c r="U15" s="36">
        <f t="shared" si="9"/>
        <v>19.0454175</v>
      </c>
      <c r="W15" s="5">
        <f t="shared" si="72"/>
        <v>502.42800000000005</v>
      </c>
      <c r="X15" s="5">
        <f t="shared" si="10"/>
        <v>108.5455464</v>
      </c>
      <c r="Y15" s="5">
        <f t="shared" si="11"/>
        <v>610.9735464</v>
      </c>
      <c r="Z15" s="36">
        <f t="shared" si="12"/>
        <v>21.417111000000002</v>
      </c>
      <c r="AB15" s="5">
        <f t="shared" si="73"/>
        <v>21434.118</v>
      </c>
      <c r="AC15" s="5">
        <f t="shared" si="13"/>
        <v>4630.6695684</v>
      </c>
      <c r="AD15" s="5">
        <f t="shared" si="14"/>
        <v>26064.7875684</v>
      </c>
      <c r="AE15" s="36">
        <f t="shared" si="15"/>
        <v>913.6769535</v>
      </c>
      <c r="AG15" s="5">
        <f t="shared" si="74"/>
        <v>5266.5019999999995</v>
      </c>
      <c r="AH15" s="5">
        <f t="shared" si="16"/>
        <v>1137.7855875999999</v>
      </c>
      <c r="AI15" s="5">
        <f t="shared" si="17"/>
        <v>6404.2875876</v>
      </c>
      <c r="AJ15" s="36">
        <f t="shared" si="18"/>
        <v>224.49636149999998</v>
      </c>
      <c r="AL15" s="5">
        <f t="shared" si="75"/>
        <v>5736.334</v>
      </c>
      <c r="AM15" s="5">
        <f t="shared" si="19"/>
        <v>1239.2890292</v>
      </c>
      <c r="AN15" s="5">
        <f t="shared" si="20"/>
        <v>6975.6230292</v>
      </c>
      <c r="AO15" s="36">
        <f t="shared" si="21"/>
        <v>244.5239955</v>
      </c>
      <c r="AQ15" s="5">
        <f t="shared" si="76"/>
        <v>9240.966</v>
      </c>
      <c r="AR15" s="5">
        <f t="shared" si="22"/>
        <v>1996.4367108000001</v>
      </c>
      <c r="AS15" s="5">
        <f t="shared" si="23"/>
        <v>11237.402710800001</v>
      </c>
      <c r="AT15" s="36">
        <f t="shared" si="24"/>
        <v>393.91672950000003</v>
      </c>
      <c r="AV15" s="5">
        <f t="shared" si="77"/>
        <v>50687.904</v>
      </c>
      <c r="AW15" s="5">
        <f t="shared" si="25"/>
        <v>10950.7157952</v>
      </c>
      <c r="AX15" s="5">
        <f t="shared" si="26"/>
        <v>61638.6197952</v>
      </c>
      <c r="AY15" s="36">
        <f t="shared" si="27"/>
        <v>2160.684648</v>
      </c>
      <c r="BA15" s="5">
        <f t="shared" si="78"/>
        <v>4635.376</v>
      </c>
      <c r="BB15" s="5">
        <f t="shared" si="28"/>
        <v>1001.4358688</v>
      </c>
      <c r="BC15" s="5">
        <f t="shared" si="29"/>
        <v>5636.8118688</v>
      </c>
      <c r="BD15" s="36">
        <f t="shared" si="30"/>
        <v>197.593212</v>
      </c>
      <c r="BF15" s="5">
        <f t="shared" si="79"/>
        <v>21292.494</v>
      </c>
      <c r="BG15" s="5">
        <f t="shared" si="31"/>
        <v>4600.072837199999</v>
      </c>
      <c r="BH15" s="5">
        <f t="shared" si="32"/>
        <v>25892.5668372</v>
      </c>
      <c r="BI15" s="36">
        <f t="shared" si="33"/>
        <v>907.6399154999999</v>
      </c>
      <c r="BK15" s="5">
        <f t="shared" si="80"/>
        <v>1456.142</v>
      </c>
      <c r="BL15" s="5">
        <f t="shared" si="34"/>
        <v>314.5878196</v>
      </c>
      <c r="BM15" s="5">
        <f t="shared" si="35"/>
        <v>1770.7298196000002</v>
      </c>
      <c r="BN15" s="36">
        <f t="shared" si="36"/>
        <v>62.0712915</v>
      </c>
      <c r="BP15" s="5">
        <f t="shared" si="81"/>
        <v>19621.668</v>
      </c>
      <c r="BQ15" s="5">
        <f t="shared" si="37"/>
        <v>4239.1042584</v>
      </c>
      <c r="BR15" s="5">
        <f t="shared" si="38"/>
        <v>23860.7722584</v>
      </c>
      <c r="BS15" s="36">
        <f t="shared" si="39"/>
        <v>836.417241</v>
      </c>
      <c r="BU15" s="5">
        <f t="shared" si="82"/>
        <v>241.09799999999998</v>
      </c>
      <c r="BV15" s="5">
        <f t="shared" si="40"/>
        <v>52.0872924</v>
      </c>
      <c r="BW15" s="5">
        <f t="shared" si="41"/>
        <v>293.1852924</v>
      </c>
      <c r="BX15" s="36">
        <f t="shared" si="42"/>
        <v>10.277338499999999</v>
      </c>
      <c r="BZ15" s="5">
        <f t="shared" si="83"/>
        <v>26307.22</v>
      </c>
      <c r="CA15" s="5">
        <f t="shared" si="43"/>
        <v>5683.464236000001</v>
      </c>
      <c r="CB15" s="5">
        <f t="shared" si="44"/>
        <v>31990.684236</v>
      </c>
      <c r="CC15" s="36">
        <f t="shared" si="45"/>
        <v>1121.403765</v>
      </c>
      <c r="CE15" s="5">
        <f t="shared" si="84"/>
        <v>3094.934</v>
      </c>
      <c r="CF15" s="5">
        <f t="shared" si="46"/>
        <v>668.6357092</v>
      </c>
      <c r="CG15" s="5">
        <f t="shared" si="47"/>
        <v>3763.5697092</v>
      </c>
      <c r="CH15" s="36">
        <f t="shared" si="48"/>
        <v>131.9284455</v>
      </c>
      <c r="CJ15" s="5">
        <f t="shared" si="85"/>
        <v>966.64</v>
      </c>
      <c r="CK15" s="5">
        <f t="shared" si="49"/>
        <v>208.834832</v>
      </c>
      <c r="CL15" s="36">
        <f t="shared" si="50"/>
        <v>1175.4748319999999</v>
      </c>
      <c r="CM15" s="36">
        <f t="shared" si="51"/>
        <v>41.20518</v>
      </c>
      <c r="CO15" s="5">
        <f t="shared" si="86"/>
        <v>22461.453999999998</v>
      </c>
      <c r="CP15" s="5">
        <f t="shared" si="52"/>
        <v>4852.6172852</v>
      </c>
      <c r="CQ15" s="36">
        <f t="shared" si="53"/>
        <v>27314.0712852</v>
      </c>
      <c r="CR15" s="36">
        <f t="shared" si="54"/>
        <v>957.4694354999999</v>
      </c>
      <c r="CT15" s="5">
        <f t="shared" si="87"/>
        <v>11547.975999999999</v>
      </c>
      <c r="CU15" s="5">
        <f t="shared" si="55"/>
        <v>2494.8477488</v>
      </c>
      <c r="CV15" s="5">
        <f t="shared" si="56"/>
        <v>14042.823748799998</v>
      </c>
      <c r="CW15" s="36">
        <f t="shared" si="57"/>
        <v>492.25816199999997</v>
      </c>
      <c r="CY15" s="5">
        <f t="shared" si="88"/>
        <v>4279.068</v>
      </c>
      <c r="CZ15" s="5">
        <f t="shared" si="58"/>
        <v>924.4583784</v>
      </c>
      <c r="DA15" s="5">
        <f t="shared" si="59"/>
        <v>5203.5263784</v>
      </c>
      <c r="DB15" s="36">
        <f t="shared" si="60"/>
        <v>182.404791</v>
      </c>
      <c r="DD15" s="5">
        <f t="shared" si="89"/>
        <v>8829.582</v>
      </c>
      <c r="DE15" s="5">
        <f t="shared" si="61"/>
        <v>1907.5604916</v>
      </c>
      <c r="DF15" s="5">
        <f t="shared" si="62"/>
        <v>10737.1424916</v>
      </c>
      <c r="DG15" s="36">
        <f t="shared" si="63"/>
        <v>376.3805715</v>
      </c>
      <c r="DI15" s="5">
        <f t="shared" si="90"/>
        <v>65717.47</v>
      </c>
      <c r="DJ15" s="36">
        <f t="shared" si="64"/>
        <v>14197.733186000001</v>
      </c>
      <c r="DK15" s="36">
        <f t="shared" si="65"/>
        <v>79915.203186</v>
      </c>
      <c r="DL15" s="36">
        <f t="shared" si="66"/>
        <v>2801.3533275</v>
      </c>
      <c r="DN15" s="5">
        <f t="shared" si="91"/>
        <v>2144.592</v>
      </c>
      <c r="DO15" s="36">
        <f t="shared" si="67"/>
        <v>463.32192960000003</v>
      </c>
      <c r="DP15" s="36">
        <f t="shared" si="68"/>
        <v>2607.9139296000003</v>
      </c>
      <c r="DQ15" s="36">
        <f t="shared" si="69"/>
        <v>91.418004</v>
      </c>
    </row>
    <row r="16" spans="1:121" ht="12.75">
      <c r="A16" s="37">
        <v>44470</v>
      </c>
      <c r="D16" s="3">
        <v>1073656</v>
      </c>
      <c r="E16" s="35">
        <f t="shared" si="0"/>
        <v>1073656</v>
      </c>
      <c r="F16" s="35">
        <v>239565</v>
      </c>
      <c r="H16" s="47"/>
      <c r="I16" s="36">
        <f t="shared" si="1"/>
        <v>71977.4687776</v>
      </c>
      <c r="J16" s="36">
        <f t="shared" si="2"/>
        <v>71977.4687776</v>
      </c>
      <c r="K16" s="36">
        <f t="shared" si="3"/>
        <v>16060.341773999997</v>
      </c>
      <c r="N16" s="5">
        <f t="shared" si="4"/>
        <v>17356.5081648</v>
      </c>
      <c r="O16" s="5">
        <f t="shared" si="5"/>
        <v>17356.5081648</v>
      </c>
      <c r="P16" s="36">
        <f t="shared" si="6"/>
        <v>3872.7598770000004</v>
      </c>
      <c r="S16" s="5">
        <f t="shared" si="7"/>
        <v>85.35565199999999</v>
      </c>
      <c r="T16" s="5">
        <f t="shared" si="8"/>
        <v>85.35565199999999</v>
      </c>
      <c r="U16" s="36">
        <f t="shared" si="9"/>
        <v>19.0454175</v>
      </c>
      <c r="X16" s="5">
        <f t="shared" si="10"/>
        <v>95.98484640000001</v>
      </c>
      <c r="Y16" s="5">
        <f t="shared" si="11"/>
        <v>95.98484640000001</v>
      </c>
      <c r="Z16" s="36">
        <f t="shared" si="12"/>
        <v>21.417111000000002</v>
      </c>
      <c r="AC16" s="5">
        <f t="shared" si="13"/>
        <v>4094.8166183999997</v>
      </c>
      <c r="AD16" s="5">
        <f t="shared" si="14"/>
        <v>4094.8166183999997</v>
      </c>
      <c r="AE16" s="36">
        <f t="shared" si="15"/>
        <v>913.6769535</v>
      </c>
      <c r="AH16" s="5">
        <f t="shared" si="16"/>
        <v>1006.1230376</v>
      </c>
      <c r="AI16" s="5">
        <f t="shared" si="17"/>
        <v>1006.1230376</v>
      </c>
      <c r="AJ16" s="36">
        <f t="shared" si="18"/>
        <v>224.49636149999998</v>
      </c>
      <c r="AM16" s="5">
        <f t="shared" si="19"/>
        <v>1095.8806792</v>
      </c>
      <c r="AN16" s="5">
        <f t="shared" si="20"/>
        <v>1095.8806792</v>
      </c>
      <c r="AO16" s="36">
        <f t="shared" si="21"/>
        <v>244.5239955</v>
      </c>
      <c r="AR16" s="5">
        <f t="shared" si="22"/>
        <v>1765.4125608</v>
      </c>
      <c r="AS16" s="5">
        <f t="shared" si="23"/>
        <v>1765.4125608</v>
      </c>
      <c r="AT16" s="36">
        <f t="shared" si="24"/>
        <v>393.91672950000003</v>
      </c>
      <c r="AW16" s="5">
        <f t="shared" si="25"/>
        <v>9683.5181952</v>
      </c>
      <c r="AX16" s="5">
        <f t="shared" si="26"/>
        <v>9683.5181952</v>
      </c>
      <c r="AY16" s="36">
        <f t="shared" si="27"/>
        <v>2160.684648</v>
      </c>
      <c r="BB16" s="5">
        <f t="shared" si="28"/>
        <v>885.5514688</v>
      </c>
      <c r="BC16" s="5">
        <f t="shared" si="29"/>
        <v>885.5514688</v>
      </c>
      <c r="BD16" s="36">
        <f t="shared" si="30"/>
        <v>197.593212</v>
      </c>
      <c r="BG16" s="5">
        <f t="shared" si="31"/>
        <v>4067.7604871999997</v>
      </c>
      <c r="BH16" s="5">
        <f t="shared" si="32"/>
        <v>4067.7604871999997</v>
      </c>
      <c r="BI16" s="36">
        <f t="shared" si="33"/>
        <v>907.6399154999999</v>
      </c>
      <c r="BL16" s="5">
        <f t="shared" si="34"/>
        <v>278.1842696</v>
      </c>
      <c r="BM16" s="5">
        <f t="shared" si="35"/>
        <v>278.1842696</v>
      </c>
      <c r="BN16" s="36">
        <f t="shared" si="36"/>
        <v>62.0712915</v>
      </c>
      <c r="BQ16" s="5">
        <f t="shared" si="37"/>
        <v>3748.5625584</v>
      </c>
      <c r="BR16" s="5">
        <f t="shared" si="38"/>
        <v>3748.5625584</v>
      </c>
      <c r="BS16" s="36">
        <f t="shared" si="39"/>
        <v>836.417241</v>
      </c>
      <c r="BV16" s="5">
        <f t="shared" si="40"/>
        <v>46.0598424</v>
      </c>
      <c r="BW16" s="5">
        <f t="shared" si="41"/>
        <v>46.0598424</v>
      </c>
      <c r="BX16" s="36">
        <f t="shared" si="42"/>
        <v>10.277338499999999</v>
      </c>
      <c r="CA16" s="5">
        <f t="shared" si="43"/>
        <v>5025.783736</v>
      </c>
      <c r="CB16" s="5">
        <f t="shared" si="44"/>
        <v>5025.783736</v>
      </c>
      <c r="CC16" s="36">
        <f t="shared" si="45"/>
        <v>1121.403765</v>
      </c>
      <c r="CF16" s="5">
        <f t="shared" si="46"/>
        <v>591.2623592</v>
      </c>
      <c r="CG16" s="5">
        <f t="shared" si="47"/>
        <v>591.2623592</v>
      </c>
      <c r="CH16" s="36">
        <f t="shared" si="48"/>
        <v>131.9284455</v>
      </c>
      <c r="CK16" s="5">
        <f t="shared" si="49"/>
        <v>184.668832</v>
      </c>
      <c r="CL16" s="36">
        <f t="shared" si="50"/>
        <v>184.668832</v>
      </c>
      <c r="CM16" s="36">
        <f t="shared" si="51"/>
        <v>41.20518</v>
      </c>
      <c r="CP16" s="5">
        <f t="shared" si="52"/>
        <v>4291.0809352</v>
      </c>
      <c r="CQ16" s="36">
        <f t="shared" si="53"/>
        <v>4291.0809352</v>
      </c>
      <c r="CR16" s="36">
        <f t="shared" si="54"/>
        <v>957.4694354999999</v>
      </c>
      <c r="CU16" s="5">
        <f t="shared" si="55"/>
        <v>2206.1483488</v>
      </c>
      <c r="CV16" s="5">
        <f t="shared" si="56"/>
        <v>2206.1483488</v>
      </c>
      <c r="CW16" s="36">
        <f t="shared" si="57"/>
        <v>492.25816199999997</v>
      </c>
      <c r="CZ16" s="5">
        <f t="shared" si="58"/>
        <v>817.4816784</v>
      </c>
      <c r="DA16" s="5">
        <f t="shared" si="59"/>
        <v>817.4816784</v>
      </c>
      <c r="DB16" s="36">
        <f t="shared" si="60"/>
        <v>182.404791</v>
      </c>
      <c r="DE16" s="5">
        <f t="shared" si="61"/>
        <v>1686.8209416</v>
      </c>
      <c r="DF16" s="5">
        <f t="shared" si="62"/>
        <v>1686.8209416</v>
      </c>
      <c r="DG16" s="36">
        <f t="shared" si="63"/>
        <v>376.3805715</v>
      </c>
      <c r="DJ16" s="36">
        <f t="shared" si="64"/>
        <v>12554.796436</v>
      </c>
      <c r="DK16" s="36">
        <f t="shared" si="65"/>
        <v>12554.796436</v>
      </c>
      <c r="DL16" s="36">
        <f t="shared" si="66"/>
        <v>2801.3533275</v>
      </c>
      <c r="DO16" s="36">
        <f t="shared" si="67"/>
        <v>409.70712960000003</v>
      </c>
      <c r="DP16" s="36">
        <f t="shared" si="68"/>
        <v>409.70712960000003</v>
      </c>
      <c r="DQ16" s="36">
        <f t="shared" si="69"/>
        <v>91.418004</v>
      </c>
    </row>
    <row r="17" spans="1:121" ht="12.75">
      <c r="A17" s="37">
        <v>44652</v>
      </c>
      <c r="C17" s="3">
        <v>5905000</v>
      </c>
      <c r="D17" s="3">
        <v>1073656</v>
      </c>
      <c r="E17" s="35">
        <f t="shared" si="0"/>
        <v>6978656</v>
      </c>
      <c r="F17" s="35">
        <v>239565</v>
      </c>
      <c r="H17" s="47">
        <f>M17+R17+W17+AB17+AG17+AL17+AQ17+AV17+BA17+BF17+BK17+BP17+BU17+BZ17+CE17+CJ17+CO17+CT17+CY17+DD17+DI17+DN17</f>
        <v>395868.83799999993</v>
      </c>
      <c r="I17" s="36">
        <f t="shared" si="1"/>
        <v>71977.4687776</v>
      </c>
      <c r="J17" s="36">
        <f t="shared" si="2"/>
        <v>467846.30677759997</v>
      </c>
      <c r="K17" s="36">
        <f t="shared" si="3"/>
        <v>16060.341773999997</v>
      </c>
      <c r="M17" s="5">
        <f t="shared" si="70"/>
        <v>95459.049</v>
      </c>
      <c r="N17" s="5">
        <f t="shared" si="4"/>
        <v>17356.5081648</v>
      </c>
      <c r="O17" s="5">
        <f t="shared" si="5"/>
        <v>112815.5571648</v>
      </c>
      <c r="P17" s="36">
        <f t="shared" si="6"/>
        <v>3872.7598770000004</v>
      </c>
      <c r="R17" s="5">
        <f t="shared" si="71"/>
        <v>469.4475</v>
      </c>
      <c r="S17" s="5">
        <f t="shared" si="7"/>
        <v>85.35565199999999</v>
      </c>
      <c r="T17" s="5">
        <f t="shared" si="8"/>
        <v>554.803152</v>
      </c>
      <c r="U17" s="36">
        <f t="shared" si="9"/>
        <v>19.0454175</v>
      </c>
      <c r="W17" s="5">
        <f t="shared" si="72"/>
        <v>527.907</v>
      </c>
      <c r="X17" s="5">
        <f t="shared" si="10"/>
        <v>95.98484640000001</v>
      </c>
      <c r="Y17" s="5">
        <f t="shared" si="11"/>
        <v>623.8918464000001</v>
      </c>
      <c r="Z17" s="36">
        <f t="shared" si="12"/>
        <v>21.417111000000002</v>
      </c>
      <c r="AB17" s="5">
        <f t="shared" si="73"/>
        <v>22521.0795</v>
      </c>
      <c r="AC17" s="5">
        <f t="shared" si="13"/>
        <v>4094.8166183999997</v>
      </c>
      <c r="AD17" s="5">
        <f t="shared" si="14"/>
        <v>26615.8961184</v>
      </c>
      <c r="AE17" s="36">
        <f t="shared" si="15"/>
        <v>913.6769535</v>
      </c>
      <c r="AG17" s="5">
        <f t="shared" si="74"/>
        <v>5533.5755</v>
      </c>
      <c r="AH17" s="5">
        <f t="shared" si="16"/>
        <v>1006.1230376</v>
      </c>
      <c r="AI17" s="5">
        <f t="shared" si="17"/>
        <v>6539.6985376</v>
      </c>
      <c r="AJ17" s="36">
        <f t="shared" si="18"/>
        <v>224.49636149999998</v>
      </c>
      <c r="AL17" s="5">
        <f t="shared" si="75"/>
        <v>6027.2335</v>
      </c>
      <c r="AM17" s="5">
        <f t="shared" si="19"/>
        <v>1095.8806792</v>
      </c>
      <c r="AN17" s="5">
        <f t="shared" si="20"/>
        <v>7123.1141792</v>
      </c>
      <c r="AO17" s="36">
        <f t="shared" si="21"/>
        <v>244.5239955</v>
      </c>
      <c r="AQ17" s="5">
        <f t="shared" si="76"/>
        <v>9709.5915</v>
      </c>
      <c r="AR17" s="5">
        <f t="shared" si="22"/>
        <v>1765.4125608</v>
      </c>
      <c r="AS17" s="5">
        <f t="shared" si="23"/>
        <v>11475.0040608</v>
      </c>
      <c r="AT17" s="36">
        <f t="shared" si="24"/>
        <v>393.91672950000003</v>
      </c>
      <c r="AV17" s="5">
        <f t="shared" si="77"/>
        <v>53258.376</v>
      </c>
      <c r="AW17" s="5">
        <f t="shared" si="25"/>
        <v>9683.5181952</v>
      </c>
      <c r="AX17" s="5">
        <f t="shared" si="26"/>
        <v>62941.894195199995</v>
      </c>
      <c r="AY17" s="36">
        <f t="shared" si="27"/>
        <v>2160.684648</v>
      </c>
      <c r="BA17" s="5">
        <f t="shared" si="78"/>
        <v>4870.4439999999995</v>
      </c>
      <c r="BB17" s="5">
        <f t="shared" si="28"/>
        <v>885.5514688</v>
      </c>
      <c r="BC17" s="5">
        <f t="shared" si="29"/>
        <v>5755.9954688</v>
      </c>
      <c r="BD17" s="36">
        <f t="shared" si="30"/>
        <v>197.593212</v>
      </c>
      <c r="BF17" s="5">
        <f t="shared" si="79"/>
        <v>22372.2735</v>
      </c>
      <c r="BG17" s="5">
        <f t="shared" si="31"/>
        <v>4067.7604871999997</v>
      </c>
      <c r="BH17" s="5">
        <f t="shared" si="32"/>
        <v>26440.0339872</v>
      </c>
      <c r="BI17" s="36">
        <f t="shared" si="33"/>
        <v>907.6399154999999</v>
      </c>
      <c r="BK17" s="5">
        <f t="shared" si="80"/>
        <v>1529.9855</v>
      </c>
      <c r="BL17" s="5">
        <f t="shared" si="34"/>
        <v>278.1842696</v>
      </c>
      <c r="BM17" s="5">
        <f t="shared" si="35"/>
        <v>1808.1697696</v>
      </c>
      <c r="BN17" s="36">
        <f t="shared" si="36"/>
        <v>62.0712915</v>
      </c>
      <c r="BP17" s="5">
        <f t="shared" si="81"/>
        <v>20616.717</v>
      </c>
      <c r="BQ17" s="5">
        <f t="shared" si="37"/>
        <v>3748.5625584</v>
      </c>
      <c r="BR17" s="5">
        <f t="shared" si="38"/>
        <v>24365.2795584</v>
      </c>
      <c r="BS17" s="36">
        <f t="shared" si="39"/>
        <v>836.417241</v>
      </c>
      <c r="BU17" s="5">
        <f t="shared" si="82"/>
        <v>253.3245</v>
      </c>
      <c r="BV17" s="5">
        <f t="shared" si="40"/>
        <v>46.0598424</v>
      </c>
      <c r="BW17" s="5">
        <f t="shared" si="41"/>
        <v>299.3843424</v>
      </c>
      <c r="BX17" s="36">
        <f t="shared" si="42"/>
        <v>10.277338499999999</v>
      </c>
      <c r="BZ17" s="5">
        <f t="shared" si="83"/>
        <v>27641.305</v>
      </c>
      <c r="CA17" s="5">
        <f t="shared" si="43"/>
        <v>5025.783736</v>
      </c>
      <c r="CB17" s="5">
        <f t="shared" si="44"/>
        <v>32667.088736</v>
      </c>
      <c r="CC17" s="36">
        <f t="shared" si="45"/>
        <v>1121.403765</v>
      </c>
      <c r="CE17" s="5">
        <f t="shared" si="84"/>
        <v>3251.8835</v>
      </c>
      <c r="CF17" s="5">
        <f t="shared" si="46"/>
        <v>591.2623592</v>
      </c>
      <c r="CG17" s="5">
        <f t="shared" si="47"/>
        <v>3843.1458592</v>
      </c>
      <c r="CH17" s="36">
        <f t="shared" si="48"/>
        <v>131.9284455</v>
      </c>
      <c r="CJ17" s="5">
        <f t="shared" si="85"/>
        <v>1015.6600000000001</v>
      </c>
      <c r="CK17" s="5">
        <f t="shared" si="49"/>
        <v>184.668832</v>
      </c>
      <c r="CL17" s="36">
        <f t="shared" si="50"/>
        <v>1200.3288320000001</v>
      </c>
      <c r="CM17" s="36">
        <f t="shared" si="51"/>
        <v>41.20518</v>
      </c>
      <c r="CO17" s="5">
        <f t="shared" si="86"/>
        <v>23600.513499999997</v>
      </c>
      <c r="CP17" s="5">
        <f t="shared" si="52"/>
        <v>4291.0809352</v>
      </c>
      <c r="CQ17" s="36">
        <f t="shared" si="53"/>
        <v>27891.594435199997</v>
      </c>
      <c r="CR17" s="36">
        <f t="shared" si="54"/>
        <v>957.4694354999999</v>
      </c>
      <c r="CT17" s="5">
        <f t="shared" si="87"/>
        <v>12133.594</v>
      </c>
      <c r="CU17" s="5">
        <f t="shared" si="55"/>
        <v>2206.1483488</v>
      </c>
      <c r="CV17" s="5">
        <f t="shared" si="56"/>
        <v>14339.742348799999</v>
      </c>
      <c r="CW17" s="36">
        <f t="shared" si="57"/>
        <v>492.25816199999997</v>
      </c>
      <c r="CY17" s="5">
        <f t="shared" si="88"/>
        <v>4496.067</v>
      </c>
      <c r="CZ17" s="5">
        <f t="shared" si="58"/>
        <v>817.4816784</v>
      </c>
      <c r="DA17" s="5">
        <f t="shared" si="59"/>
        <v>5313.5486784</v>
      </c>
      <c r="DB17" s="36">
        <f t="shared" si="60"/>
        <v>182.404791</v>
      </c>
      <c r="DD17" s="5">
        <f t="shared" si="89"/>
        <v>9277.3455</v>
      </c>
      <c r="DE17" s="5">
        <f t="shared" si="61"/>
        <v>1686.8209416</v>
      </c>
      <c r="DF17" s="5">
        <f t="shared" si="62"/>
        <v>10964.166441599999</v>
      </c>
      <c r="DG17" s="36">
        <f t="shared" si="63"/>
        <v>376.3805715</v>
      </c>
      <c r="DI17" s="5">
        <f t="shared" si="90"/>
        <v>69050.11750000001</v>
      </c>
      <c r="DJ17" s="36">
        <f t="shared" si="64"/>
        <v>12554.796436</v>
      </c>
      <c r="DK17" s="36">
        <f t="shared" si="65"/>
        <v>81604.91393600001</v>
      </c>
      <c r="DL17" s="36">
        <f t="shared" si="66"/>
        <v>2801.3533275</v>
      </c>
      <c r="DN17" s="5">
        <f t="shared" si="91"/>
        <v>2253.348</v>
      </c>
      <c r="DO17" s="36">
        <f t="shared" si="67"/>
        <v>409.70712960000003</v>
      </c>
      <c r="DP17" s="36">
        <f t="shared" si="68"/>
        <v>2663.0551296</v>
      </c>
      <c r="DQ17" s="36">
        <f t="shared" si="69"/>
        <v>91.418004</v>
      </c>
    </row>
    <row r="18" spans="1:121" ht="12.75">
      <c r="A18" s="37">
        <v>44835</v>
      </c>
      <c r="D18" s="3">
        <v>926031</v>
      </c>
      <c r="E18" s="35">
        <f t="shared" si="0"/>
        <v>926031</v>
      </c>
      <c r="F18" s="35">
        <v>239565</v>
      </c>
      <c r="H18" s="47"/>
      <c r="I18" s="36">
        <f t="shared" si="1"/>
        <v>62080.74782759999</v>
      </c>
      <c r="J18" s="36">
        <f t="shared" si="2"/>
        <v>62080.74782759999</v>
      </c>
      <c r="K18" s="36">
        <f t="shared" si="3"/>
        <v>16060.341773999997</v>
      </c>
      <c r="N18" s="5">
        <f t="shared" si="4"/>
        <v>14970.031939800001</v>
      </c>
      <c r="O18" s="5">
        <f t="shared" si="5"/>
        <v>14970.031939800001</v>
      </c>
      <c r="P18" s="36">
        <f t="shared" si="6"/>
        <v>3872.7598770000004</v>
      </c>
      <c r="S18" s="5">
        <f t="shared" si="7"/>
        <v>73.61946449999999</v>
      </c>
      <c r="T18" s="5">
        <f t="shared" si="8"/>
        <v>73.61946449999999</v>
      </c>
      <c r="U18" s="36">
        <f t="shared" si="9"/>
        <v>19.0454175</v>
      </c>
      <c r="X18" s="5">
        <f t="shared" si="10"/>
        <v>82.7871714</v>
      </c>
      <c r="Y18" s="5">
        <f t="shared" si="11"/>
        <v>82.7871714</v>
      </c>
      <c r="Z18" s="36">
        <f t="shared" si="12"/>
        <v>21.417111000000002</v>
      </c>
      <c r="AC18" s="5">
        <f t="shared" si="13"/>
        <v>3531.7896309</v>
      </c>
      <c r="AD18" s="5">
        <f t="shared" si="14"/>
        <v>3531.7896309</v>
      </c>
      <c r="AE18" s="36">
        <f t="shared" si="15"/>
        <v>913.6769535</v>
      </c>
      <c r="AH18" s="5">
        <f t="shared" si="16"/>
        <v>867.7836500999999</v>
      </c>
      <c r="AI18" s="5">
        <f t="shared" si="17"/>
        <v>867.7836500999999</v>
      </c>
      <c r="AJ18" s="36">
        <f t="shared" si="18"/>
        <v>224.49636149999998</v>
      </c>
      <c r="AM18" s="5">
        <f t="shared" si="19"/>
        <v>945.1998417</v>
      </c>
      <c r="AN18" s="5">
        <f t="shared" si="20"/>
        <v>945.1998417</v>
      </c>
      <c r="AO18" s="36">
        <f t="shared" si="21"/>
        <v>244.5239955</v>
      </c>
      <c r="AR18" s="5">
        <f t="shared" si="22"/>
        <v>1522.6727733</v>
      </c>
      <c r="AS18" s="5">
        <f t="shared" si="23"/>
        <v>1522.6727733</v>
      </c>
      <c r="AT18" s="36">
        <f t="shared" si="24"/>
        <v>393.91672950000003</v>
      </c>
      <c r="AW18" s="5">
        <f t="shared" si="25"/>
        <v>8352.0587952</v>
      </c>
      <c r="AX18" s="5">
        <f t="shared" si="26"/>
        <v>8352.0587952</v>
      </c>
      <c r="AY18" s="36">
        <f t="shared" si="27"/>
        <v>2160.684648</v>
      </c>
      <c r="BB18" s="5">
        <f t="shared" si="28"/>
        <v>763.7903688</v>
      </c>
      <c r="BC18" s="5">
        <f t="shared" si="29"/>
        <v>763.7903688</v>
      </c>
      <c r="BD18" s="36">
        <f t="shared" si="30"/>
        <v>197.593212</v>
      </c>
      <c r="BG18" s="5">
        <f t="shared" si="31"/>
        <v>3508.4536497</v>
      </c>
      <c r="BH18" s="5">
        <f t="shared" si="32"/>
        <v>3508.4536497</v>
      </c>
      <c r="BI18" s="36">
        <f t="shared" si="33"/>
        <v>907.6399154999999</v>
      </c>
      <c r="BL18" s="5">
        <f t="shared" si="34"/>
        <v>239.93463210000002</v>
      </c>
      <c r="BM18" s="5">
        <f t="shared" si="35"/>
        <v>239.93463210000002</v>
      </c>
      <c r="BN18" s="36">
        <f t="shared" si="36"/>
        <v>62.0712915</v>
      </c>
      <c r="BQ18" s="5">
        <f t="shared" si="37"/>
        <v>3233.1446333999997</v>
      </c>
      <c r="BR18" s="5">
        <f t="shared" si="38"/>
        <v>3233.1446333999997</v>
      </c>
      <c r="BS18" s="36">
        <f t="shared" si="39"/>
        <v>836.417241</v>
      </c>
      <c r="BV18" s="5">
        <f t="shared" si="40"/>
        <v>39.7267299</v>
      </c>
      <c r="BW18" s="5">
        <f t="shared" si="41"/>
        <v>39.7267299</v>
      </c>
      <c r="BX18" s="36">
        <f t="shared" si="42"/>
        <v>10.277338499999999</v>
      </c>
      <c r="CA18" s="5">
        <f t="shared" si="43"/>
        <v>4334.7511110000005</v>
      </c>
      <c r="CB18" s="5">
        <f t="shared" si="44"/>
        <v>4334.7511110000005</v>
      </c>
      <c r="CC18" s="36">
        <f t="shared" si="45"/>
        <v>1121.403765</v>
      </c>
      <c r="CF18" s="5">
        <f t="shared" si="46"/>
        <v>509.9652717</v>
      </c>
      <c r="CG18" s="5">
        <f t="shared" si="47"/>
        <v>509.9652717</v>
      </c>
      <c r="CH18" s="36">
        <f t="shared" si="48"/>
        <v>131.9284455</v>
      </c>
      <c r="CK18" s="5">
        <f t="shared" si="49"/>
        <v>159.277332</v>
      </c>
      <c r="CL18" s="36">
        <f t="shared" si="50"/>
        <v>159.277332</v>
      </c>
      <c r="CM18" s="36">
        <f t="shared" si="51"/>
        <v>41.20518</v>
      </c>
      <c r="CP18" s="5">
        <f t="shared" si="52"/>
        <v>3701.0680976999997</v>
      </c>
      <c r="CQ18" s="36">
        <f t="shared" si="53"/>
        <v>3701.0680976999997</v>
      </c>
      <c r="CR18" s="36">
        <f t="shared" si="54"/>
        <v>957.4694354999999</v>
      </c>
      <c r="CU18" s="5">
        <f t="shared" si="55"/>
        <v>1902.8084987999998</v>
      </c>
      <c r="CV18" s="5">
        <f t="shared" si="56"/>
        <v>1902.8084987999998</v>
      </c>
      <c r="CW18" s="36">
        <f t="shared" si="57"/>
        <v>492.25816199999997</v>
      </c>
      <c r="CZ18" s="5">
        <f t="shared" si="58"/>
        <v>705.0800034</v>
      </c>
      <c r="DA18" s="5">
        <f t="shared" si="59"/>
        <v>705.0800034</v>
      </c>
      <c r="DB18" s="36">
        <f t="shared" si="60"/>
        <v>182.404791</v>
      </c>
      <c r="DE18" s="5">
        <f t="shared" si="61"/>
        <v>1454.8873041</v>
      </c>
      <c r="DF18" s="5">
        <f t="shared" si="62"/>
        <v>1454.8873041</v>
      </c>
      <c r="DG18" s="36">
        <f t="shared" si="63"/>
        <v>376.3805715</v>
      </c>
      <c r="DJ18" s="36">
        <f t="shared" si="64"/>
        <v>10828.543498500001</v>
      </c>
      <c r="DK18" s="36">
        <f t="shared" si="65"/>
        <v>10828.543498500001</v>
      </c>
      <c r="DL18" s="36">
        <f t="shared" si="66"/>
        <v>2801.3533275</v>
      </c>
      <c r="DO18" s="36">
        <f t="shared" si="67"/>
        <v>353.3734296</v>
      </c>
      <c r="DP18" s="36">
        <f t="shared" si="68"/>
        <v>353.3734296</v>
      </c>
      <c r="DQ18" s="36">
        <f t="shared" si="69"/>
        <v>91.418004</v>
      </c>
    </row>
    <row r="19" spans="1:121" ht="12.75">
      <c r="A19" s="37">
        <v>45017</v>
      </c>
      <c r="C19" s="3">
        <v>6200000</v>
      </c>
      <c r="D19" s="3">
        <v>926031</v>
      </c>
      <c r="E19" s="35">
        <f t="shared" si="0"/>
        <v>7126031</v>
      </c>
      <c r="F19" s="35">
        <v>239565</v>
      </c>
      <c r="H19" s="47">
        <f>M19+R19+W19+AB19+AG19+AL19+AQ19+AV19+BA19+BF19+BK19+BP19+BU19+BZ19+CE19+CJ19+CO19+CT19+CY19+DD19+DI19+DN19</f>
        <v>415645.5200000001</v>
      </c>
      <c r="I19" s="36">
        <f t="shared" si="1"/>
        <v>62080.74782759999</v>
      </c>
      <c r="J19" s="36">
        <f t="shared" si="2"/>
        <v>477726.26782760007</v>
      </c>
      <c r="K19" s="36">
        <f t="shared" si="3"/>
        <v>16060.341773999997</v>
      </c>
      <c r="M19" s="5">
        <f t="shared" si="70"/>
        <v>100227.96</v>
      </c>
      <c r="N19" s="5">
        <f t="shared" si="4"/>
        <v>14970.031939800001</v>
      </c>
      <c r="O19" s="5">
        <f t="shared" si="5"/>
        <v>115197.9919398</v>
      </c>
      <c r="P19" s="36">
        <f t="shared" si="6"/>
        <v>3872.7598770000004</v>
      </c>
      <c r="R19" s="5">
        <f t="shared" si="71"/>
        <v>492.9</v>
      </c>
      <c r="S19" s="5">
        <f t="shared" si="7"/>
        <v>73.61946449999999</v>
      </c>
      <c r="T19" s="5">
        <f t="shared" si="8"/>
        <v>566.5194644999999</v>
      </c>
      <c r="U19" s="36">
        <f t="shared" si="9"/>
        <v>19.0454175</v>
      </c>
      <c r="W19" s="5">
        <f t="shared" si="72"/>
        <v>554.28</v>
      </c>
      <c r="X19" s="5">
        <f t="shared" si="10"/>
        <v>82.7871714</v>
      </c>
      <c r="Y19" s="5">
        <f t="shared" si="11"/>
        <v>637.0671714</v>
      </c>
      <c r="Z19" s="36">
        <f t="shared" si="12"/>
        <v>21.417111000000002</v>
      </c>
      <c r="AB19" s="5">
        <f t="shared" si="73"/>
        <v>23646.18</v>
      </c>
      <c r="AC19" s="5">
        <f t="shared" si="13"/>
        <v>3531.7896309</v>
      </c>
      <c r="AD19" s="5">
        <f t="shared" si="14"/>
        <v>27177.9696309</v>
      </c>
      <c r="AE19" s="36">
        <f t="shared" si="15"/>
        <v>913.6769535</v>
      </c>
      <c r="AG19" s="5">
        <f t="shared" si="74"/>
        <v>5810.0199999999995</v>
      </c>
      <c r="AH19" s="5">
        <f t="shared" si="16"/>
        <v>867.7836500999999</v>
      </c>
      <c r="AI19" s="5">
        <f t="shared" si="17"/>
        <v>6677.8036501</v>
      </c>
      <c r="AJ19" s="36">
        <f t="shared" si="18"/>
        <v>224.49636149999998</v>
      </c>
      <c r="AL19" s="5">
        <f t="shared" si="75"/>
        <v>6328.34</v>
      </c>
      <c r="AM19" s="5">
        <f t="shared" si="19"/>
        <v>945.1998417</v>
      </c>
      <c r="AN19" s="5">
        <f t="shared" si="20"/>
        <v>7273.5398417</v>
      </c>
      <c r="AO19" s="36">
        <f t="shared" si="21"/>
        <v>244.5239955</v>
      </c>
      <c r="AQ19" s="5">
        <f t="shared" si="76"/>
        <v>10194.66</v>
      </c>
      <c r="AR19" s="5">
        <f t="shared" si="22"/>
        <v>1522.6727733</v>
      </c>
      <c r="AS19" s="5">
        <f t="shared" si="23"/>
        <v>11717.3327733</v>
      </c>
      <c r="AT19" s="36">
        <f t="shared" si="24"/>
        <v>393.91672950000003</v>
      </c>
      <c r="AV19" s="5">
        <f t="shared" si="77"/>
        <v>55919.04</v>
      </c>
      <c r="AW19" s="5">
        <f t="shared" si="25"/>
        <v>8352.0587952</v>
      </c>
      <c r="AX19" s="5">
        <f t="shared" si="26"/>
        <v>64271.0987952</v>
      </c>
      <c r="AY19" s="36">
        <f t="shared" si="27"/>
        <v>2160.684648</v>
      </c>
      <c r="BA19" s="5">
        <f t="shared" si="78"/>
        <v>5113.76</v>
      </c>
      <c r="BB19" s="5">
        <f t="shared" si="28"/>
        <v>763.7903688</v>
      </c>
      <c r="BC19" s="5">
        <f t="shared" si="29"/>
        <v>5877.5503688</v>
      </c>
      <c r="BD19" s="36">
        <f t="shared" si="30"/>
        <v>197.593212</v>
      </c>
      <c r="BF19" s="5">
        <f t="shared" si="79"/>
        <v>23489.94</v>
      </c>
      <c r="BG19" s="5">
        <f t="shared" si="31"/>
        <v>3508.4536497</v>
      </c>
      <c r="BH19" s="5">
        <f t="shared" si="32"/>
        <v>26998.3936497</v>
      </c>
      <c r="BI19" s="36">
        <f t="shared" si="33"/>
        <v>907.6399154999999</v>
      </c>
      <c r="BK19" s="5">
        <f t="shared" si="80"/>
        <v>1606.42</v>
      </c>
      <c r="BL19" s="5">
        <f t="shared" si="34"/>
        <v>239.93463210000002</v>
      </c>
      <c r="BM19" s="5">
        <f t="shared" si="35"/>
        <v>1846.3546321000001</v>
      </c>
      <c r="BN19" s="36">
        <f t="shared" si="36"/>
        <v>62.0712915</v>
      </c>
      <c r="BP19" s="5">
        <f t="shared" si="81"/>
        <v>21646.68</v>
      </c>
      <c r="BQ19" s="5">
        <f t="shared" si="37"/>
        <v>3233.1446333999997</v>
      </c>
      <c r="BR19" s="5">
        <f t="shared" si="38"/>
        <v>24879.8246334</v>
      </c>
      <c r="BS19" s="36">
        <f t="shared" si="39"/>
        <v>836.417241</v>
      </c>
      <c r="BU19" s="5">
        <f t="shared" si="82"/>
        <v>265.98</v>
      </c>
      <c r="BV19" s="5">
        <f t="shared" si="40"/>
        <v>39.7267299</v>
      </c>
      <c r="BW19" s="5">
        <f t="shared" si="41"/>
        <v>305.7067299</v>
      </c>
      <c r="BX19" s="36">
        <f t="shared" si="42"/>
        <v>10.277338499999999</v>
      </c>
      <c r="BZ19" s="5">
        <f t="shared" si="83"/>
        <v>29022.2</v>
      </c>
      <c r="CA19" s="5">
        <f t="shared" si="43"/>
        <v>4334.7511110000005</v>
      </c>
      <c r="CB19" s="5">
        <f t="shared" si="44"/>
        <v>33356.951111</v>
      </c>
      <c r="CC19" s="36">
        <f t="shared" si="45"/>
        <v>1121.403765</v>
      </c>
      <c r="CE19" s="5">
        <f t="shared" si="84"/>
        <v>3414.34</v>
      </c>
      <c r="CF19" s="5">
        <f t="shared" si="46"/>
        <v>509.9652717</v>
      </c>
      <c r="CG19" s="5">
        <f t="shared" si="47"/>
        <v>3924.3052717</v>
      </c>
      <c r="CH19" s="36">
        <f t="shared" si="48"/>
        <v>131.9284455</v>
      </c>
      <c r="CJ19" s="5">
        <f t="shared" si="85"/>
        <v>1066.4</v>
      </c>
      <c r="CK19" s="5">
        <f t="shared" si="49"/>
        <v>159.277332</v>
      </c>
      <c r="CL19" s="36">
        <f t="shared" si="50"/>
        <v>1225.6773320000002</v>
      </c>
      <c r="CM19" s="36">
        <f t="shared" si="51"/>
        <v>41.20518</v>
      </c>
      <c r="CO19" s="5">
        <f t="shared" si="86"/>
        <v>24779.539999999997</v>
      </c>
      <c r="CP19" s="5">
        <f t="shared" si="52"/>
        <v>3701.0680976999997</v>
      </c>
      <c r="CQ19" s="36">
        <f t="shared" si="53"/>
        <v>28480.6080977</v>
      </c>
      <c r="CR19" s="36">
        <f t="shared" si="54"/>
        <v>957.4694354999999</v>
      </c>
      <c r="CT19" s="5">
        <f t="shared" si="87"/>
        <v>12739.759999999998</v>
      </c>
      <c r="CU19" s="5">
        <f t="shared" si="55"/>
        <v>1902.8084987999998</v>
      </c>
      <c r="CV19" s="5">
        <f t="shared" si="56"/>
        <v>14642.568498799998</v>
      </c>
      <c r="CW19" s="36">
        <f t="shared" si="57"/>
        <v>492.25816199999997</v>
      </c>
      <c r="CY19" s="5">
        <f t="shared" si="88"/>
        <v>4720.679999999999</v>
      </c>
      <c r="CZ19" s="5">
        <f t="shared" si="58"/>
        <v>705.0800034</v>
      </c>
      <c r="DA19" s="5">
        <f t="shared" si="59"/>
        <v>5425.7600034</v>
      </c>
      <c r="DB19" s="36">
        <f t="shared" si="60"/>
        <v>182.404791</v>
      </c>
      <c r="DD19" s="5">
        <f t="shared" si="89"/>
        <v>9740.82</v>
      </c>
      <c r="DE19" s="5">
        <f t="shared" si="61"/>
        <v>1454.8873041</v>
      </c>
      <c r="DF19" s="5">
        <f t="shared" si="62"/>
        <v>11195.7073041</v>
      </c>
      <c r="DG19" s="36">
        <f t="shared" si="63"/>
        <v>376.3805715</v>
      </c>
      <c r="DI19" s="5">
        <f t="shared" si="90"/>
        <v>72499.70000000001</v>
      </c>
      <c r="DJ19" s="36">
        <f t="shared" si="64"/>
        <v>10828.543498500001</v>
      </c>
      <c r="DK19" s="36">
        <f t="shared" si="65"/>
        <v>83328.24349850001</v>
      </c>
      <c r="DL19" s="36">
        <f t="shared" si="66"/>
        <v>2801.3533275</v>
      </c>
      <c r="DN19" s="5">
        <f t="shared" si="91"/>
        <v>2365.92</v>
      </c>
      <c r="DO19" s="36">
        <f t="shared" si="67"/>
        <v>353.3734296</v>
      </c>
      <c r="DP19" s="36">
        <f t="shared" si="68"/>
        <v>2719.2934296000003</v>
      </c>
      <c r="DQ19" s="36">
        <f t="shared" si="69"/>
        <v>91.418004</v>
      </c>
    </row>
    <row r="20" spans="1:121" ht="12.75">
      <c r="A20" s="37">
        <v>45200</v>
      </c>
      <c r="D20" s="3">
        <v>864031</v>
      </c>
      <c r="E20" s="35">
        <f t="shared" si="0"/>
        <v>864031</v>
      </c>
      <c r="F20" s="35">
        <v>239565</v>
      </c>
      <c r="H20" s="47"/>
      <c r="I20" s="36">
        <f t="shared" si="1"/>
        <v>57924.2926276</v>
      </c>
      <c r="J20" s="36">
        <f t="shared" si="2"/>
        <v>57924.2926276</v>
      </c>
      <c r="K20" s="36">
        <f t="shared" si="3"/>
        <v>16060.341773999997</v>
      </c>
      <c r="N20" s="5">
        <f t="shared" si="4"/>
        <v>13967.752339800001</v>
      </c>
      <c r="O20" s="5">
        <f t="shared" si="5"/>
        <v>13967.752339800001</v>
      </c>
      <c r="P20" s="36">
        <f t="shared" si="6"/>
        <v>3872.7598770000004</v>
      </c>
      <c r="S20" s="5">
        <f t="shared" si="7"/>
        <v>68.69046449999999</v>
      </c>
      <c r="T20" s="5">
        <f t="shared" si="8"/>
        <v>68.69046449999999</v>
      </c>
      <c r="U20" s="36">
        <f t="shared" si="9"/>
        <v>19.0454175</v>
      </c>
      <c r="X20" s="5">
        <f t="shared" si="10"/>
        <v>77.2443714</v>
      </c>
      <c r="Y20" s="5">
        <f t="shared" si="11"/>
        <v>77.2443714</v>
      </c>
      <c r="Z20" s="36">
        <f t="shared" si="12"/>
        <v>21.417111000000002</v>
      </c>
      <c r="AC20" s="5">
        <f t="shared" si="13"/>
        <v>3295.3278308999998</v>
      </c>
      <c r="AD20" s="5">
        <f t="shared" si="14"/>
        <v>3295.3278308999998</v>
      </c>
      <c r="AE20" s="36">
        <f t="shared" si="15"/>
        <v>913.6769535</v>
      </c>
      <c r="AH20" s="5">
        <f t="shared" si="16"/>
        <v>809.6834501</v>
      </c>
      <c r="AI20" s="5">
        <f t="shared" si="17"/>
        <v>809.6834501</v>
      </c>
      <c r="AJ20" s="36">
        <f t="shared" si="18"/>
        <v>224.49636149999998</v>
      </c>
      <c r="AM20" s="5">
        <f t="shared" si="19"/>
        <v>881.9164417000001</v>
      </c>
      <c r="AN20" s="5">
        <f t="shared" si="20"/>
        <v>881.9164417000001</v>
      </c>
      <c r="AO20" s="36">
        <f t="shared" si="21"/>
        <v>244.5239955</v>
      </c>
      <c r="AR20" s="5">
        <f t="shared" si="22"/>
        <v>1420.7261733</v>
      </c>
      <c r="AS20" s="5">
        <f t="shared" si="23"/>
        <v>1420.7261733</v>
      </c>
      <c r="AT20" s="36">
        <f t="shared" si="24"/>
        <v>393.91672950000003</v>
      </c>
      <c r="AW20" s="5">
        <f t="shared" si="25"/>
        <v>7792.8683952</v>
      </c>
      <c r="AX20" s="5">
        <f t="shared" si="26"/>
        <v>7792.8683952</v>
      </c>
      <c r="AY20" s="36">
        <f t="shared" si="27"/>
        <v>2160.684648</v>
      </c>
      <c r="BB20" s="5">
        <f t="shared" si="28"/>
        <v>712.6527688</v>
      </c>
      <c r="BC20" s="5">
        <f t="shared" si="29"/>
        <v>712.6527688</v>
      </c>
      <c r="BD20" s="36">
        <f t="shared" si="30"/>
        <v>197.593212</v>
      </c>
      <c r="BG20" s="5">
        <f t="shared" si="31"/>
        <v>3273.5542496999997</v>
      </c>
      <c r="BH20" s="5">
        <f t="shared" si="32"/>
        <v>3273.5542496999997</v>
      </c>
      <c r="BI20" s="36">
        <f t="shared" si="33"/>
        <v>907.6399154999999</v>
      </c>
      <c r="BL20" s="5">
        <f t="shared" si="34"/>
        <v>223.87043210000002</v>
      </c>
      <c r="BM20" s="5">
        <f t="shared" si="35"/>
        <v>223.87043210000002</v>
      </c>
      <c r="BN20" s="36">
        <f t="shared" si="36"/>
        <v>62.0712915</v>
      </c>
      <c r="BQ20" s="5">
        <f t="shared" si="37"/>
        <v>3016.6778334</v>
      </c>
      <c r="BR20" s="5">
        <f t="shared" si="38"/>
        <v>3016.6778334</v>
      </c>
      <c r="BS20" s="36">
        <f t="shared" si="39"/>
        <v>836.417241</v>
      </c>
      <c r="BV20" s="5">
        <f t="shared" si="40"/>
        <v>37.0669299</v>
      </c>
      <c r="BW20" s="5">
        <f t="shared" si="41"/>
        <v>37.0669299</v>
      </c>
      <c r="BX20" s="36">
        <f t="shared" si="42"/>
        <v>10.277338499999999</v>
      </c>
      <c r="CA20" s="5">
        <f t="shared" si="43"/>
        <v>4044.5291110000003</v>
      </c>
      <c r="CB20" s="5">
        <f t="shared" si="44"/>
        <v>4044.5291110000003</v>
      </c>
      <c r="CC20" s="36">
        <f t="shared" si="45"/>
        <v>1121.403765</v>
      </c>
      <c r="CF20" s="5">
        <f t="shared" si="46"/>
        <v>475.8218717</v>
      </c>
      <c r="CG20" s="5">
        <f t="shared" si="47"/>
        <v>475.8218717</v>
      </c>
      <c r="CH20" s="36">
        <f t="shared" si="48"/>
        <v>131.9284455</v>
      </c>
      <c r="CK20" s="5">
        <f t="shared" si="49"/>
        <v>148.613332</v>
      </c>
      <c r="CL20" s="36">
        <f t="shared" si="50"/>
        <v>148.613332</v>
      </c>
      <c r="CM20" s="36">
        <f t="shared" si="51"/>
        <v>41.20518</v>
      </c>
      <c r="CP20" s="5">
        <f t="shared" si="52"/>
        <v>3453.2726976999998</v>
      </c>
      <c r="CQ20" s="36">
        <f t="shared" si="53"/>
        <v>3453.2726976999998</v>
      </c>
      <c r="CR20" s="36">
        <f t="shared" si="54"/>
        <v>957.4694354999999</v>
      </c>
      <c r="CU20" s="5">
        <f t="shared" si="55"/>
        <v>1775.4108987999998</v>
      </c>
      <c r="CV20" s="5">
        <f t="shared" si="56"/>
        <v>1775.4108987999998</v>
      </c>
      <c r="CW20" s="36">
        <f t="shared" si="57"/>
        <v>492.25816199999997</v>
      </c>
      <c r="CZ20" s="5">
        <f t="shared" si="58"/>
        <v>657.8732034</v>
      </c>
      <c r="DA20" s="5">
        <f t="shared" si="59"/>
        <v>657.8732034</v>
      </c>
      <c r="DB20" s="36">
        <f t="shared" si="60"/>
        <v>182.404791</v>
      </c>
      <c r="DE20" s="5">
        <f t="shared" si="61"/>
        <v>1357.4791041</v>
      </c>
      <c r="DF20" s="5">
        <f t="shared" si="62"/>
        <v>1357.4791041</v>
      </c>
      <c r="DG20" s="36">
        <f t="shared" si="63"/>
        <v>376.3805715</v>
      </c>
      <c r="DJ20" s="36">
        <f t="shared" si="64"/>
        <v>10103.5464985</v>
      </c>
      <c r="DK20" s="36">
        <f t="shared" si="65"/>
        <v>10103.5464985</v>
      </c>
      <c r="DL20" s="36">
        <f t="shared" si="66"/>
        <v>2801.3533275</v>
      </c>
      <c r="DO20" s="36">
        <f t="shared" si="67"/>
        <v>329.7142296</v>
      </c>
      <c r="DP20" s="36">
        <f t="shared" si="68"/>
        <v>329.7142296</v>
      </c>
      <c r="DQ20" s="36">
        <f t="shared" si="69"/>
        <v>91.418004</v>
      </c>
    </row>
    <row r="21" spans="1:121" ht="12.75">
      <c r="A21" s="37">
        <v>45383</v>
      </c>
      <c r="C21" s="3">
        <v>6320000</v>
      </c>
      <c r="D21" s="3">
        <v>864031</v>
      </c>
      <c r="E21" s="35">
        <f t="shared" si="0"/>
        <v>7184031</v>
      </c>
      <c r="F21" s="35">
        <v>239565</v>
      </c>
      <c r="H21" s="47">
        <f>M21+R21+W21+AB21+AG21+AL21+AQ21+AV21+BA21+BF21+BK21+BP21+BU21+BZ21+CE21+CJ21+CO21+CT21+CY21+DD21+DI21+DN21</f>
        <v>423690.27199999994</v>
      </c>
      <c r="I21" s="36">
        <f t="shared" si="1"/>
        <v>57924.2926276</v>
      </c>
      <c r="J21" s="36">
        <f t="shared" si="2"/>
        <v>481614.56462759996</v>
      </c>
      <c r="K21" s="36">
        <f t="shared" si="3"/>
        <v>16060.341773999997</v>
      </c>
      <c r="M21" s="5">
        <f t="shared" si="70"/>
        <v>102167.856</v>
      </c>
      <c r="N21" s="5">
        <f t="shared" si="4"/>
        <v>13967.752339800001</v>
      </c>
      <c r="O21" s="5">
        <f t="shared" si="5"/>
        <v>116135.6083398</v>
      </c>
      <c r="P21" s="36">
        <f t="shared" si="6"/>
        <v>3872.7598770000004</v>
      </c>
      <c r="R21" s="5">
        <f t="shared" si="71"/>
        <v>502.43999999999994</v>
      </c>
      <c r="S21" s="5">
        <f t="shared" si="7"/>
        <v>68.69046449999999</v>
      </c>
      <c r="T21" s="5">
        <f t="shared" si="8"/>
        <v>571.1304644999999</v>
      </c>
      <c r="U21" s="36">
        <f t="shared" si="9"/>
        <v>19.0454175</v>
      </c>
      <c r="W21" s="5">
        <f t="shared" si="72"/>
        <v>565.008</v>
      </c>
      <c r="X21" s="5">
        <f t="shared" si="10"/>
        <v>77.2443714</v>
      </c>
      <c r="Y21" s="5">
        <f t="shared" si="11"/>
        <v>642.2523714</v>
      </c>
      <c r="Z21" s="36">
        <f t="shared" si="12"/>
        <v>21.417111000000002</v>
      </c>
      <c r="AB21" s="5">
        <f t="shared" si="73"/>
        <v>24103.847999999998</v>
      </c>
      <c r="AC21" s="5">
        <f t="shared" si="13"/>
        <v>3295.3278308999998</v>
      </c>
      <c r="AD21" s="5">
        <f t="shared" si="14"/>
        <v>27399.1758309</v>
      </c>
      <c r="AE21" s="36">
        <f t="shared" si="15"/>
        <v>913.6769535</v>
      </c>
      <c r="AG21" s="5">
        <f t="shared" si="74"/>
        <v>5922.472</v>
      </c>
      <c r="AH21" s="5">
        <f t="shared" si="16"/>
        <v>809.6834501</v>
      </c>
      <c r="AI21" s="5">
        <f t="shared" si="17"/>
        <v>6732.1554501</v>
      </c>
      <c r="AJ21" s="36">
        <f t="shared" si="18"/>
        <v>224.49636149999998</v>
      </c>
      <c r="AL21" s="5">
        <f t="shared" si="75"/>
        <v>6450.8240000000005</v>
      </c>
      <c r="AM21" s="5">
        <f t="shared" si="19"/>
        <v>881.9164417000001</v>
      </c>
      <c r="AN21" s="5">
        <f t="shared" si="20"/>
        <v>7332.740441700001</v>
      </c>
      <c r="AO21" s="36">
        <f t="shared" si="21"/>
        <v>244.5239955</v>
      </c>
      <c r="AQ21" s="5">
        <f t="shared" si="76"/>
        <v>10391.976</v>
      </c>
      <c r="AR21" s="5">
        <f t="shared" si="22"/>
        <v>1420.7261733</v>
      </c>
      <c r="AS21" s="5">
        <f t="shared" si="23"/>
        <v>11812.7021733</v>
      </c>
      <c r="AT21" s="36">
        <f t="shared" si="24"/>
        <v>393.91672950000003</v>
      </c>
      <c r="AV21" s="5">
        <f t="shared" si="77"/>
        <v>57001.344</v>
      </c>
      <c r="AW21" s="5">
        <f t="shared" si="25"/>
        <v>7792.8683952</v>
      </c>
      <c r="AX21" s="5">
        <f t="shared" si="26"/>
        <v>64794.2123952</v>
      </c>
      <c r="AY21" s="36">
        <f t="shared" si="27"/>
        <v>2160.684648</v>
      </c>
      <c r="BA21" s="5">
        <f t="shared" si="78"/>
        <v>5212.736</v>
      </c>
      <c r="BB21" s="5">
        <f t="shared" si="28"/>
        <v>712.6527688</v>
      </c>
      <c r="BC21" s="5">
        <f t="shared" si="29"/>
        <v>5925.3887687999995</v>
      </c>
      <c r="BD21" s="36">
        <f t="shared" si="30"/>
        <v>197.593212</v>
      </c>
      <c r="BF21" s="5">
        <f t="shared" si="79"/>
        <v>23944.584</v>
      </c>
      <c r="BG21" s="5">
        <f t="shared" si="31"/>
        <v>3273.5542496999997</v>
      </c>
      <c r="BH21" s="5">
        <f t="shared" si="32"/>
        <v>27218.138249699998</v>
      </c>
      <c r="BI21" s="36">
        <f t="shared" si="33"/>
        <v>907.6399154999999</v>
      </c>
      <c r="BK21" s="5">
        <f t="shared" si="80"/>
        <v>1637.5120000000002</v>
      </c>
      <c r="BL21" s="5">
        <f t="shared" si="34"/>
        <v>223.87043210000002</v>
      </c>
      <c r="BM21" s="5">
        <f t="shared" si="35"/>
        <v>1861.3824321000002</v>
      </c>
      <c r="BN21" s="36">
        <f t="shared" si="36"/>
        <v>62.0712915</v>
      </c>
      <c r="BP21" s="5">
        <f t="shared" si="81"/>
        <v>22065.648</v>
      </c>
      <c r="BQ21" s="5">
        <f t="shared" si="37"/>
        <v>3016.6778334</v>
      </c>
      <c r="BR21" s="5">
        <f t="shared" si="38"/>
        <v>25082.325833400002</v>
      </c>
      <c r="BS21" s="36">
        <f t="shared" si="39"/>
        <v>836.417241</v>
      </c>
      <c r="BU21" s="5">
        <f t="shared" si="82"/>
        <v>271.128</v>
      </c>
      <c r="BV21" s="5">
        <f t="shared" si="40"/>
        <v>37.0669299</v>
      </c>
      <c r="BW21" s="5">
        <f t="shared" si="41"/>
        <v>308.1949299</v>
      </c>
      <c r="BX21" s="36">
        <f t="shared" si="42"/>
        <v>10.277338499999999</v>
      </c>
      <c r="BZ21" s="5">
        <f t="shared" si="83"/>
        <v>29583.920000000002</v>
      </c>
      <c r="CA21" s="5">
        <f t="shared" si="43"/>
        <v>4044.5291110000003</v>
      </c>
      <c r="CB21" s="5">
        <f t="shared" si="44"/>
        <v>33628.449111</v>
      </c>
      <c r="CC21" s="36">
        <f t="shared" si="45"/>
        <v>1121.403765</v>
      </c>
      <c r="CE21" s="5">
        <f t="shared" si="84"/>
        <v>3480.424</v>
      </c>
      <c r="CF21" s="5">
        <f t="shared" si="46"/>
        <v>475.8218717</v>
      </c>
      <c r="CG21" s="5">
        <f t="shared" si="47"/>
        <v>3956.2458717</v>
      </c>
      <c r="CH21" s="36">
        <f t="shared" si="48"/>
        <v>131.9284455</v>
      </c>
      <c r="CJ21" s="5">
        <f t="shared" si="85"/>
        <v>1087.04</v>
      </c>
      <c r="CK21" s="5">
        <f t="shared" si="49"/>
        <v>148.613332</v>
      </c>
      <c r="CL21" s="36">
        <f t="shared" si="50"/>
        <v>1235.6533319999999</v>
      </c>
      <c r="CM21" s="36">
        <f t="shared" si="51"/>
        <v>41.20518</v>
      </c>
      <c r="CO21" s="5">
        <f t="shared" si="86"/>
        <v>25259.143999999997</v>
      </c>
      <c r="CP21" s="5">
        <f t="shared" si="52"/>
        <v>3453.2726976999998</v>
      </c>
      <c r="CQ21" s="36">
        <f t="shared" si="53"/>
        <v>28712.416697699995</v>
      </c>
      <c r="CR21" s="36">
        <f t="shared" si="54"/>
        <v>957.4694354999999</v>
      </c>
      <c r="CT21" s="5">
        <f t="shared" si="87"/>
        <v>12986.336</v>
      </c>
      <c r="CU21" s="5">
        <f t="shared" si="55"/>
        <v>1775.4108987999998</v>
      </c>
      <c r="CV21" s="5">
        <f t="shared" si="56"/>
        <v>14761.7468988</v>
      </c>
      <c r="CW21" s="36">
        <f t="shared" si="57"/>
        <v>492.25816199999997</v>
      </c>
      <c r="CY21" s="5">
        <f t="shared" si="88"/>
        <v>4812.048</v>
      </c>
      <c r="CZ21" s="5">
        <f t="shared" si="58"/>
        <v>657.8732034</v>
      </c>
      <c r="DA21" s="5">
        <f t="shared" si="59"/>
        <v>5469.921203399999</v>
      </c>
      <c r="DB21" s="36">
        <f t="shared" si="60"/>
        <v>182.404791</v>
      </c>
      <c r="DD21" s="5">
        <f t="shared" si="89"/>
        <v>9929.351999999999</v>
      </c>
      <c r="DE21" s="5">
        <f t="shared" si="61"/>
        <v>1357.4791041</v>
      </c>
      <c r="DF21" s="5">
        <f t="shared" si="62"/>
        <v>11286.8311041</v>
      </c>
      <c r="DG21" s="36">
        <f t="shared" si="63"/>
        <v>376.3805715</v>
      </c>
      <c r="DI21" s="5">
        <f t="shared" si="90"/>
        <v>73902.92</v>
      </c>
      <c r="DJ21" s="36">
        <f t="shared" si="64"/>
        <v>10103.5464985</v>
      </c>
      <c r="DK21" s="36">
        <f t="shared" si="65"/>
        <v>84006.4664985</v>
      </c>
      <c r="DL21" s="36">
        <f t="shared" si="66"/>
        <v>2801.3533275</v>
      </c>
      <c r="DN21" s="5">
        <f t="shared" si="91"/>
        <v>2411.712</v>
      </c>
      <c r="DO21" s="36">
        <f t="shared" si="67"/>
        <v>329.7142296</v>
      </c>
      <c r="DP21" s="36">
        <f t="shared" si="68"/>
        <v>2741.4262296</v>
      </c>
      <c r="DQ21" s="36">
        <f t="shared" si="69"/>
        <v>91.418004</v>
      </c>
    </row>
    <row r="22" spans="1:121" ht="12.75">
      <c r="A22" s="37">
        <v>45566</v>
      </c>
      <c r="D22" s="3">
        <v>800831</v>
      </c>
      <c r="E22" s="35">
        <f t="shared" si="0"/>
        <v>800831</v>
      </c>
      <c r="F22" s="35">
        <v>239565</v>
      </c>
      <c r="H22" s="47"/>
      <c r="I22" s="36">
        <f t="shared" si="1"/>
        <v>53687.3899076</v>
      </c>
      <c r="J22" s="36">
        <f t="shared" si="2"/>
        <v>53687.3899076</v>
      </c>
      <c r="K22" s="36">
        <f t="shared" si="3"/>
        <v>16060.341773999997</v>
      </c>
      <c r="L22"/>
      <c r="N22" s="5">
        <f t="shared" si="4"/>
        <v>12946.073779800001</v>
      </c>
      <c r="O22" s="5">
        <f t="shared" si="5"/>
        <v>12946.073779800001</v>
      </c>
      <c r="P22" s="36">
        <f t="shared" si="6"/>
        <v>3872.7598770000004</v>
      </c>
      <c r="Q22"/>
      <c r="S22" s="5">
        <f t="shared" si="7"/>
        <v>63.6660645</v>
      </c>
      <c r="T22" s="5">
        <f t="shared" si="8"/>
        <v>63.6660645</v>
      </c>
      <c r="U22" s="36">
        <f t="shared" si="9"/>
        <v>19.0454175</v>
      </c>
      <c r="V22"/>
      <c r="X22" s="5">
        <f t="shared" si="10"/>
        <v>71.5942914</v>
      </c>
      <c r="Y22" s="5">
        <f t="shared" si="11"/>
        <v>71.5942914</v>
      </c>
      <c r="Z22" s="36">
        <f t="shared" si="12"/>
        <v>21.417111000000002</v>
      </c>
      <c r="AA22"/>
      <c r="AC22" s="5">
        <f t="shared" si="13"/>
        <v>3054.2893509</v>
      </c>
      <c r="AD22" s="5">
        <f t="shared" si="14"/>
        <v>3054.2893509</v>
      </c>
      <c r="AE22" s="36">
        <f t="shared" si="15"/>
        <v>913.6769535</v>
      </c>
      <c r="AF22"/>
      <c r="AH22" s="5">
        <f t="shared" si="16"/>
        <v>750.4587300999999</v>
      </c>
      <c r="AI22" s="5">
        <f t="shared" si="17"/>
        <v>750.4587300999999</v>
      </c>
      <c r="AJ22" s="36">
        <f t="shared" si="18"/>
        <v>224.49636149999998</v>
      </c>
      <c r="AK22"/>
      <c r="AM22" s="5">
        <f t="shared" si="19"/>
        <v>817.4082017000001</v>
      </c>
      <c r="AN22" s="5">
        <f t="shared" si="20"/>
        <v>817.4082017000001</v>
      </c>
      <c r="AO22" s="36">
        <f t="shared" si="21"/>
        <v>244.5239955</v>
      </c>
      <c r="AP22"/>
      <c r="AR22" s="5">
        <f t="shared" si="22"/>
        <v>1316.8064133</v>
      </c>
      <c r="AS22" s="5">
        <f t="shared" si="23"/>
        <v>1316.8064133</v>
      </c>
      <c r="AT22" s="36">
        <f t="shared" si="24"/>
        <v>393.91672950000003</v>
      </c>
      <c r="AU22"/>
      <c r="AW22" s="5">
        <f t="shared" si="25"/>
        <v>7222.8549551999995</v>
      </c>
      <c r="AX22" s="5">
        <f t="shared" si="26"/>
        <v>7222.8549551999995</v>
      </c>
      <c r="AY22" s="36">
        <f t="shared" si="27"/>
        <v>2160.684648</v>
      </c>
      <c r="AZ22"/>
      <c r="BB22" s="5">
        <f t="shared" si="28"/>
        <v>660.5254088</v>
      </c>
      <c r="BC22" s="5">
        <f t="shared" si="29"/>
        <v>660.5254088</v>
      </c>
      <c r="BD22" s="36">
        <f t="shared" si="30"/>
        <v>197.593212</v>
      </c>
      <c r="BE22"/>
      <c r="BG22" s="5">
        <f t="shared" si="31"/>
        <v>3034.1084097</v>
      </c>
      <c r="BH22" s="5">
        <f t="shared" si="32"/>
        <v>3034.1084097</v>
      </c>
      <c r="BI22" s="36">
        <f t="shared" si="33"/>
        <v>907.6399154999999</v>
      </c>
      <c r="BJ22"/>
      <c r="BL22" s="5">
        <f t="shared" si="34"/>
        <v>207.4953121</v>
      </c>
      <c r="BM22" s="5">
        <f t="shared" si="35"/>
        <v>207.4953121</v>
      </c>
      <c r="BN22" s="36">
        <f t="shared" si="36"/>
        <v>62.0712915</v>
      </c>
      <c r="BO22"/>
      <c r="BQ22" s="5">
        <f t="shared" si="37"/>
        <v>2796.0213534</v>
      </c>
      <c r="BR22" s="5">
        <f t="shared" si="38"/>
        <v>2796.0213534</v>
      </c>
      <c r="BS22" s="36">
        <f t="shared" si="39"/>
        <v>836.417241</v>
      </c>
      <c r="BT22"/>
      <c r="BV22" s="5">
        <f t="shared" si="40"/>
        <v>34.355649899999996</v>
      </c>
      <c r="BW22" s="5">
        <f t="shared" si="41"/>
        <v>34.355649899999996</v>
      </c>
      <c r="BX22" s="36">
        <f t="shared" si="42"/>
        <v>10.277338499999999</v>
      </c>
      <c r="BY22"/>
      <c r="CA22" s="5">
        <f t="shared" si="43"/>
        <v>3748.6899110000004</v>
      </c>
      <c r="CB22" s="5">
        <f t="shared" si="44"/>
        <v>3748.6899110000004</v>
      </c>
      <c r="CC22" s="36">
        <f t="shared" si="45"/>
        <v>1121.403765</v>
      </c>
      <c r="CD22"/>
      <c r="CF22" s="5">
        <f t="shared" si="46"/>
        <v>441.0176317</v>
      </c>
      <c r="CG22" s="5">
        <f t="shared" si="47"/>
        <v>441.0176317</v>
      </c>
      <c r="CH22" s="36">
        <f t="shared" si="48"/>
        <v>131.9284455</v>
      </c>
      <c r="CI22"/>
      <c r="CK22" s="5">
        <f t="shared" si="49"/>
        <v>137.742932</v>
      </c>
      <c r="CL22" s="36">
        <f t="shared" si="50"/>
        <v>137.742932</v>
      </c>
      <c r="CM22" s="36">
        <f t="shared" si="51"/>
        <v>41.20518</v>
      </c>
      <c r="CN22"/>
      <c r="CP22" s="5">
        <f t="shared" si="52"/>
        <v>3200.6812576999996</v>
      </c>
      <c r="CQ22" s="36">
        <f t="shared" si="53"/>
        <v>3200.6812576999996</v>
      </c>
      <c r="CR22" s="36">
        <f t="shared" si="54"/>
        <v>957.4694354999999</v>
      </c>
      <c r="CU22" s="5">
        <f t="shared" si="55"/>
        <v>1645.5475388</v>
      </c>
      <c r="CV22" s="5">
        <f t="shared" si="56"/>
        <v>1645.5475388</v>
      </c>
      <c r="CW22" s="36">
        <f t="shared" si="57"/>
        <v>492.25816199999997</v>
      </c>
      <c r="CZ22" s="5">
        <f t="shared" si="58"/>
        <v>609.7527233999999</v>
      </c>
      <c r="DA22" s="5">
        <f t="shared" si="59"/>
        <v>609.7527233999999</v>
      </c>
      <c r="DB22" s="36">
        <f t="shared" si="60"/>
        <v>182.404791</v>
      </c>
      <c r="DE22" s="5">
        <f t="shared" si="61"/>
        <v>1258.1855841</v>
      </c>
      <c r="DF22" s="5">
        <f t="shared" si="62"/>
        <v>1258.1855841</v>
      </c>
      <c r="DG22" s="36">
        <f t="shared" si="63"/>
        <v>376.3805715</v>
      </c>
      <c r="DJ22" s="36">
        <f t="shared" si="64"/>
        <v>9364.5172985</v>
      </c>
      <c r="DK22" s="36">
        <f t="shared" si="65"/>
        <v>9364.5172985</v>
      </c>
      <c r="DL22" s="36">
        <f t="shared" si="66"/>
        <v>2801.3533275</v>
      </c>
      <c r="DO22" s="36">
        <f t="shared" si="67"/>
        <v>305.5971096</v>
      </c>
      <c r="DP22" s="36">
        <f t="shared" si="68"/>
        <v>305.5971096</v>
      </c>
      <c r="DQ22" s="36">
        <f t="shared" si="69"/>
        <v>91.418004</v>
      </c>
    </row>
    <row r="23" spans="1:121" ht="12.75">
      <c r="A23" s="37">
        <v>45748</v>
      </c>
      <c r="C23" s="3">
        <v>6450000</v>
      </c>
      <c r="D23" s="3">
        <v>800831</v>
      </c>
      <c r="E23" s="35">
        <f t="shared" si="0"/>
        <v>7250831</v>
      </c>
      <c r="F23" s="35">
        <v>239565</v>
      </c>
      <c r="H23" s="47">
        <f>M23+R23+W23+AB23+AG23+AL23+AQ23+AV23+BA23+BF23+BK23+BP23+BU23+BZ23+CE23+CJ23+CO23+CT23+CY23+DD23+DI23+DN23</f>
        <v>432405.4200000001</v>
      </c>
      <c r="I23" s="36">
        <f t="shared" si="1"/>
        <v>53687.3899076</v>
      </c>
      <c r="J23" s="36">
        <f t="shared" si="2"/>
        <v>486092.8099076001</v>
      </c>
      <c r="K23" s="36">
        <f t="shared" si="3"/>
        <v>16060.341773999997</v>
      </c>
      <c r="L23"/>
      <c r="M23" s="5">
        <f t="shared" si="70"/>
        <v>104269.41</v>
      </c>
      <c r="N23" s="5">
        <f t="shared" si="4"/>
        <v>12946.073779800001</v>
      </c>
      <c r="O23" s="5">
        <f t="shared" si="5"/>
        <v>117215.48377980001</v>
      </c>
      <c r="P23" s="36">
        <f t="shared" si="6"/>
        <v>3872.7598770000004</v>
      </c>
      <c r="Q23"/>
      <c r="R23" s="5">
        <f t="shared" si="71"/>
        <v>512.775</v>
      </c>
      <c r="S23" s="5">
        <f t="shared" si="7"/>
        <v>63.6660645</v>
      </c>
      <c r="T23" s="5">
        <f t="shared" si="8"/>
        <v>576.4410644999999</v>
      </c>
      <c r="U23" s="36">
        <f t="shared" si="9"/>
        <v>19.0454175</v>
      </c>
      <c r="V23"/>
      <c r="W23" s="5">
        <f t="shared" si="72"/>
        <v>576.63</v>
      </c>
      <c r="X23" s="5">
        <f t="shared" si="10"/>
        <v>71.5942914</v>
      </c>
      <c r="Y23" s="5">
        <f t="shared" si="11"/>
        <v>648.2242914</v>
      </c>
      <c r="Z23" s="36">
        <f t="shared" si="12"/>
        <v>21.417111000000002</v>
      </c>
      <c r="AA23"/>
      <c r="AB23" s="5">
        <f t="shared" si="73"/>
        <v>24599.655</v>
      </c>
      <c r="AC23" s="5">
        <f t="shared" si="13"/>
        <v>3054.2893509</v>
      </c>
      <c r="AD23" s="5">
        <f t="shared" si="14"/>
        <v>27653.944350899998</v>
      </c>
      <c r="AE23" s="36">
        <f t="shared" si="15"/>
        <v>913.6769535</v>
      </c>
      <c r="AF23"/>
      <c r="AG23" s="5">
        <f t="shared" si="74"/>
        <v>6044.295</v>
      </c>
      <c r="AH23" s="5">
        <f t="shared" si="16"/>
        <v>750.4587300999999</v>
      </c>
      <c r="AI23" s="5">
        <f t="shared" si="17"/>
        <v>6794.7537301</v>
      </c>
      <c r="AJ23" s="36">
        <f t="shared" si="18"/>
        <v>224.49636149999998</v>
      </c>
      <c r="AK23"/>
      <c r="AL23" s="5">
        <f t="shared" si="75"/>
        <v>6583.515</v>
      </c>
      <c r="AM23" s="5">
        <f t="shared" si="19"/>
        <v>817.4082017000001</v>
      </c>
      <c r="AN23" s="5">
        <f t="shared" si="20"/>
        <v>7400.9232017</v>
      </c>
      <c r="AO23" s="36">
        <f t="shared" si="21"/>
        <v>244.5239955</v>
      </c>
      <c r="AP23"/>
      <c r="AQ23" s="5">
        <f t="shared" si="76"/>
        <v>10605.735</v>
      </c>
      <c r="AR23" s="5">
        <f t="shared" si="22"/>
        <v>1316.8064133</v>
      </c>
      <c r="AS23" s="5">
        <f t="shared" si="23"/>
        <v>11922.541413300001</v>
      </c>
      <c r="AT23" s="36">
        <f t="shared" si="24"/>
        <v>393.91672950000003</v>
      </c>
      <c r="AU23"/>
      <c r="AV23" s="5">
        <f t="shared" si="77"/>
        <v>58173.84</v>
      </c>
      <c r="AW23" s="5">
        <f t="shared" si="25"/>
        <v>7222.8549551999995</v>
      </c>
      <c r="AX23" s="5">
        <f t="shared" si="26"/>
        <v>65396.69495519999</v>
      </c>
      <c r="AY23" s="36">
        <f t="shared" si="27"/>
        <v>2160.684648</v>
      </c>
      <c r="AZ23"/>
      <c r="BA23" s="5">
        <f t="shared" si="78"/>
        <v>5319.96</v>
      </c>
      <c r="BB23" s="5">
        <f t="shared" si="28"/>
        <v>660.5254088</v>
      </c>
      <c r="BC23" s="5">
        <f t="shared" si="29"/>
        <v>5980.4854088</v>
      </c>
      <c r="BD23" s="36">
        <f t="shared" si="30"/>
        <v>197.593212</v>
      </c>
      <c r="BE23"/>
      <c r="BF23" s="5">
        <f t="shared" si="79"/>
        <v>24437.114999999998</v>
      </c>
      <c r="BG23" s="5">
        <f t="shared" si="31"/>
        <v>3034.1084097</v>
      </c>
      <c r="BH23" s="5">
        <f t="shared" si="32"/>
        <v>27471.223409699996</v>
      </c>
      <c r="BI23" s="36">
        <f t="shared" si="33"/>
        <v>907.6399154999999</v>
      </c>
      <c r="BJ23"/>
      <c r="BK23" s="5">
        <f t="shared" si="80"/>
        <v>1671.1950000000002</v>
      </c>
      <c r="BL23" s="5">
        <f t="shared" si="34"/>
        <v>207.4953121</v>
      </c>
      <c r="BM23" s="5">
        <f t="shared" si="35"/>
        <v>1878.6903121000003</v>
      </c>
      <c r="BN23" s="36">
        <f t="shared" si="36"/>
        <v>62.0712915</v>
      </c>
      <c r="BO23"/>
      <c r="BP23" s="5">
        <f t="shared" si="81"/>
        <v>22519.53</v>
      </c>
      <c r="BQ23" s="5">
        <f t="shared" si="37"/>
        <v>2796.0213534</v>
      </c>
      <c r="BR23" s="5">
        <f t="shared" si="38"/>
        <v>25315.5513534</v>
      </c>
      <c r="BS23" s="36">
        <f t="shared" si="39"/>
        <v>836.417241</v>
      </c>
      <c r="BT23"/>
      <c r="BU23" s="5">
        <f t="shared" si="82"/>
        <v>276.705</v>
      </c>
      <c r="BV23" s="5">
        <f t="shared" si="40"/>
        <v>34.355649899999996</v>
      </c>
      <c r="BW23" s="5">
        <f t="shared" si="41"/>
        <v>311.0606499</v>
      </c>
      <c r="BX23" s="36">
        <f t="shared" si="42"/>
        <v>10.277338499999999</v>
      </c>
      <c r="BY23"/>
      <c r="BZ23" s="5">
        <f t="shared" si="83"/>
        <v>30192.45</v>
      </c>
      <c r="CA23" s="5">
        <f t="shared" si="43"/>
        <v>3748.6899110000004</v>
      </c>
      <c r="CB23" s="5">
        <f t="shared" si="44"/>
        <v>33941.139911</v>
      </c>
      <c r="CC23" s="36">
        <f t="shared" si="45"/>
        <v>1121.403765</v>
      </c>
      <c r="CD23"/>
      <c r="CE23" s="5">
        <f t="shared" si="84"/>
        <v>3552.015</v>
      </c>
      <c r="CF23" s="5">
        <f t="shared" si="46"/>
        <v>441.0176317</v>
      </c>
      <c r="CG23" s="5">
        <f t="shared" si="47"/>
        <v>3993.0326317</v>
      </c>
      <c r="CH23" s="36">
        <f t="shared" si="48"/>
        <v>131.9284455</v>
      </c>
      <c r="CI23"/>
      <c r="CJ23" s="5">
        <f t="shared" si="85"/>
        <v>1109.4</v>
      </c>
      <c r="CK23" s="5">
        <f t="shared" si="49"/>
        <v>137.742932</v>
      </c>
      <c r="CL23" s="36">
        <f t="shared" si="50"/>
        <v>1247.1429320000002</v>
      </c>
      <c r="CM23" s="36">
        <f t="shared" si="51"/>
        <v>41.20518</v>
      </c>
      <c r="CN23"/>
      <c r="CO23" s="5">
        <f t="shared" si="86"/>
        <v>25778.714999999997</v>
      </c>
      <c r="CP23" s="5">
        <f t="shared" si="52"/>
        <v>3200.6812576999996</v>
      </c>
      <c r="CQ23" s="36">
        <f t="shared" si="53"/>
        <v>28979.396257699995</v>
      </c>
      <c r="CR23" s="36">
        <f t="shared" si="54"/>
        <v>957.4694354999999</v>
      </c>
      <c r="CT23" s="5">
        <f t="shared" si="87"/>
        <v>13253.46</v>
      </c>
      <c r="CU23" s="5">
        <f t="shared" si="55"/>
        <v>1645.5475388</v>
      </c>
      <c r="CV23" s="5">
        <f t="shared" si="56"/>
        <v>14899.007538799999</v>
      </c>
      <c r="CW23" s="36">
        <f t="shared" si="57"/>
        <v>492.25816199999997</v>
      </c>
      <c r="CY23" s="5">
        <f t="shared" si="88"/>
        <v>4911.03</v>
      </c>
      <c r="CZ23" s="5">
        <f t="shared" si="58"/>
        <v>609.7527233999999</v>
      </c>
      <c r="DA23" s="5">
        <f t="shared" si="59"/>
        <v>5520.7827234</v>
      </c>
      <c r="DB23" s="36">
        <f t="shared" si="60"/>
        <v>182.404791</v>
      </c>
      <c r="DD23" s="5">
        <f t="shared" si="89"/>
        <v>10133.595</v>
      </c>
      <c r="DE23" s="5">
        <f t="shared" si="61"/>
        <v>1258.1855841</v>
      </c>
      <c r="DF23" s="5">
        <f t="shared" si="62"/>
        <v>11391.780584099999</v>
      </c>
      <c r="DG23" s="36">
        <f t="shared" si="63"/>
        <v>376.3805715</v>
      </c>
      <c r="DI23" s="5">
        <f t="shared" si="90"/>
        <v>75423.07500000001</v>
      </c>
      <c r="DJ23" s="36">
        <f t="shared" si="64"/>
        <v>9364.5172985</v>
      </c>
      <c r="DK23" s="36">
        <f t="shared" si="65"/>
        <v>84787.5922985</v>
      </c>
      <c r="DL23" s="36">
        <f t="shared" si="66"/>
        <v>2801.3533275</v>
      </c>
      <c r="DN23" s="5">
        <f t="shared" si="91"/>
        <v>2461.32</v>
      </c>
      <c r="DO23" s="36">
        <f t="shared" si="67"/>
        <v>305.5971096</v>
      </c>
      <c r="DP23" s="36">
        <f t="shared" si="68"/>
        <v>2766.9171096</v>
      </c>
      <c r="DQ23" s="36">
        <f t="shared" si="69"/>
        <v>91.418004</v>
      </c>
    </row>
    <row r="24" spans="1:121" ht="12.75">
      <c r="A24" s="37">
        <v>45931</v>
      </c>
      <c r="D24" s="3">
        <v>728269</v>
      </c>
      <c r="E24" s="35">
        <f t="shared" si="0"/>
        <v>728269</v>
      </c>
      <c r="F24" s="35">
        <v>239565</v>
      </c>
      <c r="H24" s="47"/>
      <c r="I24" s="36">
        <f t="shared" si="1"/>
        <v>48822.8624524</v>
      </c>
      <c r="J24" s="36">
        <f t="shared" si="2"/>
        <v>48822.8624524</v>
      </c>
      <c r="K24" s="36">
        <f t="shared" si="3"/>
        <v>16060.341773999997</v>
      </c>
      <c r="L24"/>
      <c r="N24" s="5">
        <f t="shared" si="4"/>
        <v>11773.051000200001</v>
      </c>
      <c r="O24" s="5">
        <f t="shared" si="5"/>
        <v>11773.051000200001</v>
      </c>
      <c r="P24" s="36">
        <f t="shared" si="6"/>
        <v>3872.7598770000004</v>
      </c>
      <c r="Q24"/>
      <c r="S24" s="5">
        <f t="shared" si="7"/>
        <v>57.8973855</v>
      </c>
      <c r="T24" s="5">
        <f t="shared" si="8"/>
        <v>57.8973855</v>
      </c>
      <c r="U24" s="36">
        <f t="shared" si="9"/>
        <v>19.0454175</v>
      </c>
      <c r="V24"/>
      <c r="X24" s="5">
        <f t="shared" si="10"/>
        <v>65.1072486</v>
      </c>
      <c r="Y24" s="5">
        <f t="shared" si="11"/>
        <v>65.1072486</v>
      </c>
      <c r="Z24" s="36">
        <f t="shared" si="12"/>
        <v>21.417111000000002</v>
      </c>
      <c r="AA24"/>
      <c r="AC24" s="5">
        <f t="shared" si="13"/>
        <v>2777.5451390999997</v>
      </c>
      <c r="AD24" s="5">
        <f t="shared" si="14"/>
        <v>2777.5451390999997</v>
      </c>
      <c r="AE24" s="36">
        <f t="shared" si="15"/>
        <v>913.6769535</v>
      </c>
      <c r="AF24"/>
      <c r="AH24" s="5">
        <f t="shared" si="16"/>
        <v>682.4608799</v>
      </c>
      <c r="AI24" s="5">
        <f t="shared" si="17"/>
        <v>682.4608799</v>
      </c>
      <c r="AJ24" s="36">
        <f t="shared" si="18"/>
        <v>224.49636149999998</v>
      </c>
      <c r="AK24"/>
      <c r="AM24" s="5">
        <f t="shared" si="19"/>
        <v>743.3441683</v>
      </c>
      <c r="AN24" s="5">
        <f t="shared" si="20"/>
        <v>743.3441683</v>
      </c>
      <c r="AO24" s="36">
        <f t="shared" si="21"/>
        <v>244.5239955</v>
      </c>
      <c r="AP24"/>
      <c r="AR24" s="5">
        <f t="shared" si="22"/>
        <v>1197.4927167</v>
      </c>
      <c r="AS24" s="5">
        <f t="shared" si="23"/>
        <v>1197.4927167</v>
      </c>
      <c r="AT24" s="36">
        <f t="shared" si="24"/>
        <v>393.91672950000003</v>
      </c>
      <c r="AU24"/>
      <c r="AW24" s="5">
        <f t="shared" si="25"/>
        <v>6568.403764799999</v>
      </c>
      <c r="AX24" s="5">
        <f t="shared" si="26"/>
        <v>6568.403764799999</v>
      </c>
      <c r="AY24" s="36">
        <f t="shared" si="27"/>
        <v>2160.684648</v>
      </c>
      <c r="AZ24"/>
      <c r="BB24" s="5">
        <f t="shared" si="28"/>
        <v>600.6762712</v>
      </c>
      <c r="BC24" s="5">
        <f t="shared" si="29"/>
        <v>600.6762712</v>
      </c>
      <c r="BD24" s="36">
        <f t="shared" si="30"/>
        <v>197.593212</v>
      </c>
      <c r="BE24"/>
      <c r="BG24" s="5">
        <f t="shared" si="31"/>
        <v>2759.1927603</v>
      </c>
      <c r="BH24" s="5">
        <f t="shared" si="32"/>
        <v>2759.1927603</v>
      </c>
      <c r="BI24" s="36">
        <f t="shared" si="33"/>
        <v>907.6399154999999</v>
      </c>
      <c r="BJ24"/>
      <c r="BL24" s="5">
        <f t="shared" si="34"/>
        <v>188.69449790000002</v>
      </c>
      <c r="BM24" s="5">
        <f t="shared" si="35"/>
        <v>188.69449790000002</v>
      </c>
      <c r="BN24" s="36">
        <f t="shared" si="36"/>
        <v>62.0712915</v>
      </c>
      <c r="BO24"/>
      <c r="BQ24" s="5">
        <f t="shared" si="37"/>
        <v>2542.6783866</v>
      </c>
      <c r="BR24" s="5">
        <f t="shared" si="38"/>
        <v>2542.6783866</v>
      </c>
      <c r="BS24" s="36">
        <f t="shared" si="39"/>
        <v>836.417241</v>
      </c>
      <c r="BT24"/>
      <c r="BV24" s="5">
        <f t="shared" si="40"/>
        <v>31.2427401</v>
      </c>
      <c r="BW24" s="5">
        <f t="shared" si="41"/>
        <v>31.2427401</v>
      </c>
      <c r="BX24" s="36">
        <f t="shared" si="42"/>
        <v>10.277338499999999</v>
      </c>
      <c r="BY24"/>
      <c r="CA24" s="5">
        <f t="shared" si="43"/>
        <v>3409.0271890000004</v>
      </c>
      <c r="CB24" s="5">
        <f t="shared" si="44"/>
        <v>3409.0271890000004</v>
      </c>
      <c r="CC24" s="36">
        <f t="shared" si="45"/>
        <v>1121.403765</v>
      </c>
      <c r="CD24"/>
      <c r="CF24" s="5">
        <f t="shared" si="46"/>
        <v>401.0577383</v>
      </c>
      <c r="CG24" s="5">
        <f t="shared" si="47"/>
        <v>401.0577383</v>
      </c>
      <c r="CH24" s="36">
        <f t="shared" si="48"/>
        <v>131.9284455</v>
      </c>
      <c r="CI24"/>
      <c r="CK24" s="5">
        <f t="shared" si="49"/>
        <v>125.262268</v>
      </c>
      <c r="CL24" s="36">
        <f t="shared" si="50"/>
        <v>125.262268</v>
      </c>
      <c r="CM24" s="36">
        <f t="shared" si="51"/>
        <v>41.20518</v>
      </c>
      <c r="CN24"/>
      <c r="CP24" s="5">
        <f t="shared" si="52"/>
        <v>2910.6727122999996</v>
      </c>
      <c r="CQ24" s="36">
        <f t="shared" si="53"/>
        <v>2910.6727122999996</v>
      </c>
      <c r="CR24" s="36">
        <f t="shared" si="54"/>
        <v>957.4694354999999</v>
      </c>
      <c r="CU24" s="5">
        <f t="shared" si="55"/>
        <v>1496.4471411999998</v>
      </c>
      <c r="CV24" s="5">
        <f t="shared" si="56"/>
        <v>1496.4471411999998</v>
      </c>
      <c r="CW24" s="36">
        <f t="shared" si="57"/>
        <v>492.25816199999997</v>
      </c>
      <c r="CZ24" s="5">
        <f t="shared" si="58"/>
        <v>554.5040166</v>
      </c>
      <c r="DA24" s="5">
        <f t="shared" si="59"/>
        <v>554.5040166</v>
      </c>
      <c r="DB24" s="36">
        <f t="shared" si="60"/>
        <v>182.404791</v>
      </c>
      <c r="DE24" s="5">
        <f t="shared" si="61"/>
        <v>1144.1834259</v>
      </c>
      <c r="DF24" s="5">
        <f t="shared" si="62"/>
        <v>1144.1834259</v>
      </c>
      <c r="DG24" s="36">
        <f t="shared" si="63"/>
        <v>376.3805715</v>
      </c>
      <c r="DJ24" s="36">
        <f t="shared" si="64"/>
        <v>8516.0135515</v>
      </c>
      <c r="DK24" s="36">
        <f t="shared" si="65"/>
        <v>8516.0135515</v>
      </c>
      <c r="DL24" s="36">
        <f t="shared" si="66"/>
        <v>2801.3533275</v>
      </c>
      <c r="DO24" s="36">
        <f t="shared" si="67"/>
        <v>277.9074504</v>
      </c>
      <c r="DP24" s="36">
        <f t="shared" si="68"/>
        <v>277.9074504</v>
      </c>
      <c r="DQ24" s="36">
        <f t="shared" si="69"/>
        <v>91.418004</v>
      </c>
    </row>
    <row r="25" spans="1:121" ht="12.75">
      <c r="A25" s="37">
        <v>46113</v>
      </c>
      <c r="C25" s="3">
        <v>6595000</v>
      </c>
      <c r="D25" s="3">
        <v>728269</v>
      </c>
      <c r="E25" s="35">
        <f t="shared" si="0"/>
        <v>7323269</v>
      </c>
      <c r="F25" s="35">
        <v>239565</v>
      </c>
      <c r="H25" s="47">
        <f>M25+R25+W25+AB25+AG25+AL25+AQ25+AV25+BA25+BF25+BK25+BP25+BU25+BZ25+CE25+CJ25+CO25+CT25+CY25+DD25+DI25+DN25</f>
        <v>442126.16200000007</v>
      </c>
      <c r="I25" s="36">
        <f t="shared" si="1"/>
        <v>48822.8624524</v>
      </c>
      <c r="J25" s="36">
        <f t="shared" si="2"/>
        <v>490949.02445240004</v>
      </c>
      <c r="K25" s="36">
        <f t="shared" si="3"/>
        <v>16060.341773999997</v>
      </c>
      <c r="L25"/>
      <c r="M25" s="5">
        <f t="shared" si="70"/>
        <v>106613.451</v>
      </c>
      <c r="N25" s="5">
        <f t="shared" si="4"/>
        <v>11773.051000200001</v>
      </c>
      <c r="O25" s="5">
        <f t="shared" si="5"/>
        <v>118386.50200020001</v>
      </c>
      <c r="P25" s="36">
        <f t="shared" si="6"/>
        <v>3872.7598770000004</v>
      </c>
      <c r="Q25"/>
      <c r="R25" s="5">
        <f t="shared" si="71"/>
        <v>524.3025</v>
      </c>
      <c r="S25" s="5">
        <f t="shared" si="7"/>
        <v>57.8973855</v>
      </c>
      <c r="T25" s="5">
        <f t="shared" si="8"/>
        <v>582.1998855</v>
      </c>
      <c r="U25" s="36">
        <f t="shared" si="9"/>
        <v>19.0454175</v>
      </c>
      <c r="V25"/>
      <c r="W25" s="5">
        <f t="shared" si="72"/>
        <v>589.5930000000001</v>
      </c>
      <c r="X25" s="5">
        <f t="shared" si="10"/>
        <v>65.1072486</v>
      </c>
      <c r="Y25" s="5">
        <f t="shared" si="11"/>
        <v>654.7002486000001</v>
      </c>
      <c r="Z25" s="36">
        <f t="shared" si="12"/>
        <v>21.417111000000002</v>
      </c>
      <c r="AA25"/>
      <c r="AB25" s="5">
        <f t="shared" si="73"/>
        <v>25152.6705</v>
      </c>
      <c r="AC25" s="5">
        <f t="shared" si="13"/>
        <v>2777.5451390999997</v>
      </c>
      <c r="AD25" s="5">
        <f t="shared" si="14"/>
        <v>27930.2156391</v>
      </c>
      <c r="AE25" s="36">
        <f t="shared" si="15"/>
        <v>913.6769535</v>
      </c>
      <c r="AF25"/>
      <c r="AG25" s="5">
        <f t="shared" si="74"/>
        <v>6180.1745</v>
      </c>
      <c r="AH25" s="5">
        <f t="shared" si="16"/>
        <v>682.4608799</v>
      </c>
      <c r="AI25" s="5">
        <f t="shared" si="17"/>
        <v>6862.6353799</v>
      </c>
      <c r="AJ25" s="36">
        <f t="shared" si="18"/>
        <v>224.49636149999998</v>
      </c>
      <c r="AK25"/>
      <c r="AL25" s="5">
        <f t="shared" si="75"/>
        <v>6731.516500000001</v>
      </c>
      <c r="AM25" s="5">
        <f t="shared" si="19"/>
        <v>743.3441683</v>
      </c>
      <c r="AN25" s="5">
        <f t="shared" si="20"/>
        <v>7474.860668300001</v>
      </c>
      <c r="AO25" s="36">
        <f t="shared" si="21"/>
        <v>244.5239955</v>
      </c>
      <c r="AP25"/>
      <c r="AQ25" s="5">
        <f t="shared" si="76"/>
        <v>10844.1585</v>
      </c>
      <c r="AR25" s="5">
        <f t="shared" si="22"/>
        <v>1197.4927167</v>
      </c>
      <c r="AS25" s="5">
        <f t="shared" si="23"/>
        <v>12041.6512167</v>
      </c>
      <c r="AT25" s="36">
        <f t="shared" si="24"/>
        <v>393.91672950000003</v>
      </c>
      <c r="AU25"/>
      <c r="AV25" s="5">
        <f t="shared" si="77"/>
        <v>59481.623999999996</v>
      </c>
      <c r="AW25" s="5">
        <f t="shared" si="25"/>
        <v>6568.403764799999</v>
      </c>
      <c r="AX25" s="5">
        <f t="shared" si="26"/>
        <v>66050.02776479999</v>
      </c>
      <c r="AY25" s="36">
        <f t="shared" si="27"/>
        <v>2160.684648</v>
      </c>
      <c r="AZ25"/>
      <c r="BA25" s="5">
        <f t="shared" si="78"/>
        <v>5439.556</v>
      </c>
      <c r="BB25" s="5">
        <f t="shared" si="28"/>
        <v>600.6762712</v>
      </c>
      <c r="BC25" s="5">
        <f t="shared" si="29"/>
        <v>6040.2322712</v>
      </c>
      <c r="BD25" s="36">
        <f t="shared" si="30"/>
        <v>197.593212</v>
      </c>
      <c r="BE25"/>
      <c r="BF25" s="5">
        <f t="shared" si="79"/>
        <v>24986.4765</v>
      </c>
      <c r="BG25" s="5">
        <f t="shared" si="31"/>
        <v>2759.1927603</v>
      </c>
      <c r="BH25" s="5">
        <f t="shared" si="32"/>
        <v>27745.6692603</v>
      </c>
      <c r="BI25" s="36">
        <f t="shared" si="33"/>
        <v>907.6399154999999</v>
      </c>
      <c r="BJ25"/>
      <c r="BK25" s="5">
        <f t="shared" si="80"/>
        <v>1708.7645</v>
      </c>
      <c r="BL25" s="5">
        <f t="shared" si="34"/>
        <v>188.69449790000002</v>
      </c>
      <c r="BM25" s="5">
        <f t="shared" si="35"/>
        <v>1897.4589979</v>
      </c>
      <c r="BN25" s="36">
        <f t="shared" si="36"/>
        <v>62.0712915</v>
      </c>
      <c r="BO25"/>
      <c r="BP25" s="5">
        <f t="shared" si="81"/>
        <v>23025.783</v>
      </c>
      <c r="BQ25" s="5">
        <f t="shared" si="37"/>
        <v>2542.6783866</v>
      </c>
      <c r="BR25" s="5">
        <f t="shared" si="38"/>
        <v>25568.4613866</v>
      </c>
      <c r="BS25" s="36">
        <f t="shared" si="39"/>
        <v>836.417241</v>
      </c>
      <c r="BT25"/>
      <c r="BU25" s="5">
        <f t="shared" si="82"/>
        <v>282.9255</v>
      </c>
      <c r="BV25" s="5">
        <f t="shared" si="40"/>
        <v>31.2427401</v>
      </c>
      <c r="BW25" s="5">
        <f t="shared" si="41"/>
        <v>314.1682401</v>
      </c>
      <c r="BX25" s="36">
        <f t="shared" si="42"/>
        <v>10.277338499999999</v>
      </c>
      <c r="BY25"/>
      <c r="BZ25" s="5">
        <f t="shared" si="83"/>
        <v>30871.195000000003</v>
      </c>
      <c r="CA25" s="5">
        <f t="shared" si="43"/>
        <v>3409.0271890000004</v>
      </c>
      <c r="CB25" s="5">
        <f t="shared" si="44"/>
        <v>34280.22218900001</v>
      </c>
      <c r="CC25" s="36">
        <f t="shared" si="45"/>
        <v>1121.403765</v>
      </c>
      <c r="CD25"/>
      <c r="CE25" s="5">
        <f t="shared" si="84"/>
        <v>3631.8665</v>
      </c>
      <c r="CF25" s="5">
        <f t="shared" si="46"/>
        <v>401.0577383</v>
      </c>
      <c r="CG25" s="5">
        <f t="shared" si="47"/>
        <v>4032.9242383</v>
      </c>
      <c r="CH25" s="36">
        <f t="shared" si="48"/>
        <v>131.9284455</v>
      </c>
      <c r="CI25"/>
      <c r="CJ25" s="5">
        <f t="shared" si="85"/>
        <v>1134.3400000000001</v>
      </c>
      <c r="CK25" s="5">
        <f t="shared" si="49"/>
        <v>125.262268</v>
      </c>
      <c r="CL25" s="36">
        <f t="shared" si="50"/>
        <v>1259.602268</v>
      </c>
      <c r="CM25" s="36">
        <f t="shared" si="51"/>
        <v>41.20518</v>
      </c>
      <c r="CN25"/>
      <c r="CO25" s="5">
        <f t="shared" si="86"/>
        <v>26358.2365</v>
      </c>
      <c r="CP25" s="5">
        <f t="shared" si="52"/>
        <v>2910.6727122999996</v>
      </c>
      <c r="CQ25" s="36">
        <f t="shared" si="53"/>
        <v>29268.909212299997</v>
      </c>
      <c r="CR25" s="36">
        <f t="shared" si="54"/>
        <v>957.4694354999999</v>
      </c>
      <c r="CT25" s="5">
        <f t="shared" si="87"/>
        <v>13551.405999999999</v>
      </c>
      <c r="CU25" s="5">
        <f t="shared" si="55"/>
        <v>1496.4471411999998</v>
      </c>
      <c r="CV25" s="5">
        <f t="shared" si="56"/>
        <v>15047.8531412</v>
      </c>
      <c r="CW25" s="36">
        <f t="shared" si="57"/>
        <v>492.25816199999997</v>
      </c>
      <c r="CY25" s="5">
        <f t="shared" si="88"/>
        <v>5021.433</v>
      </c>
      <c r="CZ25" s="5">
        <f t="shared" si="58"/>
        <v>554.5040166</v>
      </c>
      <c r="DA25" s="5">
        <f t="shared" si="59"/>
        <v>5575.9370166</v>
      </c>
      <c r="DB25" s="36">
        <f t="shared" si="60"/>
        <v>182.404791</v>
      </c>
      <c r="DD25" s="5">
        <f t="shared" si="89"/>
        <v>10361.4045</v>
      </c>
      <c r="DE25" s="5">
        <f t="shared" si="61"/>
        <v>1144.1834259</v>
      </c>
      <c r="DF25" s="5">
        <f t="shared" si="62"/>
        <v>11505.587925900001</v>
      </c>
      <c r="DG25" s="36">
        <f t="shared" si="63"/>
        <v>376.3805715</v>
      </c>
      <c r="DI25" s="5">
        <f t="shared" si="90"/>
        <v>77118.6325</v>
      </c>
      <c r="DJ25" s="36">
        <f t="shared" si="64"/>
        <v>8516.0135515</v>
      </c>
      <c r="DK25" s="36">
        <f t="shared" si="65"/>
        <v>85634.6460515</v>
      </c>
      <c r="DL25" s="36">
        <f t="shared" si="66"/>
        <v>2801.3533275</v>
      </c>
      <c r="DN25" s="5">
        <f t="shared" si="91"/>
        <v>2516.652</v>
      </c>
      <c r="DO25" s="36">
        <f t="shared" si="67"/>
        <v>277.9074504</v>
      </c>
      <c r="DP25" s="36">
        <f t="shared" si="68"/>
        <v>2794.5594504</v>
      </c>
      <c r="DQ25" s="36">
        <f t="shared" si="69"/>
        <v>91.418004</v>
      </c>
    </row>
    <row r="26" spans="1:121" ht="12.75">
      <c r="A26" s="37">
        <v>46296</v>
      </c>
      <c r="D26" s="3">
        <v>654075</v>
      </c>
      <c r="E26" s="35">
        <f t="shared" si="0"/>
        <v>654075</v>
      </c>
      <c r="F26" s="35">
        <v>239565</v>
      </c>
      <c r="H26" s="47"/>
      <c r="I26" s="36">
        <f t="shared" si="1"/>
        <v>43848.926369999994</v>
      </c>
      <c r="J26" s="36">
        <f t="shared" si="2"/>
        <v>43848.926369999994</v>
      </c>
      <c r="K26" s="36">
        <f t="shared" si="3"/>
        <v>16060.341773999997</v>
      </c>
      <c r="L26"/>
      <c r="N26" s="5">
        <f t="shared" si="4"/>
        <v>10573.645635</v>
      </c>
      <c r="O26" s="5">
        <f t="shared" si="5"/>
        <v>10573.645635</v>
      </c>
      <c r="P26" s="36">
        <f t="shared" si="6"/>
        <v>3872.7598770000004</v>
      </c>
      <c r="Q26"/>
      <c r="S26" s="5">
        <f t="shared" si="7"/>
        <v>51.9989625</v>
      </c>
      <c r="T26" s="5">
        <f t="shared" si="8"/>
        <v>51.9989625</v>
      </c>
      <c r="U26" s="36">
        <f t="shared" si="9"/>
        <v>19.0454175</v>
      </c>
      <c r="V26"/>
      <c r="X26" s="5">
        <f t="shared" si="10"/>
        <v>58.474305</v>
      </c>
      <c r="Y26" s="5">
        <f t="shared" si="11"/>
        <v>58.474305</v>
      </c>
      <c r="Z26" s="36">
        <f t="shared" si="12"/>
        <v>21.417111000000002</v>
      </c>
      <c r="AA26"/>
      <c r="AC26" s="5">
        <f t="shared" si="13"/>
        <v>2494.5766424999997</v>
      </c>
      <c r="AD26" s="5">
        <f t="shared" si="14"/>
        <v>2494.5766424999997</v>
      </c>
      <c r="AE26" s="36">
        <f t="shared" si="15"/>
        <v>913.6769535</v>
      </c>
      <c r="AF26"/>
      <c r="AH26" s="5">
        <f t="shared" si="16"/>
        <v>612.9336824999999</v>
      </c>
      <c r="AI26" s="5">
        <f t="shared" si="17"/>
        <v>612.9336824999999</v>
      </c>
      <c r="AJ26" s="36">
        <f t="shared" si="18"/>
        <v>224.49636149999998</v>
      </c>
      <c r="AK26"/>
      <c r="AM26" s="5">
        <f t="shared" si="19"/>
        <v>667.6143525</v>
      </c>
      <c r="AN26" s="5">
        <f t="shared" si="20"/>
        <v>667.6143525</v>
      </c>
      <c r="AO26" s="36">
        <f t="shared" si="21"/>
        <v>244.5239955</v>
      </c>
      <c r="AP26"/>
      <c r="AR26" s="5">
        <f t="shared" si="22"/>
        <v>1075.4955225</v>
      </c>
      <c r="AS26" s="5">
        <f t="shared" si="23"/>
        <v>1075.4955225</v>
      </c>
      <c r="AT26" s="36">
        <f t="shared" si="24"/>
        <v>393.91672950000003</v>
      </c>
      <c r="AU26"/>
      <c r="AW26" s="5">
        <f t="shared" si="25"/>
        <v>5899.23324</v>
      </c>
      <c r="AX26" s="5">
        <f t="shared" si="26"/>
        <v>5899.23324</v>
      </c>
      <c r="AY26" s="36">
        <f t="shared" si="27"/>
        <v>2160.684648</v>
      </c>
      <c r="AZ26"/>
      <c r="BB26" s="5">
        <f t="shared" si="28"/>
        <v>539.48106</v>
      </c>
      <c r="BC26" s="5">
        <f t="shared" si="29"/>
        <v>539.48106</v>
      </c>
      <c r="BD26" s="36">
        <f t="shared" si="30"/>
        <v>197.593212</v>
      </c>
      <c r="BE26"/>
      <c r="BG26" s="5">
        <f t="shared" si="31"/>
        <v>2478.0939525</v>
      </c>
      <c r="BH26" s="5">
        <f t="shared" si="32"/>
        <v>2478.0939525</v>
      </c>
      <c r="BI26" s="36">
        <f t="shared" si="33"/>
        <v>907.6399154999999</v>
      </c>
      <c r="BJ26"/>
      <c r="BL26" s="5">
        <f t="shared" si="34"/>
        <v>169.4708325</v>
      </c>
      <c r="BM26" s="5">
        <f t="shared" si="35"/>
        <v>169.4708325</v>
      </c>
      <c r="BN26" s="36">
        <f t="shared" si="36"/>
        <v>62.0712915</v>
      </c>
      <c r="BO26"/>
      <c r="BQ26" s="5">
        <f t="shared" si="37"/>
        <v>2283.637455</v>
      </c>
      <c r="BR26" s="5">
        <f t="shared" si="38"/>
        <v>2283.637455</v>
      </c>
      <c r="BS26" s="36">
        <f t="shared" si="39"/>
        <v>836.417241</v>
      </c>
      <c r="BT26"/>
      <c r="BV26" s="5">
        <f t="shared" si="40"/>
        <v>28.0598175</v>
      </c>
      <c r="BW26" s="5">
        <f t="shared" si="41"/>
        <v>28.0598175</v>
      </c>
      <c r="BX26" s="36">
        <f t="shared" si="42"/>
        <v>10.277338499999999</v>
      </c>
      <c r="BY26"/>
      <c r="CA26" s="5">
        <f t="shared" si="43"/>
        <v>3061.7250750000003</v>
      </c>
      <c r="CB26" s="5">
        <f t="shared" si="44"/>
        <v>3061.7250750000003</v>
      </c>
      <c r="CC26" s="36">
        <f t="shared" si="45"/>
        <v>1121.403765</v>
      </c>
      <c r="CD26"/>
      <c r="CF26" s="5">
        <f t="shared" si="46"/>
        <v>360.1991025</v>
      </c>
      <c r="CG26" s="5">
        <f t="shared" si="47"/>
        <v>360.1991025</v>
      </c>
      <c r="CH26" s="36">
        <f t="shared" si="48"/>
        <v>131.9284455</v>
      </c>
      <c r="CI26"/>
      <c r="CK26" s="5">
        <f t="shared" si="49"/>
        <v>112.5009</v>
      </c>
      <c r="CL26" s="36">
        <f t="shared" si="50"/>
        <v>112.5009</v>
      </c>
      <c r="CM26" s="36">
        <f t="shared" si="51"/>
        <v>41.20518</v>
      </c>
      <c r="CN26"/>
      <c r="CP26" s="5">
        <f t="shared" si="52"/>
        <v>2614.1415524999998</v>
      </c>
      <c r="CQ26" s="36">
        <f t="shared" si="53"/>
        <v>2614.1415524999998</v>
      </c>
      <c r="CR26" s="36">
        <f t="shared" si="54"/>
        <v>957.4694354999999</v>
      </c>
      <c r="CU26" s="5">
        <f t="shared" si="55"/>
        <v>1343.9933099999998</v>
      </c>
      <c r="CV26" s="5">
        <f t="shared" si="56"/>
        <v>1343.9933099999998</v>
      </c>
      <c r="CW26" s="36">
        <f t="shared" si="57"/>
        <v>492.25816199999997</v>
      </c>
      <c r="CZ26" s="5">
        <f t="shared" si="58"/>
        <v>498.012705</v>
      </c>
      <c r="DA26" s="5">
        <f t="shared" si="59"/>
        <v>498.012705</v>
      </c>
      <c r="DB26" s="36">
        <f t="shared" si="60"/>
        <v>182.404791</v>
      </c>
      <c r="DE26" s="5">
        <f t="shared" si="61"/>
        <v>1027.6172325</v>
      </c>
      <c r="DF26" s="5">
        <f t="shared" si="62"/>
        <v>1027.6172325</v>
      </c>
      <c r="DG26" s="36">
        <f t="shared" si="63"/>
        <v>376.3805715</v>
      </c>
      <c r="DJ26" s="36">
        <f t="shared" si="64"/>
        <v>7648.4260125</v>
      </c>
      <c r="DK26" s="36">
        <f t="shared" si="65"/>
        <v>7648.4260125</v>
      </c>
      <c r="DL26" s="36">
        <f t="shared" si="66"/>
        <v>2801.3533275</v>
      </c>
      <c r="DO26" s="36">
        <f t="shared" si="67"/>
        <v>249.59502</v>
      </c>
      <c r="DP26" s="36">
        <f t="shared" si="68"/>
        <v>249.59502</v>
      </c>
      <c r="DQ26" s="36">
        <f t="shared" si="69"/>
        <v>91.418004</v>
      </c>
    </row>
    <row r="27" spans="1:121" ht="12.75">
      <c r="A27" s="37">
        <v>46478</v>
      </c>
      <c r="C27" s="3">
        <v>6740000</v>
      </c>
      <c r="D27" s="3">
        <v>654075</v>
      </c>
      <c r="E27" s="35">
        <f t="shared" si="0"/>
        <v>7394075</v>
      </c>
      <c r="F27" s="35">
        <v>239565</v>
      </c>
      <c r="H27" s="47">
        <f>M27+R27+W27+AB27+AG27+AL27+AQ27+AV27+BA27+BF27+BK27+BP27+BU27+BZ27+CE27+CJ27+CO27+CT27+CY27+DD27+DI27+DN27</f>
        <v>451846.90400000004</v>
      </c>
      <c r="I27" s="36">
        <f t="shared" si="1"/>
        <v>43848.926369999994</v>
      </c>
      <c r="J27" s="36">
        <f t="shared" si="2"/>
        <v>495695.83037000004</v>
      </c>
      <c r="K27" s="36">
        <f t="shared" si="3"/>
        <v>16060.341773999997</v>
      </c>
      <c r="L27"/>
      <c r="M27" s="5">
        <f t="shared" si="70"/>
        <v>108957.49200000001</v>
      </c>
      <c r="N27" s="5">
        <f t="shared" si="4"/>
        <v>10573.645635</v>
      </c>
      <c r="O27" s="5">
        <f t="shared" si="5"/>
        <v>119531.13763500002</v>
      </c>
      <c r="P27" s="36">
        <f t="shared" si="6"/>
        <v>3872.7598770000004</v>
      </c>
      <c r="Q27"/>
      <c r="R27" s="5">
        <f t="shared" si="71"/>
        <v>535.8299999999999</v>
      </c>
      <c r="S27" s="5">
        <f t="shared" si="7"/>
        <v>51.9989625</v>
      </c>
      <c r="T27" s="5">
        <f t="shared" si="8"/>
        <v>587.8289624999999</v>
      </c>
      <c r="U27" s="36">
        <f t="shared" si="9"/>
        <v>19.0454175</v>
      </c>
      <c r="V27"/>
      <c r="W27" s="5">
        <f t="shared" si="72"/>
        <v>602.556</v>
      </c>
      <c r="X27" s="5">
        <f t="shared" si="10"/>
        <v>58.474305</v>
      </c>
      <c r="Y27" s="5">
        <f t="shared" si="11"/>
        <v>661.030305</v>
      </c>
      <c r="Z27" s="36">
        <f t="shared" si="12"/>
        <v>21.417111000000002</v>
      </c>
      <c r="AA27"/>
      <c r="AB27" s="5">
        <f t="shared" si="73"/>
        <v>25705.685999999998</v>
      </c>
      <c r="AC27" s="5">
        <f t="shared" si="13"/>
        <v>2494.5766424999997</v>
      </c>
      <c r="AD27" s="5">
        <f t="shared" si="14"/>
        <v>28200.262642499998</v>
      </c>
      <c r="AE27" s="36">
        <f t="shared" si="15"/>
        <v>913.6769535</v>
      </c>
      <c r="AF27"/>
      <c r="AG27" s="5">
        <f t="shared" si="74"/>
        <v>6316.054</v>
      </c>
      <c r="AH27" s="5">
        <f t="shared" si="16"/>
        <v>612.9336824999999</v>
      </c>
      <c r="AI27" s="5">
        <f t="shared" si="17"/>
        <v>6928.9876825</v>
      </c>
      <c r="AJ27" s="36">
        <f t="shared" si="18"/>
        <v>224.49636149999998</v>
      </c>
      <c r="AK27"/>
      <c r="AL27" s="5">
        <f t="shared" si="75"/>
        <v>6879.518</v>
      </c>
      <c r="AM27" s="5">
        <f t="shared" si="19"/>
        <v>667.6143525</v>
      </c>
      <c r="AN27" s="5">
        <f t="shared" si="20"/>
        <v>7547.1323525</v>
      </c>
      <c r="AO27" s="36">
        <f t="shared" si="21"/>
        <v>244.5239955</v>
      </c>
      <c r="AP27"/>
      <c r="AQ27" s="5">
        <f t="shared" si="76"/>
        <v>11082.582</v>
      </c>
      <c r="AR27" s="5">
        <f t="shared" si="22"/>
        <v>1075.4955225</v>
      </c>
      <c r="AS27" s="5">
        <f t="shared" si="23"/>
        <v>12158.0775225</v>
      </c>
      <c r="AT27" s="36">
        <f t="shared" si="24"/>
        <v>393.91672950000003</v>
      </c>
      <c r="AU27"/>
      <c r="AV27" s="5">
        <f t="shared" si="77"/>
        <v>60789.407999999996</v>
      </c>
      <c r="AW27" s="5">
        <f t="shared" si="25"/>
        <v>5899.23324</v>
      </c>
      <c r="AX27" s="5">
        <f t="shared" si="26"/>
        <v>66688.64124</v>
      </c>
      <c r="AY27" s="36">
        <f t="shared" si="27"/>
        <v>2160.684648</v>
      </c>
      <c r="AZ27"/>
      <c r="BA27" s="5">
        <f t="shared" si="78"/>
        <v>5559.152</v>
      </c>
      <c r="BB27" s="5">
        <f t="shared" si="28"/>
        <v>539.48106</v>
      </c>
      <c r="BC27" s="5">
        <f t="shared" si="29"/>
        <v>6098.63306</v>
      </c>
      <c r="BD27" s="36">
        <f t="shared" si="30"/>
        <v>197.593212</v>
      </c>
      <c r="BE27"/>
      <c r="BF27" s="5">
        <f t="shared" si="79"/>
        <v>25535.838</v>
      </c>
      <c r="BG27" s="5">
        <f t="shared" si="31"/>
        <v>2478.0939525</v>
      </c>
      <c r="BH27" s="5">
        <f t="shared" si="32"/>
        <v>28013.9319525</v>
      </c>
      <c r="BI27" s="36">
        <f t="shared" si="33"/>
        <v>907.6399154999999</v>
      </c>
      <c r="BJ27"/>
      <c r="BK27" s="5">
        <f t="shared" si="80"/>
        <v>1746.334</v>
      </c>
      <c r="BL27" s="5">
        <f t="shared" si="34"/>
        <v>169.4708325</v>
      </c>
      <c r="BM27" s="5">
        <f t="shared" si="35"/>
        <v>1915.8048325</v>
      </c>
      <c r="BN27" s="36">
        <f t="shared" si="36"/>
        <v>62.0712915</v>
      </c>
      <c r="BO27"/>
      <c r="BP27" s="5">
        <f t="shared" si="81"/>
        <v>23532.036</v>
      </c>
      <c r="BQ27" s="5">
        <f t="shared" si="37"/>
        <v>2283.637455</v>
      </c>
      <c r="BR27" s="5">
        <f t="shared" si="38"/>
        <v>25815.673455</v>
      </c>
      <c r="BS27" s="36">
        <f t="shared" si="39"/>
        <v>836.417241</v>
      </c>
      <c r="BT27"/>
      <c r="BU27" s="5">
        <f t="shared" si="82"/>
        <v>289.146</v>
      </c>
      <c r="BV27" s="5">
        <f t="shared" si="40"/>
        <v>28.0598175</v>
      </c>
      <c r="BW27" s="5">
        <f t="shared" si="41"/>
        <v>317.2058175</v>
      </c>
      <c r="BX27" s="36">
        <f t="shared" si="42"/>
        <v>10.277338499999999</v>
      </c>
      <c r="BY27"/>
      <c r="BZ27" s="5">
        <f t="shared" si="83"/>
        <v>31549.940000000002</v>
      </c>
      <c r="CA27" s="5">
        <f t="shared" si="43"/>
        <v>3061.7250750000003</v>
      </c>
      <c r="CB27" s="5">
        <f t="shared" si="44"/>
        <v>34611.665075000004</v>
      </c>
      <c r="CC27" s="36">
        <f t="shared" si="45"/>
        <v>1121.403765</v>
      </c>
      <c r="CD27"/>
      <c r="CE27" s="5">
        <f t="shared" si="84"/>
        <v>3711.718</v>
      </c>
      <c r="CF27" s="5">
        <f t="shared" si="46"/>
        <v>360.1991025</v>
      </c>
      <c r="CG27" s="5">
        <f t="shared" si="47"/>
        <v>4071.9171024999996</v>
      </c>
      <c r="CH27" s="36">
        <f t="shared" si="48"/>
        <v>131.9284455</v>
      </c>
      <c r="CI27"/>
      <c r="CJ27" s="5">
        <f t="shared" si="85"/>
        <v>1159.28</v>
      </c>
      <c r="CK27" s="5">
        <f t="shared" si="49"/>
        <v>112.5009</v>
      </c>
      <c r="CL27" s="36">
        <f t="shared" si="50"/>
        <v>1271.7809</v>
      </c>
      <c r="CM27" s="36">
        <f t="shared" si="51"/>
        <v>41.20518</v>
      </c>
      <c r="CN27"/>
      <c r="CO27" s="5">
        <f t="shared" si="86"/>
        <v>26937.757999999998</v>
      </c>
      <c r="CP27" s="5">
        <f t="shared" si="52"/>
        <v>2614.1415524999998</v>
      </c>
      <c r="CQ27" s="36">
        <f t="shared" si="53"/>
        <v>29551.8995525</v>
      </c>
      <c r="CR27" s="36">
        <f t="shared" si="54"/>
        <v>957.4694354999999</v>
      </c>
      <c r="CT27" s="5">
        <f t="shared" si="87"/>
        <v>13849.351999999999</v>
      </c>
      <c r="CU27" s="5">
        <f t="shared" si="55"/>
        <v>1343.9933099999998</v>
      </c>
      <c r="CV27" s="5">
        <f t="shared" si="56"/>
        <v>15193.345309999999</v>
      </c>
      <c r="CW27" s="36">
        <f t="shared" si="57"/>
        <v>492.25816199999997</v>
      </c>
      <c r="CY27" s="5">
        <f t="shared" si="88"/>
        <v>5131.835999999999</v>
      </c>
      <c r="CZ27" s="5">
        <f t="shared" si="58"/>
        <v>498.012705</v>
      </c>
      <c r="DA27" s="5">
        <f t="shared" si="59"/>
        <v>5629.848704999999</v>
      </c>
      <c r="DB27" s="36">
        <f t="shared" si="60"/>
        <v>182.404791</v>
      </c>
      <c r="DD27" s="5">
        <f t="shared" si="89"/>
        <v>10589.214</v>
      </c>
      <c r="DE27" s="5">
        <f t="shared" si="61"/>
        <v>1027.6172325</v>
      </c>
      <c r="DF27" s="5">
        <f t="shared" si="62"/>
        <v>11616.8312325</v>
      </c>
      <c r="DG27" s="36">
        <f t="shared" si="63"/>
        <v>376.3805715</v>
      </c>
      <c r="DI27" s="5">
        <f t="shared" si="90"/>
        <v>78814.19</v>
      </c>
      <c r="DJ27" s="36">
        <f t="shared" si="64"/>
        <v>7648.4260125</v>
      </c>
      <c r="DK27" s="36">
        <f t="shared" si="65"/>
        <v>86462.6160125</v>
      </c>
      <c r="DL27" s="36">
        <f t="shared" si="66"/>
        <v>2801.3533275</v>
      </c>
      <c r="DN27" s="5">
        <f t="shared" si="91"/>
        <v>2571.984</v>
      </c>
      <c r="DO27" s="36">
        <f t="shared" si="67"/>
        <v>249.59502</v>
      </c>
      <c r="DP27" s="36">
        <f t="shared" si="68"/>
        <v>2821.57902</v>
      </c>
      <c r="DQ27" s="36">
        <f t="shared" si="69"/>
        <v>91.418004</v>
      </c>
    </row>
    <row r="28" spans="1:121" ht="12.75">
      <c r="A28" s="37">
        <v>46661</v>
      </c>
      <c r="D28" s="3">
        <v>552975</v>
      </c>
      <c r="E28" s="35">
        <f t="shared" si="0"/>
        <v>552975</v>
      </c>
      <c r="F28" s="35">
        <v>239565</v>
      </c>
      <c r="H28" s="47"/>
      <c r="I28" s="36">
        <f t="shared" si="1"/>
        <v>37071.22281</v>
      </c>
      <c r="J28" s="36">
        <f t="shared" si="2"/>
        <v>37071.22281</v>
      </c>
      <c r="K28" s="36">
        <f t="shared" si="3"/>
        <v>16060.341773999997</v>
      </c>
      <c r="L28"/>
      <c r="N28" s="5">
        <f t="shared" si="4"/>
        <v>8939.283255</v>
      </c>
      <c r="O28" s="5">
        <f t="shared" si="5"/>
        <v>8939.283255</v>
      </c>
      <c r="P28" s="36">
        <f t="shared" si="6"/>
        <v>3872.7598770000004</v>
      </c>
      <c r="Q28"/>
      <c r="S28" s="5">
        <f t="shared" si="7"/>
        <v>43.9615125</v>
      </c>
      <c r="T28" s="5">
        <f t="shared" si="8"/>
        <v>43.9615125</v>
      </c>
      <c r="U28" s="36">
        <f t="shared" si="9"/>
        <v>19.0454175</v>
      </c>
      <c r="V28"/>
      <c r="X28" s="5">
        <f t="shared" si="10"/>
        <v>49.435965</v>
      </c>
      <c r="Y28" s="5">
        <f t="shared" si="11"/>
        <v>49.435965</v>
      </c>
      <c r="Z28" s="36">
        <f t="shared" si="12"/>
        <v>21.417111000000002</v>
      </c>
      <c r="AA28"/>
      <c r="AC28" s="5">
        <f t="shared" si="13"/>
        <v>2108.9913524999997</v>
      </c>
      <c r="AD28" s="5">
        <f t="shared" si="14"/>
        <v>2108.9913524999997</v>
      </c>
      <c r="AE28" s="36">
        <f t="shared" si="15"/>
        <v>913.6769535</v>
      </c>
      <c r="AF28"/>
      <c r="AH28" s="5">
        <f t="shared" si="16"/>
        <v>518.1928725</v>
      </c>
      <c r="AI28" s="5">
        <f t="shared" si="17"/>
        <v>518.1928725</v>
      </c>
      <c r="AJ28" s="36">
        <f t="shared" si="18"/>
        <v>224.49636149999998</v>
      </c>
      <c r="AK28"/>
      <c r="AM28" s="5">
        <f t="shared" si="19"/>
        <v>564.4215825</v>
      </c>
      <c r="AN28" s="5">
        <f t="shared" si="20"/>
        <v>564.4215825</v>
      </c>
      <c r="AO28" s="36">
        <f t="shared" si="21"/>
        <v>244.5239955</v>
      </c>
      <c r="AP28"/>
      <c r="AR28" s="5">
        <f t="shared" si="22"/>
        <v>909.2567925</v>
      </c>
      <c r="AS28" s="5">
        <f t="shared" si="23"/>
        <v>909.2567925</v>
      </c>
      <c r="AT28" s="36">
        <f t="shared" si="24"/>
        <v>393.91672950000003</v>
      </c>
      <c r="AU28"/>
      <c r="AW28" s="5">
        <f t="shared" si="25"/>
        <v>4987.3921199999995</v>
      </c>
      <c r="AX28" s="5">
        <f t="shared" si="26"/>
        <v>4987.3921199999995</v>
      </c>
      <c r="AY28" s="36">
        <f t="shared" si="27"/>
        <v>2160.684648</v>
      </c>
      <c r="AZ28"/>
      <c r="BB28" s="5">
        <f t="shared" si="28"/>
        <v>456.09378</v>
      </c>
      <c r="BC28" s="5">
        <f t="shared" si="29"/>
        <v>456.09378</v>
      </c>
      <c r="BD28" s="36">
        <f t="shared" si="30"/>
        <v>197.593212</v>
      </c>
      <c r="BE28"/>
      <c r="BG28" s="5">
        <f t="shared" si="31"/>
        <v>2095.0563825</v>
      </c>
      <c r="BH28" s="5">
        <f t="shared" si="32"/>
        <v>2095.0563825</v>
      </c>
      <c r="BI28" s="36">
        <f t="shared" si="33"/>
        <v>907.6399154999999</v>
      </c>
      <c r="BJ28"/>
      <c r="BL28" s="5">
        <f t="shared" si="34"/>
        <v>143.2758225</v>
      </c>
      <c r="BM28" s="5">
        <f t="shared" si="35"/>
        <v>143.2758225</v>
      </c>
      <c r="BN28" s="36">
        <f t="shared" si="36"/>
        <v>62.0712915</v>
      </c>
      <c r="BO28"/>
      <c r="BQ28" s="5">
        <f t="shared" si="37"/>
        <v>1930.656915</v>
      </c>
      <c r="BR28" s="5">
        <f t="shared" si="38"/>
        <v>1930.656915</v>
      </c>
      <c r="BS28" s="36">
        <f t="shared" si="39"/>
        <v>836.417241</v>
      </c>
      <c r="BT28"/>
      <c r="BV28" s="5">
        <f t="shared" si="40"/>
        <v>23.722627499999998</v>
      </c>
      <c r="BW28" s="5">
        <f t="shared" si="41"/>
        <v>23.722627499999998</v>
      </c>
      <c r="BX28" s="36">
        <f t="shared" si="42"/>
        <v>10.277338499999999</v>
      </c>
      <c r="BY28"/>
      <c r="CA28" s="5">
        <f t="shared" si="43"/>
        <v>2588.4759750000003</v>
      </c>
      <c r="CB28" s="5">
        <f t="shared" si="44"/>
        <v>2588.4759750000003</v>
      </c>
      <c r="CC28" s="36">
        <f t="shared" si="45"/>
        <v>1121.403765</v>
      </c>
      <c r="CD28"/>
      <c r="CF28" s="5">
        <f t="shared" si="46"/>
        <v>304.5233325</v>
      </c>
      <c r="CG28" s="5">
        <f t="shared" si="47"/>
        <v>304.5233325</v>
      </c>
      <c r="CH28" s="36">
        <f t="shared" si="48"/>
        <v>131.9284455</v>
      </c>
      <c r="CI28"/>
      <c r="CK28" s="5">
        <f t="shared" si="49"/>
        <v>95.1117</v>
      </c>
      <c r="CL28" s="36">
        <f t="shared" si="50"/>
        <v>95.1117</v>
      </c>
      <c r="CM28" s="36">
        <f t="shared" si="51"/>
        <v>41.20518</v>
      </c>
      <c r="CN28"/>
      <c r="CP28" s="5">
        <f t="shared" si="52"/>
        <v>2210.0751824999998</v>
      </c>
      <c r="CQ28" s="36">
        <f t="shared" si="53"/>
        <v>2210.0751824999998</v>
      </c>
      <c r="CR28" s="36">
        <f t="shared" si="54"/>
        <v>957.4694354999999</v>
      </c>
      <c r="CU28" s="5">
        <f t="shared" si="55"/>
        <v>1136.2530299999999</v>
      </c>
      <c r="CV28" s="5">
        <f t="shared" si="56"/>
        <v>1136.2530299999999</v>
      </c>
      <c r="CW28" s="36">
        <f t="shared" si="57"/>
        <v>492.25816199999997</v>
      </c>
      <c r="CZ28" s="5">
        <f t="shared" si="58"/>
        <v>421.035165</v>
      </c>
      <c r="DA28" s="5">
        <f t="shared" si="59"/>
        <v>421.035165</v>
      </c>
      <c r="DB28" s="36">
        <f t="shared" si="60"/>
        <v>182.404791</v>
      </c>
      <c r="DE28" s="5">
        <f t="shared" si="61"/>
        <v>868.7790225</v>
      </c>
      <c r="DF28" s="5">
        <f t="shared" si="62"/>
        <v>868.7790225</v>
      </c>
      <c r="DG28" s="36">
        <f t="shared" si="63"/>
        <v>376.3805715</v>
      </c>
      <c r="DJ28" s="36">
        <f t="shared" si="64"/>
        <v>6466.2131625</v>
      </c>
      <c r="DK28" s="36">
        <f t="shared" si="65"/>
        <v>6466.2131625</v>
      </c>
      <c r="DL28" s="36">
        <f t="shared" si="66"/>
        <v>2801.3533275</v>
      </c>
      <c r="DO28" s="36">
        <f t="shared" si="67"/>
        <v>211.01526</v>
      </c>
      <c r="DP28" s="36">
        <f t="shared" si="68"/>
        <v>211.01526</v>
      </c>
      <c r="DQ28" s="36">
        <f t="shared" si="69"/>
        <v>91.418004</v>
      </c>
    </row>
    <row r="29" spans="1:121" ht="12.75">
      <c r="A29" s="37">
        <v>46844</v>
      </c>
      <c r="C29" s="3">
        <v>6945000</v>
      </c>
      <c r="D29" s="3">
        <v>552975</v>
      </c>
      <c r="E29" s="35">
        <f t="shared" si="0"/>
        <v>7497975</v>
      </c>
      <c r="F29" s="35">
        <v>239565</v>
      </c>
      <c r="H29" s="47">
        <f>M29+R29+W29+AB29+AG29+AL29+AQ29+AV29+BA29+BF29+BK29+BP29+BU29+BZ29+CE29+CJ29+CO29+CT29+CY29+DD29+DI29+DN29</f>
        <v>465590.02199999994</v>
      </c>
      <c r="I29" s="36">
        <f t="shared" si="1"/>
        <v>37071.22281</v>
      </c>
      <c r="J29" s="36">
        <f t="shared" si="2"/>
        <v>502661.24480999995</v>
      </c>
      <c r="K29" s="36">
        <f t="shared" si="3"/>
        <v>16060.341773999997</v>
      </c>
      <c r="L29"/>
      <c r="M29" s="5">
        <f t="shared" si="70"/>
        <v>112271.481</v>
      </c>
      <c r="N29" s="5">
        <f t="shared" si="4"/>
        <v>8939.283255</v>
      </c>
      <c r="O29" s="5">
        <f t="shared" si="5"/>
        <v>121210.764255</v>
      </c>
      <c r="P29" s="36">
        <f t="shared" si="6"/>
        <v>3872.7598770000004</v>
      </c>
      <c r="Q29"/>
      <c r="R29" s="5">
        <f t="shared" si="71"/>
        <v>552.1274999999999</v>
      </c>
      <c r="S29" s="5">
        <f t="shared" si="7"/>
        <v>43.9615125</v>
      </c>
      <c r="T29" s="5">
        <f t="shared" si="8"/>
        <v>596.0890125</v>
      </c>
      <c r="U29" s="36">
        <f t="shared" si="9"/>
        <v>19.0454175</v>
      </c>
      <c r="V29"/>
      <c r="W29" s="5">
        <f t="shared" si="72"/>
        <v>620.883</v>
      </c>
      <c r="X29" s="5">
        <f t="shared" si="10"/>
        <v>49.435965</v>
      </c>
      <c r="Y29" s="5">
        <f t="shared" si="11"/>
        <v>670.318965</v>
      </c>
      <c r="Z29" s="36">
        <f t="shared" si="12"/>
        <v>21.417111000000002</v>
      </c>
      <c r="AA29"/>
      <c r="AB29" s="5">
        <f t="shared" si="73"/>
        <v>26487.535499999998</v>
      </c>
      <c r="AC29" s="5">
        <f t="shared" si="13"/>
        <v>2108.9913524999997</v>
      </c>
      <c r="AD29" s="5">
        <f t="shared" si="14"/>
        <v>28596.5268525</v>
      </c>
      <c r="AE29" s="36">
        <f t="shared" si="15"/>
        <v>913.6769535</v>
      </c>
      <c r="AF29"/>
      <c r="AG29" s="5">
        <f t="shared" si="74"/>
        <v>6508.1595</v>
      </c>
      <c r="AH29" s="5">
        <f t="shared" si="16"/>
        <v>518.1928725</v>
      </c>
      <c r="AI29" s="5">
        <f t="shared" si="17"/>
        <v>7026.3523725</v>
      </c>
      <c r="AJ29" s="36">
        <f t="shared" si="18"/>
        <v>224.49636149999998</v>
      </c>
      <c r="AK29"/>
      <c r="AL29" s="5">
        <f t="shared" si="75"/>
        <v>7088.7615000000005</v>
      </c>
      <c r="AM29" s="5">
        <f t="shared" si="19"/>
        <v>564.4215825</v>
      </c>
      <c r="AN29" s="5">
        <f t="shared" si="20"/>
        <v>7653.183082500001</v>
      </c>
      <c r="AO29" s="36">
        <f t="shared" si="21"/>
        <v>244.5239955</v>
      </c>
      <c r="AP29"/>
      <c r="AQ29" s="5">
        <f t="shared" si="76"/>
        <v>11419.6635</v>
      </c>
      <c r="AR29" s="5">
        <f t="shared" si="22"/>
        <v>909.2567925</v>
      </c>
      <c r="AS29" s="5">
        <f t="shared" si="23"/>
        <v>12328.9202925</v>
      </c>
      <c r="AT29" s="36">
        <f t="shared" si="24"/>
        <v>393.91672950000003</v>
      </c>
      <c r="AU29"/>
      <c r="AV29" s="5">
        <f t="shared" si="77"/>
        <v>62638.344</v>
      </c>
      <c r="AW29" s="5">
        <f t="shared" si="25"/>
        <v>4987.3921199999995</v>
      </c>
      <c r="AX29" s="5">
        <f t="shared" si="26"/>
        <v>67625.73612</v>
      </c>
      <c r="AY29" s="36">
        <f t="shared" si="27"/>
        <v>2160.684648</v>
      </c>
      <c r="AZ29"/>
      <c r="BA29" s="5">
        <f t="shared" si="78"/>
        <v>5728.236</v>
      </c>
      <c r="BB29" s="5">
        <f t="shared" si="28"/>
        <v>456.09378</v>
      </c>
      <c r="BC29" s="5">
        <f t="shared" si="29"/>
        <v>6184.32978</v>
      </c>
      <c r="BD29" s="36">
        <f t="shared" si="30"/>
        <v>197.593212</v>
      </c>
      <c r="BE29"/>
      <c r="BF29" s="5">
        <f t="shared" si="79"/>
        <v>26312.5215</v>
      </c>
      <c r="BG29" s="5">
        <f t="shared" si="31"/>
        <v>2095.0563825</v>
      </c>
      <c r="BH29" s="5">
        <f t="shared" si="32"/>
        <v>28407.577882499998</v>
      </c>
      <c r="BI29" s="36">
        <f t="shared" si="33"/>
        <v>907.6399154999999</v>
      </c>
      <c r="BJ29"/>
      <c r="BK29" s="5">
        <f t="shared" si="80"/>
        <v>1799.4495000000002</v>
      </c>
      <c r="BL29" s="5">
        <f t="shared" si="34"/>
        <v>143.2758225</v>
      </c>
      <c r="BM29" s="5">
        <f t="shared" si="35"/>
        <v>1942.7253225000002</v>
      </c>
      <c r="BN29" s="36">
        <f t="shared" si="36"/>
        <v>62.0712915</v>
      </c>
      <c r="BO29"/>
      <c r="BP29" s="5">
        <f t="shared" si="81"/>
        <v>24247.773</v>
      </c>
      <c r="BQ29" s="5">
        <f t="shared" si="37"/>
        <v>1930.656915</v>
      </c>
      <c r="BR29" s="5">
        <f t="shared" si="38"/>
        <v>26178.429915</v>
      </c>
      <c r="BS29" s="36">
        <f t="shared" si="39"/>
        <v>836.417241</v>
      </c>
      <c r="BT29"/>
      <c r="BU29" s="5">
        <f t="shared" si="82"/>
        <v>297.9405</v>
      </c>
      <c r="BV29" s="5">
        <f t="shared" si="40"/>
        <v>23.722627499999998</v>
      </c>
      <c r="BW29" s="5">
        <f t="shared" si="41"/>
        <v>321.6631275</v>
      </c>
      <c r="BX29" s="36">
        <f t="shared" si="42"/>
        <v>10.277338499999999</v>
      </c>
      <c r="BY29"/>
      <c r="BZ29" s="5">
        <f t="shared" si="83"/>
        <v>32509.545000000002</v>
      </c>
      <c r="CA29" s="5">
        <f t="shared" si="43"/>
        <v>2588.4759750000003</v>
      </c>
      <c r="CB29" s="5">
        <f t="shared" si="44"/>
        <v>35098.020975</v>
      </c>
      <c r="CC29" s="36">
        <f t="shared" si="45"/>
        <v>1121.403765</v>
      </c>
      <c r="CD29"/>
      <c r="CE29" s="5">
        <f t="shared" si="84"/>
        <v>3824.6115</v>
      </c>
      <c r="CF29" s="5">
        <f t="shared" si="46"/>
        <v>304.5233325</v>
      </c>
      <c r="CG29" s="5">
        <f t="shared" si="47"/>
        <v>4129.1348325</v>
      </c>
      <c r="CH29" s="36">
        <f t="shared" si="48"/>
        <v>131.9284455</v>
      </c>
      <c r="CI29"/>
      <c r="CJ29" s="5">
        <f t="shared" si="85"/>
        <v>1194.54</v>
      </c>
      <c r="CK29" s="5">
        <f t="shared" si="49"/>
        <v>95.1117</v>
      </c>
      <c r="CL29" s="36">
        <f t="shared" si="50"/>
        <v>1289.6517</v>
      </c>
      <c r="CM29" s="36">
        <f t="shared" si="51"/>
        <v>41.20518</v>
      </c>
      <c r="CN29"/>
      <c r="CO29" s="5">
        <f t="shared" si="86"/>
        <v>27757.081499999997</v>
      </c>
      <c r="CP29" s="5">
        <f t="shared" si="52"/>
        <v>2210.0751824999998</v>
      </c>
      <c r="CQ29" s="36">
        <f t="shared" si="53"/>
        <v>29967.156682499997</v>
      </c>
      <c r="CR29" s="36">
        <f t="shared" si="54"/>
        <v>957.4694354999999</v>
      </c>
      <c r="CT29" s="5">
        <f t="shared" si="87"/>
        <v>14270.586</v>
      </c>
      <c r="CU29" s="5">
        <f t="shared" si="55"/>
        <v>1136.2530299999999</v>
      </c>
      <c r="CV29" s="5">
        <f t="shared" si="56"/>
        <v>15406.83903</v>
      </c>
      <c r="CW29" s="36">
        <f t="shared" si="57"/>
        <v>492.25816199999997</v>
      </c>
      <c r="CY29" s="5">
        <f t="shared" si="88"/>
        <v>5287.923</v>
      </c>
      <c r="CZ29" s="5">
        <f t="shared" si="58"/>
        <v>421.035165</v>
      </c>
      <c r="DA29" s="5">
        <f t="shared" si="59"/>
        <v>5708.958165</v>
      </c>
      <c r="DB29" s="36">
        <f t="shared" si="60"/>
        <v>182.404791</v>
      </c>
      <c r="DD29" s="5">
        <f t="shared" si="89"/>
        <v>10911.289499999999</v>
      </c>
      <c r="DE29" s="5">
        <f t="shared" si="61"/>
        <v>868.7790225</v>
      </c>
      <c r="DF29" s="5">
        <f t="shared" si="62"/>
        <v>11780.0685225</v>
      </c>
      <c r="DG29" s="36">
        <f t="shared" si="63"/>
        <v>376.3805715</v>
      </c>
      <c r="DI29" s="5">
        <f t="shared" si="90"/>
        <v>81211.3575</v>
      </c>
      <c r="DJ29" s="36">
        <f t="shared" si="64"/>
        <v>6466.2131625</v>
      </c>
      <c r="DK29" s="36">
        <f t="shared" si="65"/>
        <v>87677.5706625</v>
      </c>
      <c r="DL29" s="36">
        <f t="shared" si="66"/>
        <v>2801.3533275</v>
      </c>
      <c r="DN29" s="5">
        <f t="shared" si="91"/>
        <v>2650.212</v>
      </c>
      <c r="DO29" s="36">
        <f t="shared" si="67"/>
        <v>211.01526</v>
      </c>
      <c r="DP29" s="36">
        <f t="shared" si="68"/>
        <v>2861.22726</v>
      </c>
      <c r="DQ29" s="36">
        <f t="shared" si="69"/>
        <v>91.418004</v>
      </c>
    </row>
    <row r="30" spans="1:121" ht="12.75">
      <c r="A30" s="37">
        <v>47027</v>
      </c>
      <c r="D30" s="3">
        <v>448800</v>
      </c>
      <c r="E30" s="35">
        <f t="shared" si="0"/>
        <v>448800</v>
      </c>
      <c r="F30" s="35">
        <v>239565</v>
      </c>
      <c r="H30" s="47"/>
      <c r="I30" s="36">
        <f t="shared" si="1"/>
        <v>30087.372479999998</v>
      </c>
      <c r="J30" s="36">
        <f t="shared" si="2"/>
        <v>30087.372479999998</v>
      </c>
      <c r="K30" s="36">
        <f t="shared" si="3"/>
        <v>16060.341773999997</v>
      </c>
      <c r="L30"/>
      <c r="N30" s="5">
        <f t="shared" si="4"/>
        <v>7255.21104</v>
      </c>
      <c r="O30" s="5">
        <f t="shared" si="5"/>
        <v>7255.21104</v>
      </c>
      <c r="P30" s="36">
        <f t="shared" si="6"/>
        <v>3872.7598770000004</v>
      </c>
      <c r="Q30"/>
      <c r="S30" s="5">
        <f t="shared" si="7"/>
        <v>35.6796</v>
      </c>
      <c r="T30" s="5">
        <f t="shared" si="8"/>
        <v>35.6796</v>
      </c>
      <c r="U30" s="36">
        <f t="shared" si="9"/>
        <v>19.0454175</v>
      </c>
      <c r="V30"/>
      <c r="X30" s="5">
        <f t="shared" si="10"/>
        <v>40.12272</v>
      </c>
      <c r="Y30" s="5">
        <f t="shared" si="11"/>
        <v>40.12272</v>
      </c>
      <c r="Z30" s="36">
        <f t="shared" si="12"/>
        <v>21.417111000000002</v>
      </c>
      <c r="AA30"/>
      <c r="AC30" s="5">
        <f t="shared" si="13"/>
        <v>1711.67832</v>
      </c>
      <c r="AD30" s="5">
        <f t="shared" si="14"/>
        <v>1711.67832</v>
      </c>
      <c r="AE30" s="36">
        <f t="shared" si="15"/>
        <v>913.6769535</v>
      </c>
      <c r="AF30"/>
      <c r="AH30" s="5">
        <f t="shared" si="16"/>
        <v>420.57048</v>
      </c>
      <c r="AI30" s="5">
        <f t="shared" si="17"/>
        <v>420.57048</v>
      </c>
      <c r="AJ30" s="36">
        <f t="shared" si="18"/>
        <v>224.49636149999998</v>
      </c>
      <c r="AK30"/>
      <c r="AM30" s="5">
        <f t="shared" si="19"/>
        <v>458.09016</v>
      </c>
      <c r="AN30" s="5">
        <f t="shared" si="20"/>
        <v>458.09016</v>
      </c>
      <c r="AO30" s="36">
        <f t="shared" si="21"/>
        <v>244.5239955</v>
      </c>
      <c r="AP30"/>
      <c r="AR30" s="5">
        <f t="shared" si="22"/>
        <v>737.96184</v>
      </c>
      <c r="AS30" s="5">
        <f t="shared" si="23"/>
        <v>737.96184</v>
      </c>
      <c r="AT30" s="36">
        <f t="shared" si="24"/>
        <v>393.91672950000003</v>
      </c>
      <c r="AU30"/>
      <c r="AW30" s="5">
        <f t="shared" si="25"/>
        <v>4047.81696</v>
      </c>
      <c r="AX30" s="5">
        <f t="shared" si="26"/>
        <v>4047.81696</v>
      </c>
      <c r="AY30" s="36">
        <f t="shared" si="27"/>
        <v>2160.684648</v>
      </c>
      <c r="AZ30"/>
      <c r="BB30" s="5">
        <f t="shared" si="28"/>
        <v>370.17024</v>
      </c>
      <c r="BC30" s="5">
        <f t="shared" si="29"/>
        <v>370.17024</v>
      </c>
      <c r="BD30" s="36">
        <f t="shared" si="30"/>
        <v>197.593212</v>
      </c>
      <c r="BE30"/>
      <c r="BG30" s="5">
        <f t="shared" si="31"/>
        <v>1700.36856</v>
      </c>
      <c r="BH30" s="5">
        <f t="shared" si="32"/>
        <v>1700.36856</v>
      </c>
      <c r="BI30" s="36">
        <f t="shared" si="33"/>
        <v>907.6399154999999</v>
      </c>
      <c r="BJ30"/>
      <c r="BL30" s="5">
        <f t="shared" si="34"/>
        <v>116.28408</v>
      </c>
      <c r="BM30" s="5">
        <f t="shared" si="35"/>
        <v>116.28408</v>
      </c>
      <c r="BN30" s="36">
        <f t="shared" si="36"/>
        <v>62.0712915</v>
      </c>
      <c r="BO30"/>
      <c r="BQ30" s="5">
        <f t="shared" si="37"/>
        <v>1566.94032</v>
      </c>
      <c r="BR30" s="5">
        <f t="shared" si="38"/>
        <v>1566.94032</v>
      </c>
      <c r="BS30" s="36">
        <f t="shared" si="39"/>
        <v>836.417241</v>
      </c>
      <c r="BT30"/>
      <c r="BV30" s="5">
        <f t="shared" si="40"/>
        <v>19.253519999999998</v>
      </c>
      <c r="BW30" s="5">
        <f t="shared" si="41"/>
        <v>19.253519999999998</v>
      </c>
      <c r="BX30" s="36">
        <f t="shared" si="42"/>
        <v>10.277338499999999</v>
      </c>
      <c r="BY30"/>
      <c r="CA30" s="5">
        <f t="shared" si="43"/>
        <v>2100.8328</v>
      </c>
      <c r="CB30" s="5">
        <f t="shared" si="44"/>
        <v>2100.8328</v>
      </c>
      <c r="CC30" s="36">
        <f t="shared" si="45"/>
        <v>1121.403765</v>
      </c>
      <c r="CD30"/>
      <c r="CF30" s="5">
        <f t="shared" si="46"/>
        <v>247.15416</v>
      </c>
      <c r="CG30" s="5">
        <f t="shared" si="47"/>
        <v>247.15416</v>
      </c>
      <c r="CH30" s="36">
        <f t="shared" si="48"/>
        <v>131.9284455</v>
      </c>
      <c r="CI30"/>
      <c r="CK30" s="5">
        <f t="shared" si="49"/>
        <v>77.1936</v>
      </c>
      <c r="CL30" s="36">
        <f t="shared" si="50"/>
        <v>77.1936</v>
      </c>
      <c r="CM30" s="36">
        <f t="shared" si="51"/>
        <v>41.20518</v>
      </c>
      <c r="CN30"/>
      <c r="CP30" s="5">
        <f t="shared" si="52"/>
        <v>1793.71896</v>
      </c>
      <c r="CQ30" s="36">
        <f t="shared" si="53"/>
        <v>1793.71896</v>
      </c>
      <c r="CR30" s="36">
        <f t="shared" si="54"/>
        <v>957.4694354999999</v>
      </c>
      <c r="CU30" s="5">
        <f t="shared" si="55"/>
        <v>922.1942399999999</v>
      </c>
      <c r="CV30" s="5">
        <f t="shared" si="56"/>
        <v>922.1942399999999</v>
      </c>
      <c r="CW30" s="36">
        <f t="shared" si="57"/>
        <v>492.25816199999997</v>
      </c>
      <c r="CZ30" s="5">
        <f t="shared" si="58"/>
        <v>341.71632</v>
      </c>
      <c r="DA30" s="5">
        <f t="shared" si="59"/>
        <v>341.71632</v>
      </c>
      <c r="DB30" s="36">
        <f t="shared" si="60"/>
        <v>182.404791</v>
      </c>
      <c r="DE30" s="5">
        <f t="shared" si="61"/>
        <v>705.10968</v>
      </c>
      <c r="DF30" s="5">
        <f t="shared" si="62"/>
        <v>705.10968</v>
      </c>
      <c r="DG30" s="36">
        <f t="shared" si="63"/>
        <v>376.3805715</v>
      </c>
      <c r="DJ30" s="36">
        <f t="shared" si="64"/>
        <v>5248.0428</v>
      </c>
      <c r="DK30" s="36">
        <f t="shared" si="65"/>
        <v>5248.0428</v>
      </c>
      <c r="DL30" s="36">
        <f t="shared" si="66"/>
        <v>2801.3533275</v>
      </c>
      <c r="DO30" s="36">
        <f t="shared" si="67"/>
        <v>171.26208</v>
      </c>
      <c r="DP30" s="36">
        <f t="shared" si="68"/>
        <v>171.26208</v>
      </c>
      <c r="DQ30" s="36">
        <f t="shared" si="69"/>
        <v>91.418004</v>
      </c>
    </row>
    <row r="31" spans="1:121" ht="12.75">
      <c r="A31" s="37">
        <v>47209</v>
      </c>
      <c r="C31" s="3">
        <v>7150000</v>
      </c>
      <c r="D31" s="3">
        <v>448800</v>
      </c>
      <c r="E31" s="35">
        <f t="shared" si="0"/>
        <v>7598800</v>
      </c>
      <c r="F31" s="35">
        <v>239565</v>
      </c>
      <c r="H31" s="47">
        <f>M31+R31+W31+AB31+AG31+AL31+AQ31+AV31+BA31+BF31+BK31+BP31+BU31+BZ31+CE31+CJ31+CO31+CT31+CY31+DD31+DI31+DN31</f>
        <v>479333.14</v>
      </c>
      <c r="I31" s="36">
        <f t="shared" si="1"/>
        <v>30087.372479999998</v>
      </c>
      <c r="J31" s="36">
        <f t="shared" si="2"/>
        <v>509420.51248000003</v>
      </c>
      <c r="K31" s="36">
        <f t="shared" si="3"/>
        <v>16060.341773999997</v>
      </c>
      <c r="L31"/>
      <c r="M31" s="5">
        <f t="shared" si="70"/>
        <v>115585.47</v>
      </c>
      <c r="N31" s="5">
        <f t="shared" si="4"/>
        <v>7255.21104</v>
      </c>
      <c r="O31" s="5">
        <f t="shared" si="5"/>
        <v>122840.68104</v>
      </c>
      <c r="P31" s="36">
        <f t="shared" si="6"/>
        <v>3872.7598770000004</v>
      </c>
      <c r="Q31"/>
      <c r="R31" s="5">
        <f t="shared" si="71"/>
        <v>568.425</v>
      </c>
      <c r="S31" s="5">
        <f t="shared" si="7"/>
        <v>35.6796</v>
      </c>
      <c r="T31" s="5">
        <f t="shared" si="8"/>
        <v>604.1046</v>
      </c>
      <c r="U31" s="36">
        <f t="shared" si="9"/>
        <v>19.0454175</v>
      </c>
      <c r="V31"/>
      <c r="W31" s="5">
        <f t="shared" si="72"/>
        <v>639.21</v>
      </c>
      <c r="X31" s="5">
        <f t="shared" si="10"/>
        <v>40.12272</v>
      </c>
      <c r="Y31" s="5">
        <f t="shared" si="11"/>
        <v>679.33272</v>
      </c>
      <c r="Z31" s="36">
        <f t="shared" si="12"/>
        <v>21.417111000000002</v>
      </c>
      <c r="AA31"/>
      <c r="AB31" s="5">
        <f t="shared" si="73"/>
        <v>27269.385</v>
      </c>
      <c r="AC31" s="5">
        <f t="shared" si="13"/>
        <v>1711.67832</v>
      </c>
      <c r="AD31" s="5">
        <f t="shared" si="14"/>
        <v>28981.063319999997</v>
      </c>
      <c r="AE31" s="36">
        <f t="shared" si="15"/>
        <v>913.6769535</v>
      </c>
      <c r="AF31"/>
      <c r="AG31" s="5">
        <f t="shared" si="74"/>
        <v>6700.264999999999</v>
      </c>
      <c r="AH31" s="5">
        <f t="shared" si="16"/>
        <v>420.57048</v>
      </c>
      <c r="AI31" s="5">
        <f t="shared" si="17"/>
        <v>7120.83548</v>
      </c>
      <c r="AJ31" s="36">
        <f t="shared" si="18"/>
        <v>224.49636149999998</v>
      </c>
      <c r="AK31"/>
      <c r="AL31" s="5">
        <f t="shared" si="75"/>
        <v>7298.005</v>
      </c>
      <c r="AM31" s="5">
        <f t="shared" si="19"/>
        <v>458.09016</v>
      </c>
      <c r="AN31" s="5">
        <f t="shared" si="20"/>
        <v>7756.09516</v>
      </c>
      <c r="AO31" s="36">
        <f t="shared" si="21"/>
        <v>244.5239955</v>
      </c>
      <c r="AP31"/>
      <c r="AQ31" s="5">
        <f t="shared" si="76"/>
        <v>11756.745</v>
      </c>
      <c r="AR31" s="5">
        <f t="shared" si="22"/>
        <v>737.96184</v>
      </c>
      <c r="AS31" s="5">
        <f t="shared" si="23"/>
        <v>12494.70684</v>
      </c>
      <c r="AT31" s="36">
        <f t="shared" si="24"/>
        <v>393.91672950000003</v>
      </c>
      <c r="AU31"/>
      <c r="AV31" s="5">
        <f t="shared" si="77"/>
        <v>64487.28</v>
      </c>
      <c r="AW31" s="5">
        <f t="shared" si="25"/>
        <v>4047.81696</v>
      </c>
      <c r="AX31" s="5">
        <f t="shared" si="26"/>
        <v>68535.09696</v>
      </c>
      <c r="AY31" s="36">
        <f t="shared" si="27"/>
        <v>2160.684648</v>
      </c>
      <c r="AZ31"/>
      <c r="BA31" s="5">
        <f t="shared" si="78"/>
        <v>5897.32</v>
      </c>
      <c r="BB31" s="5">
        <f t="shared" si="28"/>
        <v>370.17024</v>
      </c>
      <c r="BC31" s="5">
        <f t="shared" si="29"/>
        <v>6267.49024</v>
      </c>
      <c r="BD31" s="36">
        <f t="shared" si="30"/>
        <v>197.593212</v>
      </c>
      <c r="BE31"/>
      <c r="BF31" s="5">
        <f t="shared" si="79"/>
        <v>27089.204999999998</v>
      </c>
      <c r="BG31" s="5">
        <f t="shared" si="31"/>
        <v>1700.36856</v>
      </c>
      <c r="BH31" s="5">
        <f t="shared" si="32"/>
        <v>28789.573559999997</v>
      </c>
      <c r="BI31" s="36">
        <f t="shared" si="33"/>
        <v>907.6399154999999</v>
      </c>
      <c r="BJ31"/>
      <c r="BK31" s="5">
        <f t="shared" si="80"/>
        <v>1852.565</v>
      </c>
      <c r="BL31" s="5">
        <f t="shared" si="34"/>
        <v>116.28408</v>
      </c>
      <c r="BM31" s="5">
        <f t="shared" si="35"/>
        <v>1968.84908</v>
      </c>
      <c r="BN31" s="36">
        <f t="shared" si="36"/>
        <v>62.0712915</v>
      </c>
      <c r="BO31"/>
      <c r="BP31" s="5">
        <f t="shared" si="81"/>
        <v>24963.51</v>
      </c>
      <c r="BQ31" s="5">
        <f t="shared" si="37"/>
        <v>1566.94032</v>
      </c>
      <c r="BR31" s="5">
        <f t="shared" si="38"/>
        <v>26530.45032</v>
      </c>
      <c r="BS31" s="36">
        <f t="shared" si="39"/>
        <v>836.417241</v>
      </c>
      <c r="BT31"/>
      <c r="BU31" s="5">
        <f t="shared" si="82"/>
        <v>306.735</v>
      </c>
      <c r="BV31" s="5">
        <f t="shared" si="40"/>
        <v>19.253519999999998</v>
      </c>
      <c r="BW31" s="5">
        <f t="shared" si="41"/>
        <v>325.98852</v>
      </c>
      <c r="BX31" s="36">
        <f t="shared" si="42"/>
        <v>10.277338499999999</v>
      </c>
      <c r="BY31"/>
      <c r="BZ31" s="5">
        <f t="shared" si="83"/>
        <v>33469.15</v>
      </c>
      <c r="CA31" s="5">
        <f t="shared" si="43"/>
        <v>2100.8328</v>
      </c>
      <c r="CB31" s="5">
        <f t="shared" si="44"/>
        <v>35569.9828</v>
      </c>
      <c r="CC31" s="36">
        <f t="shared" si="45"/>
        <v>1121.403765</v>
      </c>
      <c r="CD31"/>
      <c r="CE31" s="5">
        <f t="shared" si="84"/>
        <v>3937.505</v>
      </c>
      <c r="CF31" s="5">
        <f t="shared" si="46"/>
        <v>247.15416</v>
      </c>
      <c r="CG31" s="5">
        <f t="shared" si="47"/>
        <v>4184.65916</v>
      </c>
      <c r="CH31" s="36">
        <f t="shared" si="48"/>
        <v>131.9284455</v>
      </c>
      <c r="CI31"/>
      <c r="CJ31" s="5">
        <f t="shared" si="85"/>
        <v>1229.8</v>
      </c>
      <c r="CK31" s="5">
        <f t="shared" si="49"/>
        <v>77.1936</v>
      </c>
      <c r="CL31" s="36">
        <f t="shared" si="50"/>
        <v>1306.9936</v>
      </c>
      <c r="CM31" s="36">
        <f t="shared" si="51"/>
        <v>41.20518</v>
      </c>
      <c r="CN31"/>
      <c r="CO31" s="5">
        <f t="shared" si="86"/>
        <v>28576.405</v>
      </c>
      <c r="CP31" s="5">
        <f t="shared" si="52"/>
        <v>1793.71896</v>
      </c>
      <c r="CQ31" s="36">
        <f t="shared" si="53"/>
        <v>30370.123959999997</v>
      </c>
      <c r="CR31" s="36">
        <f t="shared" si="54"/>
        <v>957.4694354999999</v>
      </c>
      <c r="CT31" s="5">
        <f t="shared" si="87"/>
        <v>14691.82</v>
      </c>
      <c r="CU31" s="5">
        <f t="shared" si="55"/>
        <v>922.1942399999999</v>
      </c>
      <c r="CV31" s="5">
        <f t="shared" si="56"/>
        <v>15614.01424</v>
      </c>
      <c r="CW31" s="36">
        <f t="shared" si="57"/>
        <v>492.25816199999997</v>
      </c>
      <c r="CY31" s="5">
        <f t="shared" si="88"/>
        <v>5444.01</v>
      </c>
      <c r="CZ31" s="5">
        <f t="shared" si="58"/>
        <v>341.71632</v>
      </c>
      <c r="DA31" s="5">
        <f t="shared" si="59"/>
        <v>5785.72632</v>
      </c>
      <c r="DB31" s="36">
        <f t="shared" si="60"/>
        <v>182.404791</v>
      </c>
      <c r="DD31" s="5">
        <f t="shared" si="89"/>
        <v>11233.365</v>
      </c>
      <c r="DE31" s="5">
        <f t="shared" si="61"/>
        <v>705.10968</v>
      </c>
      <c r="DF31" s="5">
        <f t="shared" si="62"/>
        <v>11938.47468</v>
      </c>
      <c r="DG31" s="36">
        <f t="shared" si="63"/>
        <v>376.3805715</v>
      </c>
      <c r="DI31" s="5">
        <f t="shared" si="90"/>
        <v>83608.52500000001</v>
      </c>
      <c r="DJ31" s="36">
        <f t="shared" si="64"/>
        <v>5248.0428</v>
      </c>
      <c r="DK31" s="36">
        <f t="shared" si="65"/>
        <v>88856.5678</v>
      </c>
      <c r="DL31" s="36">
        <f t="shared" si="66"/>
        <v>2801.3533275</v>
      </c>
      <c r="DN31" s="5">
        <f t="shared" si="91"/>
        <v>2728.44</v>
      </c>
      <c r="DO31" s="36">
        <f t="shared" si="67"/>
        <v>171.26208</v>
      </c>
      <c r="DP31" s="36">
        <f t="shared" si="68"/>
        <v>2899.70208</v>
      </c>
      <c r="DQ31" s="36">
        <f t="shared" si="69"/>
        <v>91.418004</v>
      </c>
    </row>
    <row r="32" spans="1:121" ht="12.75">
      <c r="A32" s="37">
        <v>47392</v>
      </c>
      <c r="D32" s="3">
        <v>341550</v>
      </c>
      <c r="E32" s="35">
        <f t="shared" si="0"/>
        <v>341550</v>
      </c>
      <c r="F32" s="35">
        <v>239565</v>
      </c>
      <c r="H32" s="47"/>
      <c r="I32" s="36">
        <f t="shared" si="1"/>
        <v>22897.375380000005</v>
      </c>
      <c r="J32" s="36">
        <f t="shared" si="2"/>
        <v>22897.375380000005</v>
      </c>
      <c r="K32" s="36">
        <f t="shared" si="3"/>
        <v>16060.341773999997</v>
      </c>
      <c r="L32"/>
      <c r="N32" s="5">
        <f t="shared" si="4"/>
        <v>5521.42899</v>
      </c>
      <c r="O32" s="5">
        <f t="shared" si="5"/>
        <v>5521.42899</v>
      </c>
      <c r="P32" s="36">
        <f t="shared" si="6"/>
        <v>3872.7598770000004</v>
      </c>
      <c r="Q32"/>
      <c r="S32" s="5">
        <f t="shared" si="7"/>
        <v>27.153225</v>
      </c>
      <c r="T32" s="5">
        <f t="shared" si="8"/>
        <v>27.153225</v>
      </c>
      <c r="U32" s="36">
        <f t="shared" si="9"/>
        <v>19.0454175</v>
      </c>
      <c r="V32"/>
      <c r="X32" s="5">
        <f t="shared" si="10"/>
        <v>30.534570000000002</v>
      </c>
      <c r="Y32" s="5">
        <f t="shared" si="11"/>
        <v>30.534570000000002</v>
      </c>
      <c r="Z32" s="36">
        <f t="shared" si="12"/>
        <v>21.417111000000002</v>
      </c>
      <c r="AA32"/>
      <c r="AC32" s="5">
        <f t="shared" si="13"/>
        <v>1302.637545</v>
      </c>
      <c r="AD32" s="5">
        <f t="shared" si="14"/>
        <v>1302.637545</v>
      </c>
      <c r="AE32" s="36">
        <f t="shared" si="15"/>
        <v>913.6769535</v>
      </c>
      <c r="AF32"/>
      <c r="AH32" s="5">
        <f t="shared" si="16"/>
        <v>320.066505</v>
      </c>
      <c r="AI32" s="5">
        <f t="shared" si="17"/>
        <v>320.066505</v>
      </c>
      <c r="AJ32" s="36">
        <f t="shared" si="18"/>
        <v>224.49636149999998</v>
      </c>
      <c r="AK32"/>
      <c r="AM32" s="5">
        <f t="shared" si="19"/>
        <v>348.620085</v>
      </c>
      <c r="AN32" s="5">
        <f t="shared" si="20"/>
        <v>348.620085</v>
      </c>
      <c r="AO32" s="36">
        <f t="shared" si="21"/>
        <v>244.5239955</v>
      </c>
      <c r="AP32"/>
      <c r="AR32" s="5">
        <f t="shared" si="22"/>
        <v>561.610665</v>
      </c>
      <c r="AS32" s="5">
        <f t="shared" si="23"/>
        <v>561.610665</v>
      </c>
      <c r="AT32" s="36">
        <f t="shared" si="24"/>
        <v>393.91672950000003</v>
      </c>
      <c r="AU32"/>
      <c r="AW32" s="5">
        <f t="shared" si="25"/>
        <v>3080.50776</v>
      </c>
      <c r="AX32" s="5">
        <f t="shared" si="26"/>
        <v>3080.50776</v>
      </c>
      <c r="AY32" s="36">
        <f t="shared" si="27"/>
        <v>2160.684648</v>
      </c>
      <c r="AZ32"/>
      <c r="BB32" s="5">
        <f t="shared" si="28"/>
        <v>281.71044</v>
      </c>
      <c r="BC32" s="5">
        <f t="shared" si="29"/>
        <v>281.71044</v>
      </c>
      <c r="BD32" s="36">
        <f t="shared" si="30"/>
        <v>197.593212</v>
      </c>
      <c r="BE32"/>
      <c r="BG32" s="5">
        <f t="shared" si="31"/>
        <v>1294.030485</v>
      </c>
      <c r="BH32" s="5">
        <f t="shared" si="32"/>
        <v>1294.030485</v>
      </c>
      <c r="BI32" s="36">
        <f t="shared" si="33"/>
        <v>907.6399154999999</v>
      </c>
      <c r="BJ32"/>
      <c r="BL32" s="5">
        <f t="shared" si="34"/>
        <v>88.495605</v>
      </c>
      <c r="BM32" s="5">
        <f t="shared" si="35"/>
        <v>88.495605</v>
      </c>
      <c r="BN32" s="36">
        <f t="shared" si="36"/>
        <v>62.0712915</v>
      </c>
      <c r="BO32"/>
      <c r="BQ32" s="5">
        <f t="shared" si="37"/>
        <v>1192.48767</v>
      </c>
      <c r="BR32" s="5">
        <f t="shared" si="38"/>
        <v>1192.48767</v>
      </c>
      <c r="BS32" s="36">
        <f t="shared" si="39"/>
        <v>836.417241</v>
      </c>
      <c r="BT32"/>
      <c r="BV32" s="5">
        <f t="shared" si="40"/>
        <v>14.652495</v>
      </c>
      <c r="BW32" s="5">
        <f t="shared" si="41"/>
        <v>14.652495</v>
      </c>
      <c r="BX32" s="36">
        <f t="shared" si="42"/>
        <v>10.277338499999999</v>
      </c>
      <c r="BY32"/>
      <c r="CA32" s="5">
        <f t="shared" si="43"/>
        <v>1598.79555</v>
      </c>
      <c r="CB32" s="5">
        <f t="shared" si="44"/>
        <v>1598.79555</v>
      </c>
      <c r="CC32" s="36">
        <f t="shared" si="45"/>
        <v>1121.403765</v>
      </c>
      <c r="CD32"/>
      <c r="CF32" s="5">
        <f t="shared" si="46"/>
        <v>188.091585</v>
      </c>
      <c r="CG32" s="5">
        <f t="shared" si="47"/>
        <v>188.091585</v>
      </c>
      <c r="CH32" s="36">
        <f t="shared" si="48"/>
        <v>131.9284455</v>
      </c>
      <c r="CI32"/>
      <c r="CK32" s="5">
        <f t="shared" si="49"/>
        <v>58.7466</v>
      </c>
      <c r="CL32" s="36">
        <f t="shared" si="50"/>
        <v>58.7466</v>
      </c>
      <c r="CM32" s="36">
        <f t="shared" si="51"/>
        <v>41.20518</v>
      </c>
      <c r="CN32"/>
      <c r="CP32" s="5">
        <f t="shared" si="52"/>
        <v>1365.0728849999998</v>
      </c>
      <c r="CQ32" s="36">
        <f t="shared" si="53"/>
        <v>1365.0728849999998</v>
      </c>
      <c r="CR32" s="36">
        <f t="shared" si="54"/>
        <v>957.4694354999999</v>
      </c>
      <c r="CU32" s="5">
        <f t="shared" si="55"/>
        <v>701.8169399999999</v>
      </c>
      <c r="CV32" s="5">
        <f t="shared" si="56"/>
        <v>701.8169399999999</v>
      </c>
      <c r="CW32" s="36">
        <f t="shared" si="57"/>
        <v>492.25816199999997</v>
      </c>
      <c r="CZ32" s="5">
        <f t="shared" si="58"/>
        <v>260.05617</v>
      </c>
      <c r="DA32" s="5">
        <f t="shared" si="59"/>
        <v>260.05617</v>
      </c>
      <c r="DB32" s="36">
        <f t="shared" si="60"/>
        <v>182.404791</v>
      </c>
      <c r="DE32" s="5">
        <f t="shared" si="61"/>
        <v>536.609205</v>
      </c>
      <c r="DF32" s="5">
        <f t="shared" si="62"/>
        <v>536.609205</v>
      </c>
      <c r="DG32" s="36">
        <f t="shared" si="63"/>
        <v>376.3805715</v>
      </c>
      <c r="DJ32" s="36">
        <f t="shared" si="64"/>
        <v>3993.914925</v>
      </c>
      <c r="DK32" s="36">
        <f t="shared" si="65"/>
        <v>3993.914925</v>
      </c>
      <c r="DL32" s="36">
        <f t="shared" si="66"/>
        <v>2801.3533275</v>
      </c>
      <c r="DO32" s="36">
        <f t="shared" si="67"/>
        <v>130.33548</v>
      </c>
      <c r="DP32" s="36">
        <f t="shared" si="68"/>
        <v>130.33548</v>
      </c>
      <c r="DQ32" s="36">
        <f t="shared" si="69"/>
        <v>91.418004</v>
      </c>
    </row>
    <row r="33" spans="1:121" ht="12.75">
      <c r="A33" s="37">
        <v>11049</v>
      </c>
      <c r="C33" s="3">
        <v>7365000</v>
      </c>
      <c r="D33" s="3">
        <v>341550</v>
      </c>
      <c r="E33" s="35">
        <f t="shared" si="0"/>
        <v>7706550</v>
      </c>
      <c r="F33" s="35">
        <v>239565</v>
      </c>
      <c r="H33" s="47">
        <f>M33+R33+W33+AB33+AG33+AL33+AQ33+AV33+BA33+BF33+BK33+BP33+BU33+BZ33+CE33+CJ33+CO33+CT33+CY33+DD33+DI33+DN33</f>
        <v>493746.65400000004</v>
      </c>
      <c r="I33" s="36">
        <f t="shared" si="1"/>
        <v>22897.375380000005</v>
      </c>
      <c r="J33" s="36">
        <f t="shared" si="2"/>
        <v>516644.02938</v>
      </c>
      <c r="K33" s="36">
        <f t="shared" si="3"/>
        <v>16060.341773999997</v>
      </c>
      <c r="L33"/>
      <c r="M33" s="5">
        <f t="shared" si="70"/>
        <v>119061.11700000001</v>
      </c>
      <c r="N33" s="5">
        <f t="shared" si="4"/>
        <v>5521.42899</v>
      </c>
      <c r="O33" s="5">
        <f t="shared" si="5"/>
        <v>124582.54599000001</v>
      </c>
      <c r="P33" s="36">
        <f t="shared" si="6"/>
        <v>3872.7598770000004</v>
      </c>
      <c r="Q33"/>
      <c r="R33" s="5">
        <f t="shared" si="71"/>
        <v>585.5174999999999</v>
      </c>
      <c r="S33" s="5">
        <f t="shared" si="7"/>
        <v>27.153225</v>
      </c>
      <c r="T33" s="5">
        <f t="shared" si="8"/>
        <v>612.670725</v>
      </c>
      <c r="U33" s="36">
        <f t="shared" si="9"/>
        <v>19.0454175</v>
      </c>
      <c r="V33"/>
      <c r="W33" s="5">
        <f t="shared" si="72"/>
        <v>658.431</v>
      </c>
      <c r="X33" s="5">
        <f t="shared" si="10"/>
        <v>30.534570000000002</v>
      </c>
      <c r="Y33" s="5">
        <f t="shared" si="11"/>
        <v>688.9655700000001</v>
      </c>
      <c r="Z33" s="36">
        <f t="shared" si="12"/>
        <v>21.417111000000002</v>
      </c>
      <c r="AA33"/>
      <c r="AB33" s="5">
        <f t="shared" si="73"/>
        <v>28089.373499999998</v>
      </c>
      <c r="AC33" s="5">
        <f t="shared" si="13"/>
        <v>1302.637545</v>
      </c>
      <c r="AD33" s="5">
        <f t="shared" si="14"/>
        <v>29392.011045</v>
      </c>
      <c r="AE33" s="36">
        <f t="shared" si="15"/>
        <v>913.6769535</v>
      </c>
      <c r="AF33"/>
      <c r="AG33" s="5">
        <f t="shared" si="74"/>
        <v>6901.7415</v>
      </c>
      <c r="AH33" s="5">
        <f t="shared" si="16"/>
        <v>320.066505</v>
      </c>
      <c r="AI33" s="5">
        <f t="shared" si="17"/>
        <v>7221.808005</v>
      </c>
      <c r="AJ33" s="36">
        <f t="shared" si="18"/>
        <v>224.49636149999998</v>
      </c>
      <c r="AK33"/>
      <c r="AL33" s="5">
        <f t="shared" si="75"/>
        <v>7517.4555</v>
      </c>
      <c r="AM33" s="5">
        <f t="shared" si="19"/>
        <v>348.620085</v>
      </c>
      <c r="AN33" s="5">
        <f t="shared" si="20"/>
        <v>7866.0755850000005</v>
      </c>
      <c r="AO33" s="36">
        <f t="shared" si="21"/>
        <v>244.5239955</v>
      </c>
      <c r="AP33"/>
      <c r="AQ33" s="5">
        <f t="shared" si="76"/>
        <v>12110.2695</v>
      </c>
      <c r="AR33" s="5">
        <f t="shared" si="22"/>
        <v>561.610665</v>
      </c>
      <c r="AS33" s="5">
        <f t="shared" si="23"/>
        <v>12671.880165</v>
      </c>
      <c r="AT33" s="36">
        <f t="shared" si="24"/>
        <v>393.91672950000003</v>
      </c>
      <c r="AU33"/>
      <c r="AV33" s="5">
        <f t="shared" si="77"/>
        <v>66426.408</v>
      </c>
      <c r="AW33" s="5">
        <f t="shared" si="25"/>
        <v>3080.50776</v>
      </c>
      <c r="AX33" s="5">
        <f t="shared" si="26"/>
        <v>69506.91575999999</v>
      </c>
      <c r="AY33" s="36">
        <f t="shared" si="27"/>
        <v>2160.684648</v>
      </c>
      <c r="AZ33"/>
      <c r="BA33" s="5">
        <f t="shared" si="78"/>
        <v>6074.652</v>
      </c>
      <c r="BB33" s="5">
        <f t="shared" si="28"/>
        <v>281.71044</v>
      </c>
      <c r="BC33" s="5">
        <f t="shared" si="29"/>
        <v>6356.36244</v>
      </c>
      <c r="BD33" s="36">
        <f t="shared" si="30"/>
        <v>197.593212</v>
      </c>
      <c r="BE33"/>
      <c r="BF33" s="5">
        <f t="shared" si="79"/>
        <v>27903.7755</v>
      </c>
      <c r="BG33" s="5">
        <f t="shared" si="31"/>
        <v>1294.030485</v>
      </c>
      <c r="BH33" s="5">
        <f t="shared" si="32"/>
        <v>29197.805985</v>
      </c>
      <c r="BI33" s="36">
        <f t="shared" si="33"/>
        <v>907.6399154999999</v>
      </c>
      <c r="BJ33"/>
      <c r="BK33" s="5">
        <f t="shared" si="80"/>
        <v>1908.2715</v>
      </c>
      <c r="BL33" s="5">
        <f t="shared" si="34"/>
        <v>88.495605</v>
      </c>
      <c r="BM33" s="5">
        <f t="shared" si="35"/>
        <v>1996.7671050000001</v>
      </c>
      <c r="BN33" s="36">
        <f t="shared" si="36"/>
        <v>62.0712915</v>
      </c>
      <c r="BO33"/>
      <c r="BP33" s="5">
        <f t="shared" si="81"/>
        <v>25714.161</v>
      </c>
      <c r="BQ33" s="5">
        <f t="shared" si="37"/>
        <v>1192.48767</v>
      </c>
      <c r="BR33" s="5">
        <f t="shared" si="38"/>
        <v>26906.64867</v>
      </c>
      <c r="BS33" s="36">
        <f t="shared" si="39"/>
        <v>836.417241</v>
      </c>
      <c r="BT33"/>
      <c r="BU33" s="5">
        <f t="shared" si="82"/>
        <v>315.9585</v>
      </c>
      <c r="BV33" s="5">
        <f t="shared" si="40"/>
        <v>14.652495</v>
      </c>
      <c r="BW33" s="5">
        <f t="shared" si="41"/>
        <v>330.610995</v>
      </c>
      <c r="BX33" s="36">
        <f t="shared" si="42"/>
        <v>10.277338499999999</v>
      </c>
      <c r="BY33"/>
      <c r="BZ33" s="5">
        <f t="shared" si="83"/>
        <v>34475.565</v>
      </c>
      <c r="CA33" s="5">
        <f t="shared" si="43"/>
        <v>1598.79555</v>
      </c>
      <c r="CB33" s="5">
        <f t="shared" si="44"/>
        <v>36074.360550000005</v>
      </c>
      <c r="CC33" s="36">
        <f t="shared" si="45"/>
        <v>1121.403765</v>
      </c>
      <c r="CD33"/>
      <c r="CE33" s="5">
        <f t="shared" si="84"/>
        <v>4055.9055</v>
      </c>
      <c r="CF33" s="5">
        <f t="shared" si="46"/>
        <v>188.091585</v>
      </c>
      <c r="CG33" s="5">
        <f t="shared" si="47"/>
        <v>4243.997085</v>
      </c>
      <c r="CH33" s="36">
        <f t="shared" si="48"/>
        <v>131.9284455</v>
      </c>
      <c r="CI33"/>
      <c r="CJ33" s="5">
        <f t="shared" si="85"/>
        <v>1266.78</v>
      </c>
      <c r="CK33" s="5">
        <f t="shared" si="49"/>
        <v>58.7466</v>
      </c>
      <c r="CL33" s="36">
        <f t="shared" si="50"/>
        <v>1325.5266</v>
      </c>
      <c r="CM33" s="36">
        <f t="shared" si="51"/>
        <v>41.20518</v>
      </c>
      <c r="CN33"/>
      <c r="CO33" s="5">
        <f t="shared" si="86"/>
        <v>29435.695499999998</v>
      </c>
      <c r="CP33" s="5">
        <f t="shared" si="52"/>
        <v>1365.0728849999998</v>
      </c>
      <c r="CQ33" s="36">
        <f t="shared" si="53"/>
        <v>30800.768385</v>
      </c>
      <c r="CR33" s="36">
        <f t="shared" si="54"/>
        <v>957.4694354999999</v>
      </c>
      <c r="CT33" s="5">
        <f t="shared" si="87"/>
        <v>15133.601999999999</v>
      </c>
      <c r="CU33" s="5">
        <f t="shared" si="55"/>
        <v>701.8169399999999</v>
      </c>
      <c r="CV33" s="5">
        <f t="shared" si="56"/>
        <v>15835.41894</v>
      </c>
      <c r="CW33" s="36">
        <f t="shared" si="57"/>
        <v>492.25816199999997</v>
      </c>
      <c r="CY33" s="5">
        <f t="shared" si="88"/>
        <v>5607.710999999999</v>
      </c>
      <c r="CZ33" s="5">
        <f t="shared" si="58"/>
        <v>260.05617</v>
      </c>
      <c r="DA33" s="5">
        <f t="shared" si="59"/>
        <v>5867.767169999999</v>
      </c>
      <c r="DB33" s="36">
        <f t="shared" si="60"/>
        <v>182.404791</v>
      </c>
      <c r="DD33" s="5">
        <f t="shared" si="89"/>
        <v>11571.1515</v>
      </c>
      <c r="DE33" s="5">
        <f t="shared" si="61"/>
        <v>536.609205</v>
      </c>
      <c r="DF33" s="5">
        <f t="shared" si="62"/>
        <v>12107.760705</v>
      </c>
      <c r="DG33" s="36">
        <f t="shared" si="63"/>
        <v>376.3805715</v>
      </c>
      <c r="DI33" s="5">
        <f t="shared" si="90"/>
        <v>86122.6275</v>
      </c>
      <c r="DJ33" s="36">
        <f t="shared" si="64"/>
        <v>3993.914925</v>
      </c>
      <c r="DK33" s="36">
        <f t="shared" si="65"/>
        <v>90116.542425</v>
      </c>
      <c r="DL33" s="36">
        <f t="shared" si="66"/>
        <v>2801.3533275</v>
      </c>
      <c r="DN33" s="5">
        <f t="shared" si="91"/>
        <v>2810.484</v>
      </c>
      <c r="DO33" s="36">
        <f t="shared" si="67"/>
        <v>130.33548</v>
      </c>
      <c r="DP33" s="36">
        <f t="shared" si="68"/>
        <v>2940.81948</v>
      </c>
      <c r="DQ33" s="36">
        <f t="shared" si="69"/>
        <v>91.418004</v>
      </c>
    </row>
    <row r="34" spans="1:121" ht="12.75">
      <c r="A34" s="37">
        <v>11232</v>
      </c>
      <c r="D34" s="3">
        <v>231075</v>
      </c>
      <c r="E34" s="35">
        <f t="shared" si="0"/>
        <v>231075</v>
      </c>
      <c r="F34" s="35">
        <v>239565</v>
      </c>
      <c r="H34" s="47"/>
      <c r="I34" s="36">
        <f t="shared" si="1"/>
        <v>15491.175570000001</v>
      </c>
      <c r="J34" s="36">
        <f t="shared" si="2"/>
        <v>15491.175570000001</v>
      </c>
      <c r="K34" s="36">
        <f t="shared" si="3"/>
        <v>16060.341773999997</v>
      </c>
      <c r="L34"/>
      <c r="N34" s="5">
        <f t="shared" si="4"/>
        <v>3735.512235</v>
      </c>
      <c r="O34" s="5">
        <f t="shared" si="5"/>
        <v>3735.512235</v>
      </c>
      <c r="P34" s="36">
        <f t="shared" si="6"/>
        <v>3872.7598770000004</v>
      </c>
      <c r="Q34"/>
      <c r="S34" s="5">
        <f t="shared" si="7"/>
        <v>18.3704625</v>
      </c>
      <c r="T34" s="5">
        <f t="shared" si="8"/>
        <v>18.3704625</v>
      </c>
      <c r="U34" s="36">
        <f t="shared" si="9"/>
        <v>19.0454175</v>
      </c>
      <c r="V34"/>
      <c r="X34" s="5">
        <f t="shared" si="10"/>
        <v>20.658105000000003</v>
      </c>
      <c r="Y34" s="5">
        <f t="shared" si="11"/>
        <v>20.658105000000003</v>
      </c>
      <c r="Z34" s="36">
        <f t="shared" si="12"/>
        <v>21.417111000000002</v>
      </c>
      <c r="AA34"/>
      <c r="AC34" s="5">
        <f t="shared" si="13"/>
        <v>881.2969425</v>
      </c>
      <c r="AD34" s="5">
        <f t="shared" si="14"/>
        <v>881.2969425</v>
      </c>
      <c r="AE34" s="36">
        <f t="shared" si="15"/>
        <v>913.6769535</v>
      </c>
      <c r="AF34"/>
      <c r="AH34" s="5">
        <f t="shared" si="16"/>
        <v>216.5403825</v>
      </c>
      <c r="AI34" s="5">
        <f t="shared" si="17"/>
        <v>216.5403825</v>
      </c>
      <c r="AJ34" s="36">
        <f t="shared" si="18"/>
        <v>224.49636149999998</v>
      </c>
      <c r="AK34"/>
      <c r="AM34" s="5">
        <f t="shared" si="19"/>
        <v>235.85825250000002</v>
      </c>
      <c r="AN34" s="5">
        <f t="shared" si="20"/>
        <v>235.85825250000002</v>
      </c>
      <c r="AO34" s="36">
        <f t="shared" si="21"/>
        <v>244.5239955</v>
      </c>
      <c r="AP34"/>
      <c r="AR34" s="5">
        <f t="shared" si="22"/>
        <v>379.9566225</v>
      </c>
      <c r="AS34" s="5">
        <f t="shared" si="23"/>
        <v>379.9566225</v>
      </c>
      <c r="AT34" s="36">
        <f t="shared" si="24"/>
        <v>393.91672950000003</v>
      </c>
      <c r="AU34"/>
      <c r="AW34" s="5">
        <f t="shared" si="25"/>
        <v>2084.11164</v>
      </c>
      <c r="AX34" s="5">
        <f t="shared" si="26"/>
        <v>2084.11164</v>
      </c>
      <c r="AY34" s="36">
        <f t="shared" si="27"/>
        <v>2160.684648</v>
      </c>
      <c r="AZ34"/>
      <c r="BB34" s="5">
        <f t="shared" si="28"/>
        <v>190.59065999999999</v>
      </c>
      <c r="BC34" s="5">
        <f t="shared" si="29"/>
        <v>190.59065999999999</v>
      </c>
      <c r="BD34" s="36">
        <f t="shared" si="30"/>
        <v>197.593212</v>
      </c>
      <c r="BE34"/>
      <c r="BG34" s="5">
        <f t="shared" si="31"/>
        <v>875.4738525</v>
      </c>
      <c r="BH34" s="5">
        <f t="shared" si="32"/>
        <v>875.4738525</v>
      </c>
      <c r="BI34" s="36">
        <f t="shared" si="33"/>
        <v>907.6399154999999</v>
      </c>
      <c r="BJ34"/>
      <c r="BL34" s="5">
        <f t="shared" si="34"/>
        <v>59.8715325</v>
      </c>
      <c r="BM34" s="5">
        <f t="shared" si="35"/>
        <v>59.8715325</v>
      </c>
      <c r="BN34" s="36">
        <f t="shared" si="36"/>
        <v>62.0712915</v>
      </c>
      <c r="BO34"/>
      <c r="BQ34" s="5">
        <f t="shared" si="37"/>
        <v>806.775255</v>
      </c>
      <c r="BR34" s="5">
        <f t="shared" si="38"/>
        <v>806.775255</v>
      </c>
      <c r="BS34" s="36">
        <f t="shared" si="39"/>
        <v>836.417241</v>
      </c>
      <c r="BT34"/>
      <c r="BV34" s="5">
        <f t="shared" si="40"/>
        <v>9.9131175</v>
      </c>
      <c r="BW34" s="5">
        <f t="shared" si="41"/>
        <v>9.9131175</v>
      </c>
      <c r="BX34" s="36">
        <f t="shared" si="42"/>
        <v>10.277338499999999</v>
      </c>
      <c r="BY34"/>
      <c r="CA34" s="5">
        <f t="shared" si="43"/>
        <v>1081.662075</v>
      </c>
      <c r="CB34" s="5">
        <f t="shared" si="44"/>
        <v>1081.662075</v>
      </c>
      <c r="CC34" s="36">
        <f t="shared" si="45"/>
        <v>1121.403765</v>
      </c>
      <c r="CD34"/>
      <c r="CF34" s="5">
        <f t="shared" si="46"/>
        <v>127.2530025</v>
      </c>
      <c r="CG34" s="5">
        <f t="shared" si="47"/>
        <v>127.2530025</v>
      </c>
      <c r="CH34" s="36">
        <f t="shared" si="48"/>
        <v>131.9284455</v>
      </c>
      <c r="CI34"/>
      <c r="CK34" s="5">
        <f t="shared" si="49"/>
        <v>39.7449</v>
      </c>
      <c r="CL34" s="36">
        <f t="shared" si="50"/>
        <v>39.7449</v>
      </c>
      <c r="CM34" s="36">
        <f t="shared" si="51"/>
        <v>41.20518</v>
      </c>
      <c r="CN34"/>
      <c r="CP34" s="5">
        <f t="shared" si="52"/>
        <v>923.5374525</v>
      </c>
      <c r="CQ34" s="36">
        <f t="shared" si="53"/>
        <v>923.5374525</v>
      </c>
      <c r="CR34" s="36">
        <f t="shared" si="54"/>
        <v>957.4694354999999</v>
      </c>
      <c r="CU34" s="5">
        <f t="shared" si="55"/>
        <v>474.81291</v>
      </c>
      <c r="CV34" s="5">
        <f t="shared" si="56"/>
        <v>474.81291</v>
      </c>
      <c r="CW34" s="36">
        <f t="shared" si="57"/>
        <v>492.25816199999997</v>
      </c>
      <c r="CZ34" s="5">
        <f t="shared" si="58"/>
        <v>175.940505</v>
      </c>
      <c r="DA34" s="5">
        <f t="shared" si="59"/>
        <v>175.940505</v>
      </c>
      <c r="DB34" s="36">
        <f t="shared" si="60"/>
        <v>182.404791</v>
      </c>
      <c r="DE34" s="5">
        <f t="shared" si="61"/>
        <v>363.0419325</v>
      </c>
      <c r="DF34" s="5">
        <f t="shared" si="62"/>
        <v>363.0419325</v>
      </c>
      <c r="DG34" s="36">
        <f t="shared" si="63"/>
        <v>376.3805715</v>
      </c>
      <c r="DJ34" s="36">
        <f t="shared" si="64"/>
        <v>2702.0755125</v>
      </c>
      <c r="DK34" s="36">
        <f t="shared" si="65"/>
        <v>2702.0755125</v>
      </c>
      <c r="DL34" s="36">
        <f t="shared" si="66"/>
        <v>2801.3533275</v>
      </c>
      <c r="DO34" s="36">
        <f t="shared" si="67"/>
        <v>88.17822</v>
      </c>
      <c r="DP34" s="36">
        <f t="shared" si="68"/>
        <v>88.17822</v>
      </c>
      <c r="DQ34" s="36">
        <f t="shared" si="69"/>
        <v>91.418004</v>
      </c>
    </row>
    <row r="35" spans="1:121" ht="12.75">
      <c r="A35" s="37">
        <v>11414</v>
      </c>
      <c r="C35" s="3">
        <v>7590000</v>
      </c>
      <c r="D35" s="3">
        <v>231075</v>
      </c>
      <c r="E35" s="35">
        <f t="shared" si="0"/>
        <v>7821075</v>
      </c>
      <c r="F35" s="35">
        <v>239565</v>
      </c>
      <c r="H35" s="47">
        <f>M35+R35+W35+AB35+AG35+AL35+AQ35+AV35+BA35+BF35+BK35+BP35+BU35+BZ35+CE35+CJ35+CO35+CT35+CY35+DD35+DI35+DN35</f>
        <v>508830.56399999995</v>
      </c>
      <c r="I35" s="36">
        <f t="shared" si="1"/>
        <v>15491.175570000001</v>
      </c>
      <c r="J35" s="36">
        <f t="shared" si="2"/>
        <v>524321.73957</v>
      </c>
      <c r="K35" s="36">
        <f t="shared" si="3"/>
        <v>16060.341773999997</v>
      </c>
      <c r="L35"/>
      <c r="M35" s="5">
        <f t="shared" si="70"/>
        <v>122698.422</v>
      </c>
      <c r="N35" s="5">
        <f t="shared" si="4"/>
        <v>3735.512235</v>
      </c>
      <c r="O35" s="5">
        <f t="shared" si="5"/>
        <v>126433.93423500001</v>
      </c>
      <c r="P35" s="36">
        <f t="shared" si="6"/>
        <v>3872.7598770000004</v>
      </c>
      <c r="Q35"/>
      <c r="R35" s="5">
        <f t="shared" si="71"/>
        <v>603.405</v>
      </c>
      <c r="S35" s="5">
        <f t="shared" si="7"/>
        <v>18.3704625</v>
      </c>
      <c r="T35" s="5">
        <f t="shared" si="8"/>
        <v>621.7754625</v>
      </c>
      <c r="U35" s="36">
        <f t="shared" si="9"/>
        <v>19.0454175</v>
      </c>
      <c r="V35"/>
      <c r="W35" s="5">
        <f t="shared" si="72"/>
        <v>678.546</v>
      </c>
      <c r="X35" s="5">
        <f t="shared" si="10"/>
        <v>20.658105000000003</v>
      </c>
      <c r="Y35" s="5">
        <f t="shared" si="11"/>
        <v>699.204105</v>
      </c>
      <c r="Z35" s="36">
        <f t="shared" si="12"/>
        <v>21.417111000000002</v>
      </c>
      <c r="AA35"/>
      <c r="AB35" s="5">
        <f t="shared" si="73"/>
        <v>28947.501</v>
      </c>
      <c r="AC35" s="5">
        <f t="shared" si="13"/>
        <v>881.2969425</v>
      </c>
      <c r="AD35" s="5">
        <f t="shared" si="14"/>
        <v>29828.7979425</v>
      </c>
      <c r="AE35" s="36">
        <f t="shared" si="15"/>
        <v>913.6769535</v>
      </c>
      <c r="AF35"/>
      <c r="AG35" s="5">
        <f t="shared" si="74"/>
        <v>7112.589</v>
      </c>
      <c r="AH35" s="5">
        <f t="shared" si="16"/>
        <v>216.5403825</v>
      </c>
      <c r="AI35" s="5">
        <f t="shared" si="17"/>
        <v>7329.1293825</v>
      </c>
      <c r="AJ35" s="36">
        <f t="shared" si="18"/>
        <v>224.49636149999998</v>
      </c>
      <c r="AK35"/>
      <c r="AL35" s="5">
        <f t="shared" si="75"/>
        <v>7747.113</v>
      </c>
      <c r="AM35" s="5">
        <f t="shared" si="19"/>
        <v>235.85825250000002</v>
      </c>
      <c r="AN35" s="5">
        <f t="shared" si="20"/>
        <v>7982.9712525</v>
      </c>
      <c r="AO35" s="36">
        <f t="shared" si="21"/>
        <v>244.5239955</v>
      </c>
      <c r="AP35"/>
      <c r="AQ35" s="5">
        <f t="shared" si="76"/>
        <v>12480.237000000001</v>
      </c>
      <c r="AR35" s="5">
        <f t="shared" si="22"/>
        <v>379.9566225</v>
      </c>
      <c r="AS35" s="5">
        <f t="shared" si="23"/>
        <v>12860.1936225</v>
      </c>
      <c r="AT35" s="36">
        <f t="shared" si="24"/>
        <v>393.91672950000003</v>
      </c>
      <c r="AU35"/>
      <c r="AV35" s="5">
        <f t="shared" si="77"/>
        <v>68455.728</v>
      </c>
      <c r="AW35" s="5">
        <f t="shared" si="25"/>
        <v>2084.11164</v>
      </c>
      <c r="AX35" s="5">
        <f t="shared" si="26"/>
        <v>70539.83964</v>
      </c>
      <c r="AY35" s="36">
        <f t="shared" si="27"/>
        <v>2160.684648</v>
      </c>
      <c r="AZ35"/>
      <c r="BA35" s="5">
        <f t="shared" si="78"/>
        <v>6260.232</v>
      </c>
      <c r="BB35" s="5">
        <f t="shared" si="28"/>
        <v>190.59065999999999</v>
      </c>
      <c r="BC35" s="5">
        <f t="shared" si="29"/>
        <v>6450.82266</v>
      </c>
      <c r="BD35" s="36">
        <f t="shared" si="30"/>
        <v>197.593212</v>
      </c>
      <c r="BE35"/>
      <c r="BF35" s="5">
        <f t="shared" si="79"/>
        <v>28756.233</v>
      </c>
      <c r="BG35" s="5">
        <f t="shared" si="31"/>
        <v>875.4738525</v>
      </c>
      <c r="BH35" s="5">
        <f t="shared" si="32"/>
        <v>29631.7068525</v>
      </c>
      <c r="BI35" s="36">
        <f t="shared" si="33"/>
        <v>907.6399154999999</v>
      </c>
      <c r="BJ35"/>
      <c r="BK35" s="5">
        <f t="shared" si="80"/>
        <v>1966.569</v>
      </c>
      <c r="BL35" s="5">
        <f t="shared" si="34"/>
        <v>59.8715325</v>
      </c>
      <c r="BM35" s="5">
        <f t="shared" si="35"/>
        <v>2026.4405325</v>
      </c>
      <c r="BN35" s="36">
        <f t="shared" si="36"/>
        <v>62.0712915</v>
      </c>
      <c r="BO35"/>
      <c r="BP35" s="5">
        <f t="shared" si="81"/>
        <v>26499.726</v>
      </c>
      <c r="BQ35" s="5">
        <f t="shared" si="37"/>
        <v>806.775255</v>
      </c>
      <c r="BR35" s="5">
        <f t="shared" si="38"/>
        <v>27306.501255</v>
      </c>
      <c r="BS35" s="36">
        <f t="shared" si="39"/>
        <v>836.417241</v>
      </c>
      <c r="BT35"/>
      <c r="BU35" s="5">
        <f t="shared" si="82"/>
        <v>325.611</v>
      </c>
      <c r="BV35" s="5">
        <f t="shared" si="40"/>
        <v>9.9131175</v>
      </c>
      <c r="BW35" s="5">
        <f t="shared" si="41"/>
        <v>335.5241175</v>
      </c>
      <c r="BX35" s="36">
        <f t="shared" si="42"/>
        <v>10.277338499999999</v>
      </c>
      <c r="BY35"/>
      <c r="BZ35" s="5">
        <f t="shared" si="83"/>
        <v>35528.79</v>
      </c>
      <c r="CA35" s="5">
        <f t="shared" si="43"/>
        <v>1081.662075</v>
      </c>
      <c r="CB35" s="5">
        <f t="shared" si="44"/>
        <v>36610.452075</v>
      </c>
      <c r="CC35" s="36">
        <f t="shared" si="45"/>
        <v>1121.403765</v>
      </c>
      <c r="CD35"/>
      <c r="CE35" s="5">
        <f t="shared" si="84"/>
        <v>4179.813</v>
      </c>
      <c r="CF35" s="5">
        <f t="shared" si="46"/>
        <v>127.2530025</v>
      </c>
      <c r="CG35" s="5">
        <f t="shared" si="47"/>
        <v>4307.0660025</v>
      </c>
      <c r="CH35" s="36">
        <f t="shared" si="48"/>
        <v>131.9284455</v>
      </c>
      <c r="CI35"/>
      <c r="CJ35" s="5">
        <f t="shared" si="85"/>
        <v>1305.48</v>
      </c>
      <c r="CK35" s="5">
        <f t="shared" si="49"/>
        <v>39.7449</v>
      </c>
      <c r="CL35" s="36">
        <f t="shared" si="50"/>
        <v>1345.2249</v>
      </c>
      <c r="CM35" s="36">
        <f t="shared" si="51"/>
        <v>41.20518</v>
      </c>
      <c r="CN35"/>
      <c r="CO35" s="5">
        <f t="shared" si="86"/>
        <v>30334.952999999998</v>
      </c>
      <c r="CP35" s="5">
        <f t="shared" si="52"/>
        <v>923.5374525</v>
      </c>
      <c r="CQ35" s="36">
        <f t="shared" si="53"/>
        <v>31258.4904525</v>
      </c>
      <c r="CR35" s="36">
        <f t="shared" si="54"/>
        <v>957.4694354999999</v>
      </c>
      <c r="CT35" s="5">
        <f t="shared" si="87"/>
        <v>15595.931999999999</v>
      </c>
      <c r="CU35" s="5">
        <f t="shared" si="55"/>
        <v>474.81291</v>
      </c>
      <c r="CV35" s="5">
        <f t="shared" si="56"/>
        <v>16070.74491</v>
      </c>
      <c r="CW35" s="36">
        <f t="shared" si="57"/>
        <v>492.25816199999997</v>
      </c>
      <c r="CY35" s="5">
        <f t="shared" si="88"/>
        <v>5779.026</v>
      </c>
      <c r="CZ35" s="5">
        <f t="shared" si="58"/>
        <v>175.940505</v>
      </c>
      <c r="DA35" s="5">
        <f t="shared" si="59"/>
        <v>5954.966504999999</v>
      </c>
      <c r="DB35" s="36">
        <f t="shared" si="60"/>
        <v>182.404791</v>
      </c>
      <c r="DD35" s="5">
        <f t="shared" si="89"/>
        <v>11924.649</v>
      </c>
      <c r="DE35" s="5">
        <f t="shared" si="61"/>
        <v>363.0419325</v>
      </c>
      <c r="DF35" s="5">
        <f t="shared" si="62"/>
        <v>12287.6909325</v>
      </c>
      <c r="DG35" s="36">
        <f t="shared" si="63"/>
        <v>376.3805715</v>
      </c>
      <c r="DI35" s="5">
        <f t="shared" si="90"/>
        <v>88753.66500000001</v>
      </c>
      <c r="DJ35" s="36">
        <f t="shared" si="64"/>
        <v>2702.0755125</v>
      </c>
      <c r="DK35" s="36">
        <f t="shared" si="65"/>
        <v>91455.74051250001</v>
      </c>
      <c r="DL35" s="36">
        <f t="shared" si="66"/>
        <v>2801.3533275</v>
      </c>
      <c r="DN35" s="5">
        <f t="shared" si="91"/>
        <v>2896.344</v>
      </c>
      <c r="DO35" s="36">
        <f t="shared" si="67"/>
        <v>88.17822</v>
      </c>
      <c r="DP35" s="36">
        <f t="shared" si="68"/>
        <v>2984.52222</v>
      </c>
      <c r="DQ35" s="36">
        <f t="shared" si="69"/>
        <v>91.418004</v>
      </c>
    </row>
    <row r="36" spans="1:121" ht="12.75">
      <c r="A36" s="37">
        <v>11597</v>
      </c>
      <c r="D36" s="3">
        <v>117225</v>
      </c>
      <c r="E36" s="35">
        <f t="shared" si="0"/>
        <v>117225</v>
      </c>
      <c r="F36" s="35">
        <v>239565</v>
      </c>
      <c r="H36" s="47"/>
      <c r="I36" s="36">
        <f t="shared" si="1"/>
        <v>7858.717109999999</v>
      </c>
      <c r="J36" s="36">
        <f t="shared" si="2"/>
        <v>7858.717109999999</v>
      </c>
      <c r="K36" s="36">
        <f t="shared" si="3"/>
        <v>16060.341773999997</v>
      </c>
      <c r="L36"/>
      <c r="N36" s="5">
        <f t="shared" si="4"/>
        <v>1895.0359050000002</v>
      </c>
      <c r="O36" s="5">
        <f t="shared" si="5"/>
        <v>1895.0359050000002</v>
      </c>
      <c r="P36" s="36">
        <f t="shared" si="6"/>
        <v>3872.7598770000004</v>
      </c>
      <c r="Q36"/>
      <c r="S36" s="5">
        <f t="shared" si="7"/>
        <v>9.3193875</v>
      </c>
      <c r="T36" s="5">
        <f t="shared" si="8"/>
        <v>9.3193875</v>
      </c>
      <c r="U36" s="36">
        <f t="shared" si="9"/>
        <v>19.0454175</v>
      </c>
      <c r="V36"/>
      <c r="X36" s="5">
        <f t="shared" si="10"/>
        <v>10.479915</v>
      </c>
      <c r="Y36" s="5">
        <f t="shared" si="11"/>
        <v>10.479915</v>
      </c>
      <c r="Z36" s="36">
        <f t="shared" si="12"/>
        <v>21.417111000000002</v>
      </c>
      <c r="AA36"/>
      <c r="AC36" s="5">
        <f t="shared" si="13"/>
        <v>447.0844275</v>
      </c>
      <c r="AD36" s="5">
        <f t="shared" si="14"/>
        <v>447.0844275</v>
      </c>
      <c r="AE36" s="36">
        <f t="shared" si="15"/>
        <v>913.6769535</v>
      </c>
      <c r="AF36"/>
      <c r="AH36" s="5">
        <f t="shared" si="16"/>
        <v>109.8515475</v>
      </c>
      <c r="AI36" s="5">
        <f t="shared" si="17"/>
        <v>109.8515475</v>
      </c>
      <c r="AJ36" s="36">
        <f t="shared" si="18"/>
        <v>224.49636149999998</v>
      </c>
      <c r="AK36"/>
      <c r="AM36" s="5">
        <f t="shared" si="19"/>
        <v>119.65155750000001</v>
      </c>
      <c r="AN36" s="5">
        <f t="shared" si="20"/>
        <v>119.65155750000001</v>
      </c>
      <c r="AO36" s="36">
        <f t="shared" si="21"/>
        <v>244.5239955</v>
      </c>
      <c r="AP36"/>
      <c r="AR36" s="5">
        <f t="shared" si="22"/>
        <v>192.75306750000001</v>
      </c>
      <c r="AS36" s="5">
        <f t="shared" si="23"/>
        <v>192.75306750000001</v>
      </c>
      <c r="AT36" s="36">
        <f t="shared" si="24"/>
        <v>393.91672950000003</v>
      </c>
      <c r="AU36"/>
      <c r="AW36" s="5">
        <f t="shared" si="25"/>
        <v>1057.2757199999999</v>
      </c>
      <c r="AX36" s="5">
        <f t="shared" si="26"/>
        <v>1057.2757199999999</v>
      </c>
      <c r="AY36" s="36">
        <f t="shared" si="27"/>
        <v>2160.684648</v>
      </c>
      <c r="AZ36"/>
      <c r="BB36" s="5">
        <f t="shared" si="28"/>
        <v>96.68718</v>
      </c>
      <c r="BC36" s="5">
        <f t="shared" si="29"/>
        <v>96.68718</v>
      </c>
      <c r="BD36" s="36">
        <f t="shared" si="30"/>
        <v>197.593212</v>
      </c>
      <c r="BE36"/>
      <c r="BG36" s="5">
        <f t="shared" si="31"/>
        <v>444.1303575</v>
      </c>
      <c r="BH36" s="5">
        <f t="shared" si="32"/>
        <v>444.1303575</v>
      </c>
      <c r="BI36" s="36">
        <f t="shared" si="33"/>
        <v>907.6399154999999</v>
      </c>
      <c r="BJ36"/>
      <c r="BL36" s="5">
        <f t="shared" si="34"/>
        <v>30.3729975</v>
      </c>
      <c r="BM36" s="5">
        <f t="shared" si="35"/>
        <v>30.3729975</v>
      </c>
      <c r="BN36" s="36">
        <f t="shared" si="36"/>
        <v>62.0712915</v>
      </c>
      <c r="BO36"/>
      <c r="BQ36" s="5">
        <f t="shared" si="37"/>
        <v>409.279365</v>
      </c>
      <c r="BR36" s="5">
        <f t="shared" si="38"/>
        <v>409.279365</v>
      </c>
      <c r="BS36" s="36">
        <f t="shared" si="39"/>
        <v>836.417241</v>
      </c>
      <c r="BT36"/>
      <c r="BV36" s="5">
        <f t="shared" si="40"/>
        <v>5.0289525</v>
      </c>
      <c r="BW36" s="5">
        <f t="shared" si="41"/>
        <v>5.0289525</v>
      </c>
      <c r="BX36" s="36">
        <f t="shared" si="42"/>
        <v>10.277338499999999</v>
      </c>
      <c r="BY36"/>
      <c r="CA36" s="5">
        <f t="shared" si="43"/>
        <v>548.730225</v>
      </c>
      <c r="CB36" s="5">
        <f t="shared" si="44"/>
        <v>548.730225</v>
      </c>
      <c r="CC36" s="36">
        <f t="shared" si="45"/>
        <v>1121.403765</v>
      </c>
      <c r="CD36"/>
      <c r="CF36" s="5">
        <f t="shared" si="46"/>
        <v>64.5558075</v>
      </c>
      <c r="CG36" s="5">
        <f t="shared" si="47"/>
        <v>64.5558075</v>
      </c>
      <c r="CH36" s="36">
        <f t="shared" si="48"/>
        <v>131.9284455</v>
      </c>
      <c r="CI36"/>
      <c r="CK36" s="5">
        <f t="shared" si="49"/>
        <v>20.1627</v>
      </c>
      <c r="CL36" s="36">
        <f t="shared" si="50"/>
        <v>20.1627</v>
      </c>
      <c r="CM36" s="36">
        <f t="shared" si="51"/>
        <v>41.20518</v>
      </c>
      <c r="CN36"/>
      <c r="CP36" s="5">
        <f t="shared" si="52"/>
        <v>468.5131575</v>
      </c>
      <c r="CQ36" s="36">
        <f t="shared" si="53"/>
        <v>468.5131575</v>
      </c>
      <c r="CR36" s="36">
        <f t="shared" si="54"/>
        <v>957.4694354999999</v>
      </c>
      <c r="CU36" s="5">
        <f t="shared" si="55"/>
        <v>240.87392999999997</v>
      </c>
      <c r="CV36" s="5">
        <f t="shared" si="56"/>
        <v>240.87392999999997</v>
      </c>
      <c r="CW36" s="36">
        <f t="shared" si="57"/>
        <v>492.25816199999997</v>
      </c>
      <c r="CZ36" s="5">
        <f t="shared" si="58"/>
        <v>89.25511499999999</v>
      </c>
      <c r="DA36" s="5">
        <f t="shared" si="59"/>
        <v>89.25511499999999</v>
      </c>
      <c r="DB36" s="36">
        <f t="shared" si="60"/>
        <v>182.404791</v>
      </c>
      <c r="DE36" s="5">
        <f t="shared" si="61"/>
        <v>184.1721975</v>
      </c>
      <c r="DF36" s="5">
        <f t="shared" si="62"/>
        <v>184.1721975</v>
      </c>
      <c r="DG36" s="36">
        <f t="shared" si="63"/>
        <v>376.3805715</v>
      </c>
      <c r="DJ36" s="36">
        <f t="shared" si="64"/>
        <v>1370.7705375</v>
      </c>
      <c r="DK36" s="36">
        <f t="shared" si="65"/>
        <v>1370.7705375</v>
      </c>
      <c r="DL36" s="36">
        <f t="shared" si="66"/>
        <v>2801.3533275</v>
      </c>
      <c r="DO36" s="36">
        <f t="shared" si="67"/>
        <v>44.73306</v>
      </c>
      <c r="DP36" s="36">
        <f t="shared" si="68"/>
        <v>44.73306</v>
      </c>
      <c r="DQ36" s="36">
        <f t="shared" si="69"/>
        <v>91.418004</v>
      </c>
    </row>
    <row r="37" spans="1:121" ht="12.75">
      <c r="A37" s="37">
        <v>11780</v>
      </c>
      <c r="C37" s="3">
        <v>7815000</v>
      </c>
      <c r="D37" s="3">
        <v>117225</v>
      </c>
      <c r="E37" s="35">
        <f t="shared" si="0"/>
        <v>7932225</v>
      </c>
      <c r="F37" s="35">
        <f>239565-12</f>
        <v>239553</v>
      </c>
      <c r="H37" s="47">
        <f>M37+R37+W37+AB37+AG37+AL37+AQ37+AV37+BA37+BF37+BK37+BP37+BU37+BZ37+CE37+CJ37+CO37+CT37+CY37+DD37+DI37+DN37</f>
        <v>523914.47400000005</v>
      </c>
      <c r="I37" s="36">
        <f t="shared" si="1"/>
        <v>7858.717109999999</v>
      </c>
      <c r="J37" s="36">
        <f t="shared" si="2"/>
        <v>531773.19111</v>
      </c>
      <c r="K37" s="36">
        <f t="shared" si="3"/>
        <v>16059.5372988</v>
      </c>
      <c r="L37"/>
      <c r="M37" s="5">
        <f t="shared" si="70"/>
        <v>126335.72700000001</v>
      </c>
      <c r="N37" s="5">
        <f t="shared" si="4"/>
        <v>1895.0359050000002</v>
      </c>
      <c r="O37" s="5">
        <f t="shared" si="5"/>
        <v>128230.76290500001</v>
      </c>
      <c r="P37" s="36">
        <f t="shared" si="6"/>
        <v>3872.5658874</v>
      </c>
      <c r="Q37"/>
      <c r="R37" s="5">
        <f t="shared" si="71"/>
        <v>621.2924999999999</v>
      </c>
      <c r="S37" s="5">
        <f t="shared" si="7"/>
        <v>9.3193875</v>
      </c>
      <c r="T37" s="5">
        <f t="shared" si="8"/>
        <v>630.6118874999999</v>
      </c>
      <c r="U37" s="36">
        <f t="shared" si="9"/>
        <v>19.0444635</v>
      </c>
      <c r="V37"/>
      <c r="W37" s="5">
        <f t="shared" si="72"/>
        <v>698.6610000000001</v>
      </c>
      <c r="X37" s="5">
        <f t="shared" si="10"/>
        <v>10.479915</v>
      </c>
      <c r="Y37" s="5">
        <f t="shared" si="11"/>
        <v>709.1409150000001</v>
      </c>
      <c r="Z37" s="36">
        <f t="shared" si="12"/>
        <v>21.416038200000003</v>
      </c>
      <c r="AA37"/>
      <c r="AB37" s="5">
        <f t="shared" si="73"/>
        <v>29805.6285</v>
      </c>
      <c r="AC37" s="5">
        <f t="shared" si="13"/>
        <v>447.0844275</v>
      </c>
      <c r="AD37" s="5">
        <f t="shared" si="14"/>
        <v>30252.7129275</v>
      </c>
      <c r="AE37" s="36">
        <f t="shared" si="15"/>
        <v>913.6311867</v>
      </c>
      <c r="AF37"/>
      <c r="AG37" s="5">
        <f t="shared" si="74"/>
        <v>7323.4365</v>
      </c>
      <c r="AH37" s="5">
        <f t="shared" si="16"/>
        <v>109.8515475</v>
      </c>
      <c r="AI37" s="5">
        <f t="shared" si="17"/>
        <v>7433.2880475</v>
      </c>
      <c r="AJ37" s="36">
        <f t="shared" si="18"/>
        <v>224.4851163</v>
      </c>
      <c r="AK37"/>
      <c r="AL37" s="5">
        <f t="shared" si="75"/>
        <v>7976.7705000000005</v>
      </c>
      <c r="AM37" s="5">
        <f t="shared" si="19"/>
        <v>119.65155750000001</v>
      </c>
      <c r="AN37" s="5">
        <f t="shared" si="20"/>
        <v>8096.422057500001</v>
      </c>
      <c r="AO37" s="36">
        <f t="shared" si="21"/>
        <v>244.5117471</v>
      </c>
      <c r="AP37"/>
      <c r="AQ37" s="5">
        <f t="shared" si="76"/>
        <v>12850.2045</v>
      </c>
      <c r="AR37" s="5">
        <f t="shared" si="22"/>
        <v>192.75306750000001</v>
      </c>
      <c r="AS37" s="5">
        <f t="shared" si="23"/>
        <v>13042.9575675</v>
      </c>
      <c r="AT37" s="36">
        <f t="shared" si="24"/>
        <v>393.89699790000003</v>
      </c>
      <c r="AU37"/>
      <c r="AV37" s="5">
        <f t="shared" si="77"/>
        <v>70485.048</v>
      </c>
      <c r="AW37" s="5">
        <f t="shared" si="25"/>
        <v>1057.2757199999999</v>
      </c>
      <c r="AX37" s="5">
        <f t="shared" si="26"/>
        <v>71542.32372</v>
      </c>
      <c r="AY37" s="36">
        <f t="shared" si="27"/>
        <v>2160.5764176</v>
      </c>
      <c r="AZ37"/>
      <c r="BA37" s="5">
        <f t="shared" si="78"/>
        <v>6445.812</v>
      </c>
      <c r="BB37" s="5">
        <f t="shared" si="28"/>
        <v>96.68718</v>
      </c>
      <c r="BC37" s="5">
        <f t="shared" si="29"/>
        <v>6542.49918</v>
      </c>
      <c r="BD37" s="36">
        <f t="shared" si="30"/>
        <v>197.5833144</v>
      </c>
      <c r="BE37"/>
      <c r="BF37" s="5">
        <f t="shared" si="79"/>
        <v>29608.6905</v>
      </c>
      <c r="BG37" s="5">
        <f t="shared" si="31"/>
        <v>444.1303575</v>
      </c>
      <c r="BH37" s="5">
        <f t="shared" si="32"/>
        <v>30052.8208575</v>
      </c>
      <c r="BI37" s="36">
        <f t="shared" si="33"/>
        <v>907.5944511</v>
      </c>
      <c r="BJ37"/>
      <c r="BK37" s="5">
        <f t="shared" si="80"/>
        <v>2024.8665</v>
      </c>
      <c r="BL37" s="5">
        <f t="shared" si="34"/>
        <v>30.3729975</v>
      </c>
      <c r="BM37" s="5">
        <f t="shared" si="35"/>
        <v>2055.2394975</v>
      </c>
      <c r="BN37" s="36">
        <f t="shared" si="36"/>
        <v>62.068182300000004</v>
      </c>
      <c r="BO37"/>
      <c r="BP37" s="5">
        <f t="shared" si="81"/>
        <v>27285.291</v>
      </c>
      <c r="BQ37" s="5">
        <f t="shared" si="37"/>
        <v>409.279365</v>
      </c>
      <c r="BR37" s="5">
        <f t="shared" si="38"/>
        <v>27694.570365</v>
      </c>
      <c r="BS37" s="36">
        <f t="shared" si="39"/>
        <v>836.3753442</v>
      </c>
      <c r="BT37"/>
      <c r="BU37" s="5">
        <f t="shared" si="82"/>
        <v>335.2635</v>
      </c>
      <c r="BV37" s="5">
        <f t="shared" si="40"/>
        <v>5.0289525</v>
      </c>
      <c r="BW37" s="5">
        <f t="shared" si="41"/>
        <v>340.2924525</v>
      </c>
      <c r="BX37" s="36">
        <f t="shared" si="42"/>
        <v>10.2768237</v>
      </c>
      <c r="BY37"/>
      <c r="BZ37" s="5">
        <f t="shared" si="83"/>
        <v>36582.015</v>
      </c>
      <c r="CA37" s="5">
        <f t="shared" si="43"/>
        <v>548.730225</v>
      </c>
      <c r="CB37" s="5">
        <f t="shared" si="44"/>
        <v>37130.745225</v>
      </c>
      <c r="CC37" s="36">
        <f t="shared" si="45"/>
        <v>1121.347593</v>
      </c>
      <c r="CD37"/>
      <c r="CE37" s="5">
        <f t="shared" si="84"/>
        <v>4303.7205</v>
      </c>
      <c r="CF37" s="5">
        <f t="shared" si="46"/>
        <v>64.5558075</v>
      </c>
      <c r="CG37" s="5">
        <f t="shared" si="47"/>
        <v>4368.2763075</v>
      </c>
      <c r="CH37" s="36">
        <f t="shared" si="48"/>
        <v>131.9218371</v>
      </c>
      <c r="CI37"/>
      <c r="CJ37" s="5">
        <f t="shared" si="85"/>
        <v>1344.18</v>
      </c>
      <c r="CK37" s="5">
        <f t="shared" si="49"/>
        <v>20.1627</v>
      </c>
      <c r="CL37" s="36">
        <f t="shared" si="50"/>
        <v>1364.3427000000001</v>
      </c>
      <c r="CM37" s="36">
        <f t="shared" si="51"/>
        <v>41.203116</v>
      </c>
      <c r="CN37"/>
      <c r="CO37" s="5">
        <f t="shared" si="86"/>
        <v>31234.210499999997</v>
      </c>
      <c r="CP37" s="5">
        <f t="shared" si="52"/>
        <v>468.5131575</v>
      </c>
      <c r="CQ37" s="36">
        <f t="shared" si="53"/>
        <v>31702.7236575</v>
      </c>
      <c r="CR37" s="36">
        <f t="shared" si="54"/>
        <v>957.4214751</v>
      </c>
      <c r="CT37" s="5">
        <f t="shared" si="87"/>
        <v>16058.261999999999</v>
      </c>
      <c r="CU37" s="5">
        <f t="shared" si="55"/>
        <v>240.87392999999997</v>
      </c>
      <c r="CV37" s="5">
        <f t="shared" si="56"/>
        <v>16299.135929999999</v>
      </c>
      <c r="CW37" s="36">
        <f t="shared" si="57"/>
        <v>492.23350439999996</v>
      </c>
      <c r="CY37" s="5">
        <f t="shared" si="88"/>
        <v>5950.340999999999</v>
      </c>
      <c r="CZ37" s="5">
        <f t="shared" si="58"/>
        <v>89.25511499999999</v>
      </c>
      <c r="DA37" s="5">
        <f t="shared" si="59"/>
        <v>6039.596114999999</v>
      </c>
      <c r="DB37" s="36">
        <f t="shared" si="60"/>
        <v>182.3956542</v>
      </c>
      <c r="DD37" s="5">
        <f t="shared" si="89"/>
        <v>12278.146499999999</v>
      </c>
      <c r="DE37" s="5">
        <f t="shared" si="61"/>
        <v>184.1721975</v>
      </c>
      <c r="DF37" s="5">
        <f t="shared" si="62"/>
        <v>12462.318697499999</v>
      </c>
      <c r="DG37" s="36">
        <f t="shared" si="63"/>
        <v>376.3617183</v>
      </c>
      <c r="DI37" s="5">
        <f t="shared" si="90"/>
        <v>91384.7025</v>
      </c>
      <c r="DJ37" s="36">
        <f t="shared" si="64"/>
        <v>1370.7705375</v>
      </c>
      <c r="DK37" s="36">
        <f t="shared" si="65"/>
        <v>92755.47303749999</v>
      </c>
      <c r="DL37" s="36">
        <f t="shared" si="66"/>
        <v>2801.2130055000002</v>
      </c>
      <c r="DN37" s="5">
        <f t="shared" si="91"/>
        <v>2982.204</v>
      </c>
      <c r="DO37" s="36">
        <f t="shared" si="67"/>
        <v>44.73306</v>
      </c>
      <c r="DP37" s="36">
        <f t="shared" si="68"/>
        <v>3026.93706</v>
      </c>
      <c r="DQ37" s="36">
        <f t="shared" si="69"/>
        <v>91.4134248</v>
      </c>
    </row>
    <row r="38" spans="2:121" ht="12.75">
      <c r="B38" s="34"/>
      <c r="C38" s="35"/>
      <c r="D38" s="35"/>
      <c r="E38" s="35"/>
      <c r="F38" s="35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M38"/>
      <c r="CN38"/>
      <c r="CO38"/>
      <c r="CP38"/>
      <c r="CR38"/>
      <c r="CW38"/>
      <c r="DB38"/>
      <c r="DG38"/>
      <c r="DL38"/>
      <c r="DQ38"/>
    </row>
    <row r="39" spans="1:121" ht="13.5" thickBot="1">
      <c r="A39" s="39" t="s">
        <v>13</v>
      </c>
      <c r="C39" s="40">
        <f>SUM(C8:C38)</f>
        <v>96005000</v>
      </c>
      <c r="D39" s="40">
        <f>SUM(D8:D38)</f>
        <v>24746284</v>
      </c>
      <c r="E39" s="40">
        <f>SUM(E8:E38)</f>
        <v>120751284</v>
      </c>
      <c r="F39" s="40">
        <f>SUM(F8:F38)</f>
        <v>7186938</v>
      </c>
      <c r="H39" s="40">
        <f>SUM(H8:H38)</f>
        <v>6436136.798</v>
      </c>
      <c r="I39" s="40">
        <f>SUM(I8:I38)</f>
        <v>1658980.9808463994</v>
      </c>
      <c r="J39" s="40">
        <f>SUM(J8:J38)</f>
        <v>8095117.7788464</v>
      </c>
      <c r="K39" s="40">
        <f>SUM(K8:K38)</f>
        <v>481809.44874479965</v>
      </c>
      <c r="M39" s="40">
        <f>SUM(M8:M38)</f>
        <v>1551997.629</v>
      </c>
      <c r="N39" s="40">
        <f>SUM(N8:N38)</f>
        <v>400043.4778872</v>
      </c>
      <c r="O39" s="40">
        <f>SUM(O8:O38)</f>
        <v>1952041.1068872001</v>
      </c>
      <c r="P39" s="40">
        <f>SUM(P8:P38)</f>
        <v>116182.6023204001</v>
      </c>
      <c r="R39" s="40">
        <f>SUM(R8:R38)</f>
        <v>7632.397499999999</v>
      </c>
      <c r="S39" s="40">
        <f>SUM(S8:S38)</f>
        <v>1967.3295779999999</v>
      </c>
      <c r="T39" s="40">
        <f>SUM(T8:T38)</f>
        <v>9599.727077999998</v>
      </c>
      <c r="U39" s="40">
        <f>SUM(U8:U38)</f>
        <v>571.3615709999997</v>
      </c>
      <c r="W39" s="40">
        <f>SUM(W8:W38)</f>
        <v>8582.847</v>
      </c>
      <c r="X39" s="40">
        <f>SUM(X8:X38)</f>
        <v>2212.317789599999</v>
      </c>
      <c r="Y39" s="40">
        <f>SUM(Y8:Y38)</f>
        <v>10795.164789600001</v>
      </c>
      <c r="Z39" s="40">
        <f>SUM(Z8:Z38)</f>
        <v>642.5122571999997</v>
      </c>
      <c r="AB39" s="40">
        <f>SUM(AB8:AB38)</f>
        <v>366153.46949999995</v>
      </c>
      <c r="AC39" s="40">
        <f>SUM(AC8:AC38)</f>
        <v>94379.85254760004</v>
      </c>
      <c r="AD39" s="40">
        <f>SUM(AD8:AD38)</f>
        <v>460533.3220476</v>
      </c>
      <c r="AE39" s="40">
        <f>SUM(AE8:AE38)</f>
        <v>27410.262838199986</v>
      </c>
      <c r="AG39" s="40">
        <f>SUM(AG8:AG38)</f>
        <v>89966.28550000001</v>
      </c>
      <c r="AH39" s="40">
        <f>SUM(AH8:AH38)</f>
        <v>23189.74273639999</v>
      </c>
      <c r="AI39" s="40">
        <f>SUM(AI8:AI38)</f>
        <v>113156.02823639997</v>
      </c>
      <c r="AJ39" s="40">
        <f>SUM(AJ8:AJ38)</f>
        <v>6734.879599799998</v>
      </c>
      <c r="AL39" s="40">
        <f>SUM(AL8:AL38)</f>
        <v>97992.3035</v>
      </c>
      <c r="AM39" s="40">
        <f>SUM(AM8:AM38)</f>
        <v>25258.532078799988</v>
      </c>
      <c r="AN39" s="40">
        <f>SUM(AN8:AN38)</f>
        <v>123250.83557880002</v>
      </c>
      <c r="AO39" s="40">
        <f>SUM(AO8:AO38)</f>
        <v>7335.707616599998</v>
      </c>
      <c r="AQ39" s="40">
        <f>SUM(AQ8:AQ38)</f>
        <v>157861.0215</v>
      </c>
      <c r="AR39" s="40">
        <f>SUM(AR8:AR38)</f>
        <v>40690.31478120002</v>
      </c>
      <c r="AS39" s="40">
        <f>SUM(AS8:AS38)</f>
        <v>198551.33628120003</v>
      </c>
      <c r="AT39" s="40">
        <f>SUM(AT8:AT38)</f>
        <v>11817.482153400004</v>
      </c>
      <c r="AV39" s="40">
        <f>SUM(AV8:AV38)</f>
        <v>865888.296</v>
      </c>
      <c r="AW39" s="40">
        <f>SUM(AW8:AW38)</f>
        <v>223191.68465279994</v>
      </c>
      <c r="AX39" s="40">
        <f>SUM(AX8:AX38)</f>
        <v>1089079.9806528</v>
      </c>
      <c r="AY39" s="40">
        <f>SUM(AY8:AY38)</f>
        <v>64820.43120960002</v>
      </c>
      <c r="BA39" s="40">
        <f>SUM(BA8:BA38)</f>
        <v>79184.924</v>
      </c>
      <c r="BB39" s="40">
        <f>SUM(BB8:BB38)</f>
        <v>20410.7350432</v>
      </c>
      <c r="BC39" s="40">
        <f>SUM(BC8:BC38)</f>
        <v>99595.6590432</v>
      </c>
      <c r="BD39" s="40">
        <f>SUM(BD8:BD38)</f>
        <v>5927.786462399996</v>
      </c>
      <c r="BF39" s="40">
        <f>SUM(BF8:BF38)</f>
        <v>363734.1435</v>
      </c>
      <c r="BG39" s="40">
        <f>SUM(BG8:BG38)</f>
        <v>93756.2461908</v>
      </c>
      <c r="BH39" s="40">
        <f>SUM(BH8:BH38)</f>
        <v>457490.38969080005</v>
      </c>
      <c r="BI39" s="40">
        <f>SUM(BI8:BI38)</f>
        <v>27229.1520006</v>
      </c>
      <c r="BK39" s="40">
        <f>SUM(BK8:BK38)</f>
        <v>24874.8955</v>
      </c>
      <c r="BL39" s="40">
        <f>SUM(BL8:BL38)</f>
        <v>6411.7621844000005</v>
      </c>
      <c r="BM39" s="40">
        <f>SUM(BM8:BM38)</f>
        <v>31286.657684399997</v>
      </c>
      <c r="BN39" s="40">
        <f>SUM(BN8:BN38)</f>
        <v>1862.1356357999994</v>
      </c>
      <c r="BP39" s="40">
        <f>SUM(BP8:BP38)</f>
        <v>335191.8570000001</v>
      </c>
      <c r="BQ39" s="40">
        <f>SUM(BQ8:BQ38)</f>
        <v>86399.17595759999</v>
      </c>
      <c r="BR39" s="40">
        <f>SUM(BR8:BR38)</f>
        <v>421591.03295759996</v>
      </c>
      <c r="BS39" s="40">
        <f>SUM(BS8:BS38)</f>
        <v>25092.475333199985</v>
      </c>
      <c r="BU39" s="40">
        <f>SUM(BU8:BU38)</f>
        <v>4118.6145</v>
      </c>
      <c r="BV39" s="40">
        <f>SUM(BV8:BV38)</f>
        <v>1061.6155836000003</v>
      </c>
      <c r="BW39" s="40">
        <f>SUM(BW8:BW38)</f>
        <v>5180.2300836</v>
      </c>
      <c r="BX39" s="40">
        <f>SUM(BX8:BX38)</f>
        <v>308.31964019999975</v>
      </c>
      <c r="BZ39" s="40">
        <f>SUM(BZ8:BZ38)</f>
        <v>449399.4050000001</v>
      </c>
      <c r="CA39" s="40">
        <f>SUM(CA8:CA38)</f>
        <v>115837.35540399997</v>
      </c>
      <c r="CB39" s="40">
        <f>SUM(CB8:CB38)</f>
        <v>565236.760404</v>
      </c>
      <c r="CC39" s="40">
        <f>SUM(CC8:CC38)</f>
        <v>33642.056777999984</v>
      </c>
      <c r="CE39" s="40">
        <f>SUM(CE8:CE38)</f>
        <v>52869.9535</v>
      </c>
      <c r="CF39" s="40">
        <f>SUM(CF8:CF38)</f>
        <v>13627.778598800005</v>
      </c>
      <c r="CG39" s="40">
        <f>SUM(CG8:CG38)</f>
        <v>66497.7320988</v>
      </c>
      <c r="CH39" s="40">
        <f>SUM(CH8:CH38)</f>
        <v>3957.846756600002</v>
      </c>
      <c r="CJ39" s="40">
        <f>SUM(CJ8:CJ38)</f>
        <v>16512.86</v>
      </c>
      <c r="CK39" s="40">
        <f>SUM(CK8:CK38)</f>
        <v>4256.360847999999</v>
      </c>
      <c r="CL39" s="40">
        <f>SUM(CL8:CL38)</f>
        <v>20769.220848000008</v>
      </c>
      <c r="CM39" s="40">
        <f>SUM(CM8:CM38)</f>
        <v>1236.1533359999999</v>
      </c>
      <c r="CO39" s="40">
        <f>SUM(CO8:CO38)</f>
        <v>383703.1834999999</v>
      </c>
      <c r="CP39" s="40">
        <f>SUM(CP8:CP38)</f>
        <v>98903.4732628</v>
      </c>
      <c r="CQ39" s="40">
        <f>SUM(CQ8:CQ38)</f>
        <v>482606.65676279995</v>
      </c>
      <c r="CR39" s="40">
        <f>SUM(CR8:CR38)</f>
        <v>28724.035104599985</v>
      </c>
      <c r="CT39" s="40">
        <f>SUM(CT8:CT38)</f>
        <v>197271.074</v>
      </c>
      <c r="CU39" s="40">
        <f>SUM(CU8:CU38)</f>
        <v>50848.66436319998</v>
      </c>
      <c r="CV39" s="40">
        <f>SUM(CV8:CV38)</f>
        <v>248119.7383632</v>
      </c>
      <c r="CW39" s="40">
        <f>SUM(CW8:CW38)</f>
        <v>14767.7202024</v>
      </c>
      <c r="CY39" s="40">
        <f>SUM(CY8:CY38)</f>
        <v>73098.207</v>
      </c>
      <c r="CZ39" s="40">
        <f>SUM(CZ8:CZ38)</f>
        <v>18841.820637599998</v>
      </c>
      <c r="DA39" s="40">
        <f>SUM(DA8:DA38)</f>
        <v>91940.02763760001</v>
      </c>
      <c r="DB39" s="40">
        <f>SUM(DB8:DB38)</f>
        <v>5472.134593199999</v>
      </c>
      <c r="DD39" s="40">
        <f>SUM(DD8:DD38)</f>
        <v>150833.4555</v>
      </c>
      <c r="DE39" s="40">
        <f>SUM(DE8:DE38)</f>
        <v>38878.88679239998</v>
      </c>
      <c r="DF39" s="40">
        <f>SUM(DF8:DF38)</f>
        <v>189712.34229239996</v>
      </c>
      <c r="DG39" s="40">
        <f>SUM(DG8:DG38)</f>
        <v>11291.398291799998</v>
      </c>
      <c r="DI39" s="40">
        <f>SUM(DI8:DI38)</f>
        <v>1122634.4675</v>
      </c>
      <c r="DJ39" s="40">
        <f>SUM(DJ8:DJ38)</f>
        <v>289370.6719539999</v>
      </c>
      <c r="DK39" s="40">
        <f>SUM(DK8:DK38)</f>
        <v>1412005.1394540002</v>
      </c>
      <c r="DL39" s="40">
        <f>SUM(DL8:DL38)</f>
        <v>84040.45950299998</v>
      </c>
      <c r="DN39" s="40">
        <f>SUM(DN8:DN38)</f>
        <v>36635.508</v>
      </c>
      <c r="DO39" s="40">
        <f>SUM(DO8:DO38)</f>
        <v>9443.181974400002</v>
      </c>
      <c r="DP39" s="40">
        <f>SUM(DP8:DP38)</f>
        <v>46078.68997440001</v>
      </c>
      <c r="DQ39" s="40">
        <f>SUM(DQ8:DQ38)</f>
        <v>2742.535540800002</v>
      </c>
    </row>
    <row r="40" spans="8:94" ht="13.5" thickTop="1"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N40"/>
      <c r="CO40"/>
      <c r="CP40"/>
    </row>
    <row r="41" spans="8:94" ht="12.75"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N41"/>
      <c r="CO41"/>
      <c r="CP41"/>
    </row>
    <row r="42" spans="8:94" ht="12.75"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N42"/>
      <c r="CO42"/>
      <c r="CP42"/>
    </row>
    <row r="43" spans="8:94" ht="12.75"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N43"/>
      <c r="CO43"/>
      <c r="CP43"/>
    </row>
    <row r="44" spans="8:94" ht="12.75"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N44"/>
      <c r="CO44"/>
      <c r="CP44"/>
    </row>
    <row r="45" spans="8:94" ht="12.75"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N45"/>
      <c r="CO45"/>
      <c r="CP45"/>
    </row>
    <row r="46" spans="8:94" ht="12.75"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N46"/>
      <c r="CO46"/>
      <c r="CP46"/>
    </row>
    <row r="47" spans="1:94" ht="12.75">
      <c r="A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N47"/>
      <c r="CO47"/>
      <c r="CP47"/>
    </row>
    <row r="48" spans="1:94" ht="12.75">
      <c r="A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N48"/>
      <c r="CO48"/>
      <c r="CP48"/>
    </row>
    <row r="49" spans="1:94" ht="12.75">
      <c r="A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N49"/>
      <c r="CO49"/>
      <c r="CP49"/>
    </row>
    <row r="50" spans="1:94" ht="12.75">
      <c r="A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N50"/>
      <c r="CO50"/>
      <c r="CP50"/>
    </row>
    <row r="51" spans="1:94" ht="12.75">
      <c r="A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N51"/>
      <c r="CO51"/>
      <c r="CP51"/>
    </row>
    <row r="52" spans="1:94" ht="12.75">
      <c r="A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N52"/>
      <c r="CO52"/>
      <c r="CP52"/>
    </row>
    <row r="53" spans="1:6" ht="12.75">
      <c r="A53"/>
      <c r="C53"/>
      <c r="D53"/>
      <c r="E53"/>
      <c r="F53"/>
    </row>
    <row r="54" spans="1:6" ht="12.75">
      <c r="A54"/>
      <c r="C54"/>
      <c r="D54"/>
      <c r="E54"/>
      <c r="F54"/>
    </row>
    <row r="55" spans="1:6" ht="12.75">
      <c r="A55"/>
      <c r="C55"/>
      <c r="D55"/>
      <c r="E55"/>
      <c r="F55"/>
    </row>
    <row r="56" spans="1:6" ht="12.75">
      <c r="A56"/>
      <c r="C56"/>
      <c r="D56"/>
      <c r="E56"/>
      <c r="F56"/>
    </row>
    <row r="57" spans="1:6" ht="12.75">
      <c r="A57"/>
      <c r="C57"/>
      <c r="D57"/>
      <c r="E57"/>
      <c r="F57"/>
    </row>
    <row r="58" spans="1:6" ht="12.75">
      <c r="A58"/>
      <c r="C58"/>
      <c r="D58"/>
      <c r="E58"/>
      <c r="F58"/>
    </row>
    <row r="59" spans="1:6" ht="12.75">
      <c r="A59"/>
      <c r="C59"/>
      <c r="D59"/>
      <c r="E59"/>
      <c r="F59"/>
    </row>
    <row r="60" spans="1:6" ht="12.75">
      <c r="A60"/>
      <c r="C60"/>
      <c r="D60"/>
      <c r="E60"/>
      <c r="F60"/>
    </row>
    <row r="61" spans="1:6" ht="12.75">
      <c r="A61"/>
      <c r="C61"/>
      <c r="D61"/>
      <c r="E61"/>
      <c r="F61"/>
    </row>
    <row r="62" spans="1:6" ht="12.75">
      <c r="A62"/>
      <c r="C62"/>
      <c r="D62"/>
      <c r="E62"/>
      <c r="F62"/>
    </row>
    <row r="63" spans="1:6" ht="12.75">
      <c r="A63"/>
      <c r="C63"/>
      <c r="D63"/>
      <c r="E63"/>
      <c r="F63"/>
    </row>
    <row r="64" spans="1:6" ht="12.75">
      <c r="A64"/>
      <c r="C64"/>
      <c r="D64"/>
      <c r="E64"/>
      <c r="F64"/>
    </row>
    <row r="65" spans="1:6" ht="12.75">
      <c r="A65"/>
      <c r="C65"/>
      <c r="D65"/>
      <c r="E65"/>
      <c r="F65"/>
    </row>
    <row r="66" spans="1:6" ht="12.75">
      <c r="A66"/>
      <c r="C66"/>
      <c r="D66"/>
      <c r="E66"/>
      <c r="F66"/>
    </row>
    <row r="67" spans="1:6" ht="12.75">
      <c r="A67"/>
      <c r="C67"/>
      <c r="D67"/>
      <c r="E67"/>
      <c r="F67"/>
    </row>
    <row r="68" spans="1:6" ht="12.75">
      <c r="A68"/>
      <c r="C68"/>
      <c r="D68"/>
      <c r="E68"/>
      <c r="F68"/>
    </row>
    <row r="69" spans="1:6" ht="12.75">
      <c r="A69"/>
      <c r="C69"/>
      <c r="D69"/>
      <c r="E69"/>
      <c r="F69"/>
    </row>
    <row r="70" spans="1:6" ht="12.75">
      <c r="A70"/>
      <c r="C70"/>
      <c r="D70"/>
      <c r="E70"/>
      <c r="F70"/>
    </row>
    <row r="71" spans="1:6" ht="12.75">
      <c r="A71"/>
      <c r="C71"/>
      <c r="D71"/>
      <c r="E71"/>
      <c r="F71"/>
    </row>
    <row r="72" spans="1:6" ht="12.75">
      <c r="A72"/>
      <c r="C72"/>
      <c r="D72"/>
      <c r="E72"/>
      <c r="F72"/>
    </row>
    <row r="73" spans="1:6" ht="12.75">
      <c r="A73"/>
      <c r="C73"/>
      <c r="D73"/>
      <c r="E73"/>
      <c r="F73"/>
    </row>
    <row r="74" spans="3:6" ht="12.75">
      <c r="C74"/>
      <c r="D74"/>
      <c r="E74"/>
      <c r="F74"/>
    </row>
    <row r="75" spans="3:6" ht="12.75">
      <c r="C75"/>
      <c r="D75"/>
      <c r="E75"/>
      <c r="F75"/>
    </row>
    <row r="76" spans="3:6" ht="12.75">
      <c r="C76"/>
      <c r="D76"/>
      <c r="E76"/>
      <c r="F76"/>
    </row>
    <row r="77" spans="3:6" ht="12.75">
      <c r="C77"/>
      <c r="D77"/>
      <c r="E77"/>
      <c r="F77"/>
    </row>
    <row r="78" spans="3:6" ht="12.75">
      <c r="C78"/>
      <c r="D78"/>
      <c r="E78"/>
      <c r="F78"/>
    </row>
    <row r="79" spans="3:6" ht="12.75">
      <c r="C79"/>
      <c r="D79"/>
      <c r="E79"/>
      <c r="F79"/>
    </row>
  </sheetData>
  <sheetProtection/>
  <printOptions/>
  <pageMargins left="0.25" right="0" top="0" bottom="0.25" header="0.5" footer="0"/>
  <pageSetup horizontalDpi="600" verticalDpi="600" orientation="landscape" scale="95"/>
  <headerFooter alignWithMargins="0"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">
      <selection activeCell="C37" sqref="C37"/>
    </sheetView>
  </sheetViews>
  <sheetFormatPr defaultColWidth="8.8515625" defaultRowHeight="12.75"/>
  <cols>
    <col min="1" max="1" width="7.7109375" style="0" customWidth="1"/>
    <col min="2" max="2" width="15.7109375" style="0" customWidth="1"/>
    <col min="3" max="3" width="36.7109375" style="0" customWidth="1"/>
    <col min="4" max="4" width="14.7109375" style="49" customWidth="1"/>
    <col min="5" max="5" width="13.7109375" style="49" customWidth="1"/>
    <col min="6" max="6" width="12.7109375" style="49" customWidth="1"/>
    <col min="7" max="8" width="10.7109375" style="49" customWidth="1"/>
    <col min="9" max="9" width="12.7109375" style="49" customWidth="1"/>
    <col min="10" max="10" width="10.7109375" style="49" customWidth="1"/>
    <col min="11" max="11" width="13.7109375" style="49" customWidth="1"/>
    <col min="12" max="13" width="12.7109375" style="49" customWidth="1"/>
    <col min="14" max="15" width="13.7109375" style="49" customWidth="1"/>
    <col min="16" max="16" width="10.7109375" style="49" customWidth="1"/>
    <col min="17" max="17" width="14.7109375" style="49" customWidth="1"/>
    <col min="18" max="18" width="12.7109375" style="8" customWidth="1"/>
    <col min="19" max="19" width="10.28125" style="0" bestFit="1" customWidth="1"/>
  </cols>
  <sheetData>
    <row r="1" ht="12.75">
      <c r="A1" s="48" t="s">
        <v>97</v>
      </c>
    </row>
    <row r="3" spans="1:18" ht="12.75">
      <c r="A3" s="50"/>
      <c r="B3" s="50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74" t="s">
        <v>120</v>
      </c>
      <c r="R3" s="52" t="s">
        <v>26</v>
      </c>
    </row>
    <row r="4" spans="1:18" ht="12.75">
      <c r="A4" s="53" t="s">
        <v>27</v>
      </c>
      <c r="B4" s="53" t="s">
        <v>28</v>
      </c>
      <c r="C4" s="53" t="s">
        <v>29</v>
      </c>
      <c r="D4" s="54" t="s">
        <v>13</v>
      </c>
      <c r="E4" s="54" t="s">
        <v>30</v>
      </c>
      <c r="F4" s="54" t="s">
        <v>31</v>
      </c>
      <c r="G4" s="54" t="s">
        <v>32</v>
      </c>
      <c r="H4" s="54" t="s">
        <v>33</v>
      </c>
      <c r="I4" s="54" t="s">
        <v>34</v>
      </c>
      <c r="J4" s="54" t="s">
        <v>35</v>
      </c>
      <c r="K4" s="54" t="s">
        <v>36</v>
      </c>
      <c r="L4" s="54" t="s">
        <v>37</v>
      </c>
      <c r="M4" s="54" t="s">
        <v>38</v>
      </c>
      <c r="N4" s="54" t="s">
        <v>39</v>
      </c>
      <c r="O4" s="54" t="s">
        <v>40</v>
      </c>
      <c r="P4" s="54" t="s">
        <v>41</v>
      </c>
      <c r="Q4" s="54" t="s">
        <v>79</v>
      </c>
      <c r="R4" s="55" t="s">
        <v>42</v>
      </c>
    </row>
    <row r="5" spans="1:18" s="59" customFormat="1" ht="13.5" thickBot="1">
      <c r="A5" s="56"/>
      <c r="B5" s="56"/>
      <c r="C5" s="56" t="s">
        <v>43</v>
      </c>
      <c r="D5" s="57">
        <f>SUM(E5:Q5)</f>
        <v>123970200.53</v>
      </c>
      <c r="E5" s="57">
        <f aca="true" t="shared" si="0" ref="E5:Q5">SUM(E6:E42)</f>
        <v>13291086.85</v>
      </c>
      <c r="F5" s="57">
        <f t="shared" si="0"/>
        <v>792926.28</v>
      </c>
      <c r="G5" s="57">
        <f t="shared" si="0"/>
        <v>10835.69</v>
      </c>
      <c r="H5" s="57">
        <f t="shared" si="0"/>
        <v>178800</v>
      </c>
      <c r="I5" s="57">
        <f t="shared" si="0"/>
        <v>5253416.68</v>
      </c>
      <c r="J5" s="57">
        <f t="shared" si="0"/>
        <v>141172.45</v>
      </c>
      <c r="K5" s="57">
        <f t="shared" si="0"/>
        <v>12859626.290000001</v>
      </c>
      <c r="L5" s="57">
        <f t="shared" si="0"/>
        <v>392974.15</v>
      </c>
      <c r="M5" s="57">
        <f t="shared" si="0"/>
        <v>85872.65</v>
      </c>
      <c r="N5" s="57">
        <f t="shared" si="0"/>
        <v>5469653.080000001</v>
      </c>
      <c r="O5" s="57">
        <f t="shared" si="0"/>
        <v>17470161.66</v>
      </c>
      <c r="P5" s="57">
        <f t="shared" si="0"/>
        <v>90035</v>
      </c>
      <c r="Q5" s="57">
        <f t="shared" si="0"/>
        <v>67933639.75</v>
      </c>
      <c r="R5" s="58"/>
    </row>
    <row r="6" spans="1:17" ht="13.5" thickTop="1">
      <c r="A6" s="60"/>
      <c r="B6" s="61"/>
      <c r="C6" s="61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</row>
    <row r="7" spans="1:18" ht="12.75">
      <c r="A7" s="61" t="s">
        <v>30</v>
      </c>
      <c r="B7" s="61" t="s">
        <v>106</v>
      </c>
      <c r="C7" s="61" t="s">
        <v>45</v>
      </c>
      <c r="D7" s="49">
        <f aca="true" t="shared" si="1" ref="D7:D40">SUM(E7:P7)</f>
        <v>1960073.94</v>
      </c>
      <c r="E7" s="63">
        <f>1130610.57+663258.22+166205.15</f>
        <v>1960073.94</v>
      </c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8">
        <f aca="true" t="shared" si="2" ref="R7:R40">D7/$D$5</f>
        <v>0.01581084753933002</v>
      </c>
    </row>
    <row r="8" spans="1:18" ht="12.75">
      <c r="A8" s="61" t="s">
        <v>31</v>
      </c>
      <c r="B8" s="61" t="s">
        <v>108</v>
      </c>
      <c r="C8" s="61" t="s">
        <v>45</v>
      </c>
      <c r="D8" s="49">
        <f t="shared" si="1"/>
        <v>133970.32</v>
      </c>
      <c r="E8" s="63"/>
      <c r="F8" s="63">
        <f>5531+41291.06+86560.85+587.41</f>
        <v>133970.32</v>
      </c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8">
        <f t="shared" si="2"/>
        <v>0.0010806655101568544</v>
      </c>
    </row>
    <row r="9" spans="1:18" ht="12.75">
      <c r="A9" s="61" t="s">
        <v>31</v>
      </c>
      <c r="B9" s="61" t="s">
        <v>46</v>
      </c>
      <c r="C9" s="61" t="s">
        <v>49</v>
      </c>
      <c r="D9" s="49">
        <f t="shared" si="1"/>
        <v>44149.63</v>
      </c>
      <c r="E9" s="63"/>
      <c r="F9" s="63">
        <f>44149.63</f>
        <v>44149.63</v>
      </c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8">
        <f t="shared" si="2"/>
        <v>0.0003561309880217227</v>
      </c>
    </row>
    <row r="10" spans="1:18" ht="12.75">
      <c r="A10" s="61" t="s">
        <v>31</v>
      </c>
      <c r="B10" s="61" t="s">
        <v>86</v>
      </c>
      <c r="C10" s="61" t="s">
        <v>47</v>
      </c>
      <c r="D10" s="49">
        <f t="shared" si="1"/>
        <v>105599.62</v>
      </c>
      <c r="E10" s="63"/>
      <c r="F10" s="63">
        <f>105599.62</f>
        <v>105599.62</v>
      </c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8">
        <f t="shared" si="2"/>
        <v>0.000851814545338624</v>
      </c>
    </row>
    <row r="11" spans="1:18" ht="12.75">
      <c r="A11" s="61" t="s">
        <v>32</v>
      </c>
      <c r="B11" s="61" t="s">
        <v>48</v>
      </c>
      <c r="C11" s="61" t="s">
        <v>45</v>
      </c>
      <c r="D11" s="49">
        <f t="shared" si="1"/>
        <v>10835.69</v>
      </c>
      <c r="E11" s="63"/>
      <c r="F11" s="63"/>
      <c r="G11" s="63">
        <f>9591.83+1243.86</f>
        <v>10835.69</v>
      </c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8">
        <f t="shared" si="2"/>
        <v>8.740560194042626E-05</v>
      </c>
    </row>
    <row r="12" spans="1:18" ht="12.75">
      <c r="A12" s="61" t="s">
        <v>33</v>
      </c>
      <c r="B12" s="61" t="s">
        <v>67</v>
      </c>
      <c r="C12" s="61" t="s">
        <v>45</v>
      </c>
      <c r="D12" s="49">
        <f t="shared" si="1"/>
        <v>178800</v>
      </c>
      <c r="E12" s="63"/>
      <c r="F12" s="63"/>
      <c r="G12" s="62"/>
      <c r="H12" s="63">
        <f>1980+174660+2160</f>
        <v>178800</v>
      </c>
      <c r="I12" s="62"/>
      <c r="J12" s="62"/>
      <c r="K12" s="62"/>
      <c r="L12" s="62"/>
      <c r="M12" s="62"/>
      <c r="N12" s="62"/>
      <c r="O12" s="62"/>
      <c r="P12" s="62"/>
      <c r="Q12" s="62"/>
      <c r="R12" s="8">
        <f t="shared" si="2"/>
        <v>0.0014422820906604208</v>
      </c>
    </row>
    <row r="13" spans="1:18" ht="12.75">
      <c r="A13" s="61" t="s">
        <v>34</v>
      </c>
      <c r="B13" s="61" t="s">
        <v>75</v>
      </c>
      <c r="C13" s="61" t="s">
        <v>45</v>
      </c>
      <c r="D13" s="49">
        <f t="shared" si="1"/>
        <v>218315.78</v>
      </c>
      <c r="E13" s="63"/>
      <c r="F13" s="63"/>
      <c r="G13" s="62"/>
      <c r="H13" s="63"/>
      <c r="I13" s="63">
        <f>94560.57+14870.81+42687.74+66196.66</f>
        <v>218315.78</v>
      </c>
      <c r="J13" s="62"/>
      <c r="K13" s="62"/>
      <c r="L13" s="62"/>
      <c r="M13" s="62"/>
      <c r="N13" s="62"/>
      <c r="O13" s="62"/>
      <c r="P13" s="62"/>
      <c r="Q13" s="62"/>
      <c r="R13" s="8">
        <f t="shared" si="2"/>
        <v>0.0017610343378219265</v>
      </c>
    </row>
    <row r="14" spans="1:18" ht="12.75">
      <c r="A14" s="61" t="s">
        <v>35</v>
      </c>
      <c r="B14" s="61" t="s">
        <v>105</v>
      </c>
      <c r="C14" s="61" t="s">
        <v>45</v>
      </c>
      <c r="D14" s="49">
        <f t="shared" si="1"/>
        <v>114153.95</v>
      </c>
      <c r="E14" s="63"/>
      <c r="F14" s="63"/>
      <c r="G14" s="62"/>
      <c r="H14" s="63"/>
      <c r="I14" s="62"/>
      <c r="J14" s="63">
        <f>34744+79409.95</f>
        <v>114153.95</v>
      </c>
      <c r="K14" s="62"/>
      <c r="L14" s="62"/>
      <c r="M14" s="62"/>
      <c r="N14" s="62"/>
      <c r="O14" s="62"/>
      <c r="P14" s="62"/>
      <c r="Q14" s="62"/>
      <c r="R14" s="8">
        <f t="shared" si="2"/>
        <v>0.000920817660308418</v>
      </c>
    </row>
    <row r="15" spans="1:18" ht="12.75">
      <c r="A15" s="61" t="s">
        <v>35</v>
      </c>
      <c r="B15" s="75" t="s">
        <v>122</v>
      </c>
      <c r="C15" s="61" t="s">
        <v>47</v>
      </c>
      <c r="D15" s="49">
        <f t="shared" si="1"/>
        <v>27018.5</v>
      </c>
      <c r="E15" s="63"/>
      <c r="F15" s="63"/>
      <c r="G15" s="62"/>
      <c r="H15" s="63"/>
      <c r="I15" s="62"/>
      <c r="J15" s="63">
        <f>27018.5</f>
        <v>27018.5</v>
      </c>
      <c r="K15" s="62"/>
      <c r="L15" s="62"/>
      <c r="M15" s="62"/>
      <c r="N15" s="62"/>
      <c r="O15" s="62"/>
      <c r="P15" s="62"/>
      <c r="Q15" s="62"/>
      <c r="R15" s="8">
        <f t="shared" si="2"/>
        <v>0.00021794350484624484</v>
      </c>
    </row>
    <row r="16" spans="1:18" ht="12.75">
      <c r="A16" s="61" t="s">
        <v>36</v>
      </c>
      <c r="B16" s="61" t="s">
        <v>109</v>
      </c>
      <c r="C16" s="61" t="s">
        <v>45</v>
      </c>
      <c r="D16" s="49">
        <f t="shared" si="1"/>
        <v>203022.91</v>
      </c>
      <c r="E16" s="63"/>
      <c r="F16" s="63"/>
      <c r="G16" s="62"/>
      <c r="H16" s="63"/>
      <c r="I16" s="62"/>
      <c r="J16" s="63"/>
      <c r="K16" s="63">
        <f>9494.5+102728.41+37702.78+53097.22</f>
        <v>203022.91</v>
      </c>
      <c r="L16" s="62"/>
      <c r="M16" s="62"/>
      <c r="N16" s="62"/>
      <c r="O16" s="62"/>
      <c r="P16" s="62"/>
      <c r="Q16" s="62"/>
      <c r="R16" s="8">
        <f t="shared" si="2"/>
        <v>0.0016376750955635483</v>
      </c>
    </row>
    <row r="17" spans="1:18" ht="12.75">
      <c r="A17" s="61" t="s">
        <v>36</v>
      </c>
      <c r="B17" s="61" t="s">
        <v>44</v>
      </c>
      <c r="C17" s="61" t="s">
        <v>51</v>
      </c>
      <c r="D17" s="49">
        <f t="shared" si="1"/>
        <v>3337.72</v>
      </c>
      <c r="E17" s="63"/>
      <c r="F17" s="62"/>
      <c r="G17" s="62"/>
      <c r="H17" s="62"/>
      <c r="I17" s="62"/>
      <c r="J17" s="62"/>
      <c r="K17" s="63">
        <f>3337.72</f>
        <v>3337.72</v>
      </c>
      <c r="L17" s="62"/>
      <c r="M17" s="62"/>
      <c r="N17" s="62"/>
      <c r="O17" s="62"/>
      <c r="P17" s="62"/>
      <c r="Q17" s="62"/>
      <c r="R17" s="8">
        <f t="shared" si="2"/>
        <v>2.6923567000218674E-05</v>
      </c>
    </row>
    <row r="18" spans="1:18" ht="12.75">
      <c r="A18" s="61" t="s">
        <v>37</v>
      </c>
      <c r="B18" s="61" t="s">
        <v>85</v>
      </c>
      <c r="C18" s="61" t="s">
        <v>45</v>
      </c>
      <c r="D18" s="49">
        <f t="shared" si="1"/>
        <v>314906.67</v>
      </c>
      <c r="E18" s="63"/>
      <c r="F18" s="62"/>
      <c r="G18" s="62"/>
      <c r="H18" s="62"/>
      <c r="I18" s="62"/>
      <c r="J18" s="62"/>
      <c r="K18" s="63"/>
      <c r="L18" s="63">
        <f>167440+123498.5+23968.17</f>
        <v>314906.67</v>
      </c>
      <c r="M18" s="62"/>
      <c r="N18" s="62"/>
      <c r="O18" s="62"/>
      <c r="P18" s="62"/>
      <c r="Q18" s="62"/>
      <c r="R18" s="8">
        <f t="shared" si="2"/>
        <v>0.0025401803711997267</v>
      </c>
    </row>
    <row r="19" spans="1:18" ht="12.75">
      <c r="A19" s="61" t="s">
        <v>37</v>
      </c>
      <c r="B19" s="61" t="s">
        <v>50</v>
      </c>
      <c r="C19" s="61" t="s">
        <v>52</v>
      </c>
      <c r="D19" s="49">
        <f t="shared" si="1"/>
        <v>66775.09</v>
      </c>
      <c r="E19" s="63"/>
      <c r="F19" s="62"/>
      <c r="G19" s="62"/>
      <c r="H19" s="62"/>
      <c r="I19" s="62"/>
      <c r="J19" s="62"/>
      <c r="K19" s="63"/>
      <c r="L19" s="63">
        <f>66775.09</f>
        <v>66775.09</v>
      </c>
      <c r="M19" s="62"/>
      <c r="N19" s="62"/>
      <c r="O19" s="62"/>
      <c r="P19" s="62"/>
      <c r="Q19" s="62"/>
      <c r="R19" s="8">
        <f t="shared" si="2"/>
        <v>0.0005386382349509941</v>
      </c>
    </row>
    <row r="20" spans="1:18" ht="12.75">
      <c r="A20" s="61" t="s">
        <v>37</v>
      </c>
      <c r="B20" s="61" t="s">
        <v>53</v>
      </c>
      <c r="C20" s="61" t="s">
        <v>47</v>
      </c>
      <c r="D20" s="49">
        <f t="shared" si="1"/>
        <v>11292.39</v>
      </c>
      <c r="E20" s="63"/>
      <c r="F20" s="62"/>
      <c r="G20" s="62"/>
      <c r="H20" s="62"/>
      <c r="I20" s="62"/>
      <c r="J20" s="62"/>
      <c r="K20" s="63"/>
      <c r="L20" s="63">
        <f>11292.39</f>
        <v>11292.39</v>
      </c>
      <c r="M20" s="62"/>
      <c r="N20" s="62"/>
      <c r="O20" s="62"/>
      <c r="P20" s="62"/>
      <c r="Q20" s="62"/>
      <c r="R20" s="8">
        <f t="shared" si="2"/>
        <v>9.108955177714109E-05</v>
      </c>
    </row>
    <row r="21" spans="1:18" ht="12.75">
      <c r="A21" s="61" t="s">
        <v>38</v>
      </c>
      <c r="B21" s="61" t="s">
        <v>107</v>
      </c>
      <c r="C21" s="61" t="s">
        <v>45</v>
      </c>
      <c r="D21" s="49">
        <f t="shared" si="1"/>
        <v>85872.65</v>
      </c>
      <c r="E21" s="63"/>
      <c r="F21" s="62"/>
      <c r="G21" s="62"/>
      <c r="H21" s="62"/>
      <c r="I21" s="62"/>
      <c r="J21" s="62"/>
      <c r="K21" s="63"/>
      <c r="L21" s="63"/>
      <c r="M21" s="63">
        <f>85872.65</f>
        <v>85872.65</v>
      </c>
      <c r="N21" s="62"/>
      <c r="O21" s="62"/>
      <c r="P21" s="62"/>
      <c r="Q21" s="62"/>
      <c r="R21" s="8">
        <f t="shared" si="2"/>
        <v>0.0006926878365355177</v>
      </c>
    </row>
    <row r="22" spans="1:18" ht="12.75">
      <c r="A22" s="61" t="s">
        <v>39</v>
      </c>
      <c r="B22" s="61" t="s">
        <v>115</v>
      </c>
      <c r="C22" s="61" t="s">
        <v>45</v>
      </c>
      <c r="D22" s="49">
        <f t="shared" si="1"/>
        <v>8591.04</v>
      </c>
      <c r="E22" s="63"/>
      <c r="F22" s="62"/>
      <c r="G22" s="62"/>
      <c r="H22" s="62"/>
      <c r="I22" s="62"/>
      <c r="J22" s="62"/>
      <c r="K22" s="63"/>
      <c r="L22" s="63"/>
      <c r="M22" s="63"/>
      <c r="N22" s="63">
        <f>8591.04</f>
        <v>8591.04</v>
      </c>
      <c r="O22" s="62"/>
      <c r="P22" s="62"/>
      <c r="Q22" s="62"/>
      <c r="R22" s="8">
        <f t="shared" si="2"/>
        <v>6.92992345198395E-05</v>
      </c>
    </row>
    <row r="23" spans="1:18" ht="12.75">
      <c r="A23" s="61" t="s">
        <v>40</v>
      </c>
      <c r="B23" s="61" t="s">
        <v>84</v>
      </c>
      <c r="C23" s="61" t="s">
        <v>45</v>
      </c>
      <c r="D23" s="49">
        <f t="shared" si="1"/>
        <v>41601.91</v>
      </c>
      <c r="E23" s="63"/>
      <c r="F23" s="62"/>
      <c r="G23" s="62"/>
      <c r="H23" s="62"/>
      <c r="I23" s="62"/>
      <c r="J23" s="62"/>
      <c r="K23" s="63"/>
      <c r="L23" s="63"/>
      <c r="M23" s="63"/>
      <c r="N23" s="62"/>
      <c r="O23" s="63">
        <f>7215.91+19506+14880</f>
        <v>41601.91</v>
      </c>
      <c r="P23" s="62"/>
      <c r="Q23" s="62"/>
      <c r="R23" s="8">
        <f t="shared" si="2"/>
        <v>0.00033557992019164805</v>
      </c>
    </row>
    <row r="24" spans="1:18" ht="12.75">
      <c r="A24" s="61" t="s">
        <v>40</v>
      </c>
      <c r="B24" s="61" t="s">
        <v>74</v>
      </c>
      <c r="C24" s="61" t="s">
        <v>66</v>
      </c>
      <c r="D24" s="49">
        <f t="shared" si="1"/>
        <v>164838.19</v>
      </c>
      <c r="E24" s="63"/>
      <c r="F24" s="62"/>
      <c r="G24" s="62"/>
      <c r="H24" s="62"/>
      <c r="I24" s="62"/>
      <c r="J24" s="62"/>
      <c r="K24" s="63"/>
      <c r="L24" s="63"/>
      <c r="M24" s="63"/>
      <c r="N24" s="62"/>
      <c r="O24" s="63">
        <f>1775+163063.19</f>
        <v>164838.19</v>
      </c>
      <c r="P24" s="62"/>
      <c r="Q24" s="62"/>
      <c r="R24" s="8">
        <f t="shared" si="2"/>
        <v>0.001329659783522817</v>
      </c>
    </row>
    <row r="25" spans="1:19" ht="12.75">
      <c r="A25" s="61" t="s">
        <v>41</v>
      </c>
      <c r="B25" s="61" t="s">
        <v>68</v>
      </c>
      <c r="C25" s="61" t="s">
        <v>45</v>
      </c>
      <c r="D25" s="49">
        <f t="shared" si="1"/>
        <v>90035</v>
      </c>
      <c r="E25" s="63"/>
      <c r="F25" s="62"/>
      <c r="G25" s="62"/>
      <c r="H25" s="62"/>
      <c r="I25" s="62"/>
      <c r="J25" s="62"/>
      <c r="K25" s="63"/>
      <c r="L25" s="63"/>
      <c r="M25" s="63"/>
      <c r="N25" s="62"/>
      <c r="O25" s="63"/>
      <c r="P25" s="63">
        <f>90035</f>
        <v>90035</v>
      </c>
      <c r="Q25" s="63"/>
      <c r="R25" s="8">
        <f t="shared" si="2"/>
        <v>0.0007262632440302628</v>
      </c>
      <c r="S25" s="8">
        <f>SUM(R7:R25)</f>
        <v>0.030516938617716375</v>
      </c>
    </row>
    <row r="26" spans="1:19" ht="12.75">
      <c r="A26" s="61" t="s">
        <v>30</v>
      </c>
      <c r="B26" s="61" t="s">
        <v>76</v>
      </c>
      <c r="C26" s="61" t="s">
        <v>77</v>
      </c>
      <c r="D26" s="49">
        <f t="shared" si="1"/>
        <v>8923573.75</v>
      </c>
      <c r="E26" s="63">
        <v>8923573.75</v>
      </c>
      <c r="F26" s="62"/>
      <c r="G26" s="62"/>
      <c r="H26" s="62"/>
      <c r="I26" s="62"/>
      <c r="J26" s="62"/>
      <c r="K26" s="63"/>
      <c r="L26" s="63"/>
      <c r="M26" s="63"/>
      <c r="N26" s="62"/>
      <c r="O26" s="63"/>
      <c r="P26" s="63"/>
      <c r="Q26" s="63"/>
      <c r="R26" s="8">
        <f t="shared" si="2"/>
        <v>0.07198160293239626</v>
      </c>
      <c r="S26" s="8"/>
    </row>
    <row r="27" spans="1:18" ht="12.75">
      <c r="A27" s="2" t="s">
        <v>30</v>
      </c>
      <c r="B27" s="2" t="s">
        <v>69</v>
      </c>
      <c r="C27" t="s">
        <v>54</v>
      </c>
      <c r="D27" s="49">
        <f t="shared" si="1"/>
        <v>901835.65</v>
      </c>
      <c r="E27" s="49">
        <f>901835.65</f>
        <v>901835.65</v>
      </c>
      <c r="R27" s="8">
        <f t="shared" si="2"/>
        <v>0.007274616368647089</v>
      </c>
    </row>
    <row r="28" spans="1:18" ht="12.75">
      <c r="A28" s="2" t="s">
        <v>30</v>
      </c>
      <c r="B28" s="2" t="s">
        <v>76</v>
      </c>
      <c r="C28" s="64" t="s">
        <v>56</v>
      </c>
      <c r="D28" s="49">
        <f t="shared" si="1"/>
        <v>1505603.51</v>
      </c>
      <c r="E28" s="49">
        <f>1505603.51</f>
        <v>1505603.51</v>
      </c>
      <c r="R28" s="8">
        <f t="shared" si="2"/>
        <v>0.012144882427899708</v>
      </c>
    </row>
    <row r="29" spans="1:18" ht="12.75">
      <c r="A29" s="2" t="s">
        <v>31</v>
      </c>
      <c r="B29" s="2" t="s">
        <v>76</v>
      </c>
      <c r="C29" s="64" t="s">
        <v>87</v>
      </c>
      <c r="D29" s="49">
        <f t="shared" si="1"/>
        <v>482304.81</v>
      </c>
      <c r="F29" s="49">
        <v>482304.81</v>
      </c>
      <c r="R29" s="8">
        <f t="shared" si="2"/>
        <v>0.0038904898752929362</v>
      </c>
    </row>
    <row r="30" spans="1:18" ht="12.75">
      <c r="A30" s="2" t="s">
        <v>31</v>
      </c>
      <c r="B30" s="2" t="s">
        <v>90</v>
      </c>
      <c r="C30" s="64" t="s">
        <v>89</v>
      </c>
      <c r="D30" s="49">
        <f t="shared" si="1"/>
        <v>26901.9</v>
      </c>
      <c r="F30" s="49">
        <f>26901.9</f>
        <v>26901.9</v>
      </c>
      <c r="R30" s="8">
        <f t="shared" si="2"/>
        <v>0.0002170029562345502</v>
      </c>
    </row>
    <row r="31" spans="1:18" ht="12.75">
      <c r="A31" s="2" t="s">
        <v>34</v>
      </c>
      <c r="B31" s="2" t="s">
        <v>88</v>
      </c>
      <c r="C31" t="s">
        <v>57</v>
      </c>
      <c r="D31" s="49">
        <f t="shared" si="1"/>
        <v>5035100.899999999</v>
      </c>
      <c r="I31" s="49">
        <f>1236685.22+3726419.13+71996.55</f>
        <v>5035100.899999999</v>
      </c>
      <c r="R31" s="8">
        <f t="shared" si="2"/>
        <v>0.04061541304663403</v>
      </c>
    </row>
    <row r="32" spans="1:18" ht="12.75">
      <c r="A32" s="2" t="s">
        <v>36</v>
      </c>
      <c r="B32" s="2" t="s">
        <v>110</v>
      </c>
      <c r="C32" t="s">
        <v>59</v>
      </c>
      <c r="D32" s="49">
        <f t="shared" si="1"/>
        <v>12653265.66</v>
      </c>
      <c r="K32" s="49">
        <f>3097771.5+9555494.16</f>
        <v>12653265.66</v>
      </c>
      <c r="R32" s="8">
        <f t="shared" si="2"/>
        <v>0.10206699356703863</v>
      </c>
    </row>
    <row r="33" spans="1:18" ht="12.75">
      <c r="A33" s="2" t="s">
        <v>39</v>
      </c>
      <c r="B33" s="2" t="s">
        <v>78</v>
      </c>
      <c r="C33" t="s">
        <v>60</v>
      </c>
      <c r="D33" s="49">
        <f t="shared" si="1"/>
        <v>5458011.420000001</v>
      </c>
      <c r="N33" s="49">
        <f>5448807.19+9204.23</f>
        <v>5458011.420000001</v>
      </c>
      <c r="R33" s="8">
        <f t="shared" si="2"/>
        <v>0.04402680157542535</v>
      </c>
    </row>
    <row r="34" spans="1:18" ht="12.75">
      <c r="A34" s="2" t="s">
        <v>39</v>
      </c>
      <c r="B34" s="2" t="s">
        <v>61</v>
      </c>
      <c r="C34" t="s">
        <v>62</v>
      </c>
      <c r="D34" s="49">
        <f t="shared" si="1"/>
        <v>3050.62</v>
      </c>
      <c r="N34" s="49">
        <f>3050.62</f>
        <v>3050.62</v>
      </c>
      <c r="R34" s="8">
        <f t="shared" si="2"/>
        <v>2.4607687871423335E-05</v>
      </c>
    </row>
    <row r="35" spans="1:18" ht="12.75">
      <c r="A35" s="2" t="s">
        <v>40</v>
      </c>
      <c r="B35" s="2" t="s">
        <v>111</v>
      </c>
      <c r="C35" t="s">
        <v>112</v>
      </c>
      <c r="D35" s="49">
        <f t="shared" si="1"/>
        <v>184593.8</v>
      </c>
      <c r="O35" s="49">
        <v>184593.8</v>
      </c>
      <c r="R35" s="8">
        <f t="shared" si="2"/>
        <v>0.0014890175155869774</v>
      </c>
    </row>
    <row r="36" spans="1:18" ht="12.75">
      <c r="A36" s="2" t="s">
        <v>40</v>
      </c>
      <c r="B36" s="2" t="s">
        <v>88</v>
      </c>
      <c r="C36" t="s">
        <v>57</v>
      </c>
      <c r="D36" s="49">
        <f t="shared" si="1"/>
        <v>1581545.6199999999</v>
      </c>
      <c r="O36" s="49">
        <f>1572562.89+8982.73</f>
        <v>1581545.6199999999</v>
      </c>
      <c r="R36" s="8">
        <f t="shared" si="2"/>
        <v>0.0127574660139174</v>
      </c>
    </row>
    <row r="37" spans="1:18" ht="12.75">
      <c r="A37" s="2" t="s">
        <v>40</v>
      </c>
      <c r="B37" s="2" t="s">
        <v>113</v>
      </c>
      <c r="C37" t="s">
        <v>63</v>
      </c>
      <c r="D37" s="49">
        <f t="shared" si="1"/>
        <v>14849632.18</v>
      </c>
      <c r="O37" s="49">
        <f>9115001.7+4600000+1119203.76+15426.72</f>
        <v>14849632.18</v>
      </c>
      <c r="R37" s="8">
        <f t="shared" si="2"/>
        <v>0.11978388448606633</v>
      </c>
    </row>
    <row r="38" spans="1:18" ht="12.75">
      <c r="A38" s="2" t="s">
        <v>40</v>
      </c>
      <c r="B38" s="2" t="s">
        <v>116</v>
      </c>
      <c r="C38" t="s">
        <v>117</v>
      </c>
      <c r="D38" s="49">
        <f t="shared" si="1"/>
        <v>15527.55</v>
      </c>
      <c r="O38" s="49">
        <f>15527.55</f>
        <v>15527.55</v>
      </c>
      <c r="R38" s="8">
        <f t="shared" si="2"/>
        <v>0.00012525227783464327</v>
      </c>
    </row>
    <row r="39" spans="1:18" ht="12.75">
      <c r="A39" s="2" t="s">
        <v>40</v>
      </c>
      <c r="B39" s="2" t="s">
        <v>55</v>
      </c>
      <c r="C39" t="s">
        <v>114</v>
      </c>
      <c r="D39" s="49">
        <f t="shared" si="1"/>
        <v>4211.11</v>
      </c>
      <c r="O39" s="49">
        <f>4211.11</f>
        <v>4211.11</v>
      </c>
      <c r="R39" s="8">
        <f t="shared" si="2"/>
        <v>3.3968727823271836E-05</v>
      </c>
    </row>
    <row r="40" spans="1:19" ht="12.75">
      <c r="A40" s="2" t="s">
        <v>40</v>
      </c>
      <c r="B40" s="2" t="s">
        <v>58</v>
      </c>
      <c r="C40" t="s">
        <v>64</v>
      </c>
      <c r="D40" s="49">
        <f t="shared" si="1"/>
        <v>628211.3</v>
      </c>
      <c r="O40" s="49">
        <f>628211.3</f>
        <v>628211.3</v>
      </c>
      <c r="R40" s="8">
        <f t="shared" si="2"/>
        <v>0.005067437959398774</v>
      </c>
      <c r="S40" s="8"/>
    </row>
    <row r="41" spans="1:19" ht="12.75">
      <c r="A41" s="2"/>
      <c r="B41" s="2"/>
      <c r="C41" t="s">
        <v>98</v>
      </c>
      <c r="D41" s="49">
        <f>SUM(E41:Q41)</f>
        <v>67933639.75</v>
      </c>
      <c r="Q41" s="49">
        <f>123970200.53-56036560.78</f>
        <v>67933639.75</v>
      </c>
      <c r="R41" s="8">
        <f>Q41/$D$5</f>
        <v>0.5479836239642162</v>
      </c>
      <c r="S41" s="8"/>
    </row>
    <row r="42" spans="5:18" ht="12.75"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6"/>
    </row>
    <row r="43" spans="2:18" s="8" customFormat="1" ht="13.5" thickBot="1">
      <c r="B43" s="67"/>
      <c r="C43" s="68" t="s">
        <v>65</v>
      </c>
      <c r="D43" s="69">
        <f>SUM(E43:Q43)</f>
        <v>1</v>
      </c>
      <c r="E43" s="70">
        <f>E5/D5</f>
        <v>0.10721194926827307</v>
      </c>
      <c r="F43" s="70">
        <f>F5/D5</f>
        <v>0.006396103875044688</v>
      </c>
      <c r="G43" s="70">
        <f>G5/D5</f>
        <v>8.740560194042626E-05</v>
      </c>
      <c r="H43" s="70">
        <f>H5/D5</f>
        <v>0.0014422820906604208</v>
      </c>
      <c r="I43" s="70">
        <f>I5/D5</f>
        <v>0.042376447384455965</v>
      </c>
      <c r="J43" s="70">
        <f>J5/D5</f>
        <v>0.001138761165154663</v>
      </c>
      <c r="K43" s="70">
        <f>K5/D5</f>
        <v>0.10373159222960242</v>
      </c>
      <c r="L43" s="70">
        <f>L5/D5</f>
        <v>0.0031699081579278626</v>
      </c>
      <c r="M43" s="70">
        <f>M5/D5</f>
        <v>0.0006926878365355177</v>
      </c>
      <c r="N43" s="70">
        <f>N5/D5</f>
        <v>0.044120708497816616</v>
      </c>
      <c r="O43" s="70">
        <f>O5/D5</f>
        <v>0.14092226668434188</v>
      </c>
      <c r="P43" s="70">
        <f>P5/D5</f>
        <v>0.0007262632440302628</v>
      </c>
      <c r="Q43" s="70">
        <f>Q5/D5</f>
        <v>0.5479836239642162</v>
      </c>
      <c r="R43" s="70">
        <f>SUM(R6:R42)</f>
        <v>1</v>
      </c>
    </row>
    <row r="44" spans="1:18" s="8" customFormat="1" ht="13.5" thickTop="1">
      <c r="A44" s="71"/>
      <c r="C44" s="68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</row>
  </sheetData>
  <sheetProtection/>
  <printOptions/>
  <pageMargins left="0.5" right="0" top="1" bottom="0.25" header="0.5" footer="0.25"/>
  <pageSetup horizontalDpi="600" verticalDpi="600" orientation="landscape" paperSize="5" scale="65"/>
  <headerFooter alignWithMargins="0">
    <oddFooter>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50"/>
  <sheetViews>
    <sheetView zoomScale="154" zoomScaleNormal="154" zoomScalePageLayoutView="0" workbookViewId="0" topLeftCell="A1">
      <pane xSplit="3" ySplit="5" topLeftCell="M2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M46" sqref="M46"/>
    </sheetView>
  </sheetViews>
  <sheetFormatPr defaultColWidth="8.8515625" defaultRowHeight="12.75"/>
  <cols>
    <col min="1" max="1" width="9.140625" style="0" customWidth="1"/>
    <col min="2" max="2" width="15.7109375" style="0" customWidth="1"/>
    <col min="3" max="3" width="36.7109375" style="0" customWidth="1"/>
    <col min="4" max="4" width="16.8515625" style="49" customWidth="1"/>
    <col min="5" max="5" width="15.28125" style="49" customWidth="1"/>
    <col min="6" max="6" width="14.140625" style="49" customWidth="1"/>
    <col min="7" max="7" width="11.7109375" style="49" customWidth="1"/>
    <col min="8" max="8" width="12.28125" style="49" customWidth="1"/>
    <col min="9" max="9" width="14.421875" style="49" customWidth="1"/>
    <col min="10" max="10" width="11.8515625" style="49" customWidth="1"/>
    <col min="11" max="11" width="14.421875" style="49" customWidth="1"/>
    <col min="12" max="13" width="12.7109375" style="49" customWidth="1"/>
    <col min="14" max="14" width="14.8515625" style="49" customWidth="1"/>
    <col min="15" max="15" width="14.140625" style="49" customWidth="1"/>
    <col min="16" max="16" width="13.140625" style="49" customWidth="1"/>
    <col min="17" max="17" width="14.7109375" style="49" customWidth="1"/>
    <col min="18" max="18" width="12.7109375" style="8" customWidth="1"/>
    <col min="19" max="19" width="13.00390625" style="0" customWidth="1"/>
  </cols>
  <sheetData>
    <row r="1" ht="12.75">
      <c r="A1" s="48" t="s">
        <v>97</v>
      </c>
    </row>
    <row r="3" spans="1:18" ht="12.75">
      <c r="A3" s="50"/>
      <c r="B3" s="50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74" t="s">
        <v>120</v>
      </c>
      <c r="R3" s="52" t="s">
        <v>26</v>
      </c>
    </row>
    <row r="4" spans="1:18" ht="12.75">
      <c r="A4" s="53" t="s">
        <v>27</v>
      </c>
      <c r="B4" s="53" t="s">
        <v>28</v>
      </c>
      <c r="C4" s="53" t="s">
        <v>29</v>
      </c>
      <c r="D4" s="54" t="s">
        <v>13</v>
      </c>
      <c r="E4" s="54" t="s">
        <v>30</v>
      </c>
      <c r="F4" s="54" t="s">
        <v>31</v>
      </c>
      <c r="G4" s="54" t="s">
        <v>32</v>
      </c>
      <c r="H4" s="54" t="s">
        <v>33</v>
      </c>
      <c r="I4" s="54" t="s">
        <v>34</v>
      </c>
      <c r="J4" s="54" t="s">
        <v>35</v>
      </c>
      <c r="K4" s="54" t="s">
        <v>36</v>
      </c>
      <c r="L4" s="54" t="s">
        <v>37</v>
      </c>
      <c r="M4" s="54" t="s">
        <v>38</v>
      </c>
      <c r="N4" s="54" t="s">
        <v>39</v>
      </c>
      <c r="O4" s="54" t="s">
        <v>40</v>
      </c>
      <c r="P4" s="54" t="s">
        <v>41</v>
      </c>
      <c r="Q4" s="54" t="s">
        <v>79</v>
      </c>
      <c r="R4" s="55" t="s">
        <v>42</v>
      </c>
    </row>
    <row r="5" spans="1:18" s="59" customFormat="1" ht="13.5" thickBot="1">
      <c r="A5" s="56"/>
      <c r="B5" s="56"/>
      <c r="C5" s="56" t="s">
        <v>43</v>
      </c>
      <c r="D5" s="57">
        <f>SUM(E5:Q5)</f>
        <v>123599376.47</v>
      </c>
      <c r="E5" s="57">
        <f aca="true" t="shared" si="0" ref="E5:Q5">SUM(E6:E48)</f>
        <v>40225908.87</v>
      </c>
      <c r="F5" s="57">
        <f t="shared" si="0"/>
        <v>2769823.9199999995</v>
      </c>
      <c r="G5" s="57">
        <f t="shared" si="0"/>
        <v>110835.69</v>
      </c>
      <c r="H5" s="57">
        <f t="shared" si="0"/>
        <v>197711.2</v>
      </c>
      <c r="I5" s="57">
        <f t="shared" si="0"/>
        <v>13673278.429999998</v>
      </c>
      <c r="J5" s="57">
        <f t="shared" si="0"/>
        <v>236723.75</v>
      </c>
      <c r="K5" s="57">
        <f t="shared" si="0"/>
        <v>22669913.919999998</v>
      </c>
      <c r="L5" s="57">
        <f t="shared" si="0"/>
        <v>634518.67</v>
      </c>
      <c r="M5" s="57">
        <f t="shared" si="0"/>
        <v>134300.13</v>
      </c>
      <c r="N5" s="57">
        <f t="shared" si="0"/>
        <v>13668511.019999998</v>
      </c>
      <c r="O5" s="57">
        <f t="shared" si="0"/>
        <v>20331973.59</v>
      </c>
      <c r="P5" s="57">
        <f t="shared" si="0"/>
        <v>1107487.27</v>
      </c>
      <c r="Q5" s="57">
        <f t="shared" si="0"/>
        <v>7838390.01</v>
      </c>
      <c r="R5" s="58"/>
    </row>
    <row r="6" spans="1:17" ht="13.5" thickTop="1">
      <c r="A6" s="60"/>
      <c r="B6" s="61"/>
      <c r="C6" s="61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</row>
    <row r="7" spans="1:18" ht="12.75">
      <c r="A7" s="61" t="s">
        <v>30</v>
      </c>
      <c r="B7" s="61" t="s">
        <v>106</v>
      </c>
      <c r="C7" s="61" t="s">
        <v>45</v>
      </c>
      <c r="D7" s="49">
        <f aca="true" t="shared" si="1" ref="D7:D46">SUM(E7:P7)</f>
        <v>1960073.94</v>
      </c>
      <c r="E7" s="63">
        <f>1130610.57+663258.22+166205.15</f>
        <v>1960073.94</v>
      </c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8">
        <f aca="true" t="shared" si="2" ref="R7:R47">D7/$D$5</f>
        <v>0.015858283398992295</v>
      </c>
    </row>
    <row r="8" spans="1:18" ht="12.75">
      <c r="A8" s="75" t="s">
        <v>30</v>
      </c>
      <c r="B8" s="75" t="s">
        <v>46</v>
      </c>
      <c r="C8" s="75" t="s">
        <v>47</v>
      </c>
      <c r="D8" s="49">
        <f t="shared" si="1"/>
        <v>9634.88</v>
      </c>
      <c r="E8" s="63">
        <f>9634.88</f>
        <v>9634.88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8">
        <f t="shared" si="2"/>
        <v>7.795249681003508E-05</v>
      </c>
    </row>
    <row r="9" spans="1:18" ht="12.75">
      <c r="A9" s="61" t="s">
        <v>31</v>
      </c>
      <c r="B9" s="61" t="s">
        <v>108</v>
      </c>
      <c r="C9" s="61" t="s">
        <v>45</v>
      </c>
      <c r="D9" s="49">
        <f t="shared" si="1"/>
        <v>439776.75999999995</v>
      </c>
      <c r="E9" s="63"/>
      <c r="F9" s="63">
        <f>255402.95+26480.3+60745.25+96560.85+587.41</f>
        <v>439776.75999999995</v>
      </c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8">
        <f t="shared" si="2"/>
        <v>0.003558082350898772</v>
      </c>
    </row>
    <row r="10" spans="1:18" ht="12.75">
      <c r="A10" s="61" t="s">
        <v>31</v>
      </c>
      <c r="B10" s="61" t="s">
        <v>46</v>
      </c>
      <c r="C10" s="61" t="s">
        <v>49</v>
      </c>
      <c r="D10" s="49">
        <f t="shared" si="1"/>
        <v>113618.13</v>
      </c>
      <c r="E10" s="63"/>
      <c r="F10" s="63">
        <f>113618.13</f>
        <v>113618.13</v>
      </c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8">
        <f t="shared" si="2"/>
        <v>0.0009192451713344797</v>
      </c>
    </row>
    <row r="11" spans="1:18" ht="12.75">
      <c r="A11" s="61" t="s">
        <v>31</v>
      </c>
      <c r="B11" s="75" t="s">
        <v>121</v>
      </c>
      <c r="C11" s="61" t="s">
        <v>47</v>
      </c>
      <c r="D11" s="49">
        <f t="shared" si="1"/>
        <v>123763.62</v>
      </c>
      <c r="E11" s="63"/>
      <c r="F11" s="63">
        <f>18164+105599.62</f>
        <v>123763.62</v>
      </c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8">
        <f t="shared" si="2"/>
        <v>0.0010013288378525101</v>
      </c>
    </row>
    <row r="12" spans="1:18" ht="12.75">
      <c r="A12" s="61" t="s">
        <v>139</v>
      </c>
      <c r="B12" s="61" t="s">
        <v>48</v>
      </c>
      <c r="C12" s="61" t="s">
        <v>45</v>
      </c>
      <c r="D12" s="49">
        <f t="shared" si="1"/>
        <v>10835.690000000002</v>
      </c>
      <c r="E12" s="63"/>
      <c r="F12" s="63"/>
      <c r="G12" s="63">
        <f>9591.83+101243.86-100000</f>
        <v>10835.690000000002</v>
      </c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8">
        <f t="shared" si="2"/>
        <v>8.76678370835474E-05</v>
      </c>
    </row>
    <row r="13" spans="1:18" ht="12.75">
      <c r="A13" s="61" t="s">
        <v>138</v>
      </c>
      <c r="B13" s="61" t="s">
        <v>46</v>
      </c>
      <c r="C13" s="61" t="s">
        <v>45</v>
      </c>
      <c r="D13" s="49">
        <f t="shared" si="1"/>
        <v>100000</v>
      </c>
      <c r="E13" s="63"/>
      <c r="F13" s="63"/>
      <c r="G13" s="63">
        <v>100000</v>
      </c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8">
        <f t="shared" si="2"/>
        <v>0.000809065570199474</v>
      </c>
    </row>
    <row r="14" spans="1:18" ht="12.75">
      <c r="A14" s="61" t="s">
        <v>33</v>
      </c>
      <c r="B14" s="61" t="s">
        <v>67</v>
      </c>
      <c r="C14" s="61" t="s">
        <v>45</v>
      </c>
      <c r="D14" s="49">
        <f t="shared" si="1"/>
        <v>197711.2</v>
      </c>
      <c r="E14" s="63"/>
      <c r="F14" s="63"/>
      <c r="G14" s="62"/>
      <c r="H14" s="63">
        <f>6931.2+187700+3080</f>
        <v>197711.2</v>
      </c>
      <c r="I14" s="62"/>
      <c r="J14" s="62"/>
      <c r="K14" s="62"/>
      <c r="L14" s="62"/>
      <c r="M14" s="62"/>
      <c r="N14" s="62"/>
      <c r="O14" s="62"/>
      <c r="P14" s="62"/>
      <c r="Q14" s="62"/>
      <c r="R14" s="8">
        <f t="shared" si="2"/>
        <v>0.0015996132476282226</v>
      </c>
    </row>
    <row r="15" spans="1:18" ht="12.75">
      <c r="A15" s="61" t="s">
        <v>34</v>
      </c>
      <c r="B15" s="61" t="s">
        <v>75</v>
      </c>
      <c r="C15" s="61" t="s">
        <v>45</v>
      </c>
      <c r="D15" s="49">
        <f t="shared" si="1"/>
        <v>356339</v>
      </c>
      <c r="E15" s="63"/>
      <c r="F15" s="63"/>
      <c r="G15" s="62"/>
      <c r="H15" s="63"/>
      <c r="I15" s="63">
        <f>106809.67+85471.21+90970.5+73087.62</f>
        <v>356339</v>
      </c>
      <c r="J15" s="62"/>
      <c r="K15" s="62"/>
      <c r="L15" s="62"/>
      <c r="M15" s="62"/>
      <c r="N15" s="62"/>
      <c r="O15" s="62"/>
      <c r="P15" s="62"/>
      <c r="Q15" s="62"/>
      <c r="R15" s="8">
        <f t="shared" si="2"/>
        <v>0.0028830161621931035</v>
      </c>
    </row>
    <row r="16" spans="1:18" ht="12.75">
      <c r="A16" s="61" t="s">
        <v>35</v>
      </c>
      <c r="B16" s="61" t="s">
        <v>105</v>
      </c>
      <c r="C16" s="61" t="s">
        <v>45</v>
      </c>
      <c r="D16" s="49">
        <f t="shared" si="1"/>
        <v>209705.25</v>
      </c>
      <c r="E16" s="63"/>
      <c r="F16" s="63"/>
      <c r="G16" s="62"/>
      <c r="H16" s="63"/>
      <c r="I16" s="62"/>
      <c r="J16" s="63">
        <f>44032.8+155318.95+10353.5</f>
        <v>209705.25</v>
      </c>
      <c r="K16" s="62"/>
      <c r="L16" s="62"/>
      <c r="M16" s="62"/>
      <c r="N16" s="62"/>
      <c r="O16" s="62"/>
      <c r="P16" s="62"/>
      <c r="Q16" s="62"/>
      <c r="R16" s="8">
        <f t="shared" si="2"/>
        <v>0.0016966529766507324</v>
      </c>
    </row>
    <row r="17" spans="1:18" ht="12.75">
      <c r="A17" s="61" t="s">
        <v>35</v>
      </c>
      <c r="B17" s="75" t="s">
        <v>122</v>
      </c>
      <c r="C17" s="61" t="s">
        <v>47</v>
      </c>
      <c r="D17" s="49">
        <f t="shared" si="1"/>
        <v>27018.5</v>
      </c>
      <c r="E17" s="63"/>
      <c r="F17" s="63"/>
      <c r="G17" s="62"/>
      <c r="H17" s="63"/>
      <c r="I17" s="62"/>
      <c r="J17" s="63">
        <f>27018.5</f>
        <v>27018.5</v>
      </c>
      <c r="K17" s="62"/>
      <c r="L17" s="62"/>
      <c r="M17" s="62"/>
      <c r="N17" s="62"/>
      <c r="O17" s="62"/>
      <c r="P17" s="62"/>
      <c r="Q17" s="62"/>
      <c r="R17" s="8">
        <f t="shared" si="2"/>
        <v>0.0002185973810843449</v>
      </c>
    </row>
    <row r="18" spans="1:18" ht="12.75">
      <c r="A18" s="61" t="s">
        <v>36</v>
      </c>
      <c r="B18" s="61" t="s">
        <v>109</v>
      </c>
      <c r="C18" s="61" t="s">
        <v>45</v>
      </c>
      <c r="D18" s="49">
        <f t="shared" si="1"/>
        <v>243461.41</v>
      </c>
      <c r="E18" s="63"/>
      <c r="F18" s="63"/>
      <c r="G18" s="62"/>
      <c r="H18" s="63"/>
      <c r="I18" s="62"/>
      <c r="J18" s="63"/>
      <c r="K18" s="63">
        <f>45398+107263.41+37702.78+53097.22</f>
        <v>243461.41</v>
      </c>
      <c r="L18" s="62"/>
      <c r="M18" s="62"/>
      <c r="N18" s="62"/>
      <c r="O18" s="62"/>
      <c r="P18" s="62"/>
      <c r="Q18" s="62"/>
      <c r="R18" s="8">
        <f t="shared" si="2"/>
        <v>0.0019697624450321794</v>
      </c>
    </row>
    <row r="19" spans="1:18" ht="12.75">
      <c r="A19" s="61" t="s">
        <v>36</v>
      </c>
      <c r="B19" s="61" t="s">
        <v>44</v>
      </c>
      <c r="C19" s="61" t="s">
        <v>51</v>
      </c>
      <c r="D19" s="49">
        <f t="shared" si="1"/>
        <v>3337.72</v>
      </c>
      <c r="E19" s="63"/>
      <c r="F19" s="62"/>
      <c r="G19" s="62"/>
      <c r="H19" s="62"/>
      <c r="I19" s="62"/>
      <c r="J19" s="62"/>
      <c r="K19" s="63">
        <f>3337.72</f>
        <v>3337.72</v>
      </c>
      <c r="L19" s="62"/>
      <c r="M19" s="62"/>
      <c r="N19" s="62"/>
      <c r="O19" s="62"/>
      <c r="P19" s="62"/>
      <c r="Q19" s="62"/>
      <c r="R19" s="8">
        <f t="shared" si="2"/>
        <v>2.700434334966188E-05</v>
      </c>
    </row>
    <row r="20" spans="1:18" ht="12.75">
      <c r="A20" s="61" t="s">
        <v>37</v>
      </c>
      <c r="B20" s="61" t="s">
        <v>85</v>
      </c>
      <c r="C20" s="61" t="s">
        <v>45</v>
      </c>
      <c r="D20" s="49">
        <f t="shared" si="1"/>
        <v>537545.5700000001</v>
      </c>
      <c r="E20" s="63"/>
      <c r="F20" s="62"/>
      <c r="G20" s="62"/>
      <c r="H20" s="62"/>
      <c r="I20" s="62"/>
      <c r="J20" s="62"/>
      <c r="K20" s="63"/>
      <c r="L20" s="63">
        <f>222638.9+167440+123498.5+23968.17</f>
        <v>537545.5700000001</v>
      </c>
      <c r="M20" s="62"/>
      <c r="N20" s="62"/>
      <c r="O20" s="62"/>
      <c r="P20" s="62"/>
      <c r="Q20" s="62"/>
      <c r="R20" s="8">
        <f t="shared" si="2"/>
        <v>0.004349096131002513</v>
      </c>
    </row>
    <row r="21" spans="1:18" ht="12.75">
      <c r="A21" s="61" t="s">
        <v>37</v>
      </c>
      <c r="B21" s="61" t="s">
        <v>50</v>
      </c>
      <c r="C21" s="61" t="s">
        <v>52</v>
      </c>
      <c r="D21" s="49">
        <f t="shared" si="1"/>
        <v>66775.09</v>
      </c>
      <c r="E21" s="63"/>
      <c r="F21" s="62"/>
      <c r="G21" s="62"/>
      <c r="H21" s="62"/>
      <c r="I21" s="62"/>
      <c r="J21" s="62"/>
      <c r="K21" s="63"/>
      <c r="L21" s="63">
        <f>66775.09</f>
        <v>66775.09</v>
      </c>
      <c r="M21" s="62"/>
      <c r="N21" s="62"/>
      <c r="O21" s="62"/>
      <c r="P21" s="62"/>
      <c r="Q21" s="62"/>
      <c r="R21" s="8">
        <f t="shared" si="2"/>
        <v>0.0005402542626597119</v>
      </c>
    </row>
    <row r="22" spans="1:18" ht="12.75">
      <c r="A22" s="61" t="s">
        <v>37</v>
      </c>
      <c r="B22" s="61" t="s">
        <v>53</v>
      </c>
      <c r="C22" s="61" t="s">
        <v>47</v>
      </c>
      <c r="D22" s="49">
        <f t="shared" si="1"/>
        <v>20856.51</v>
      </c>
      <c r="E22" s="63"/>
      <c r="F22" s="62"/>
      <c r="G22" s="62"/>
      <c r="H22" s="62"/>
      <c r="I22" s="62"/>
      <c r="J22" s="62"/>
      <c r="K22" s="63"/>
      <c r="L22" s="63">
        <f>20856.51</f>
        <v>20856.51</v>
      </c>
      <c r="M22" s="62"/>
      <c r="N22" s="62"/>
      <c r="O22" s="62"/>
      <c r="P22" s="62"/>
      <c r="Q22" s="62"/>
      <c r="R22" s="8">
        <f t="shared" si="2"/>
        <v>0.0001687428415552103</v>
      </c>
    </row>
    <row r="23" spans="1:18" ht="12.75">
      <c r="A23" s="61" t="s">
        <v>38</v>
      </c>
      <c r="B23" s="61" t="s">
        <v>107</v>
      </c>
      <c r="C23" s="61" t="s">
        <v>45</v>
      </c>
      <c r="D23" s="49">
        <f t="shared" si="1"/>
        <v>134300.13</v>
      </c>
      <c r="E23" s="63"/>
      <c r="F23" s="62"/>
      <c r="G23" s="62"/>
      <c r="H23" s="62"/>
      <c r="I23" s="62"/>
      <c r="J23" s="62"/>
      <c r="K23" s="63"/>
      <c r="L23" s="63"/>
      <c r="M23" s="63">
        <f>134300.13</f>
        <v>134300.13</v>
      </c>
      <c r="N23" s="62"/>
      <c r="O23" s="62"/>
      <c r="P23" s="62"/>
      <c r="Q23" s="62"/>
      <c r="R23" s="8">
        <f t="shared" si="2"/>
        <v>0.001086576112563135</v>
      </c>
    </row>
    <row r="24" spans="1:18" ht="12.75">
      <c r="A24" s="61" t="s">
        <v>39</v>
      </c>
      <c r="B24" s="61" t="s">
        <v>115</v>
      </c>
      <c r="C24" s="61" t="s">
        <v>45</v>
      </c>
      <c r="D24" s="49">
        <f t="shared" si="1"/>
        <v>36034.79</v>
      </c>
      <c r="E24" s="63"/>
      <c r="F24" s="62"/>
      <c r="G24" s="62"/>
      <c r="H24" s="62"/>
      <c r="I24" s="62"/>
      <c r="J24" s="62"/>
      <c r="K24" s="63"/>
      <c r="L24" s="63"/>
      <c r="M24" s="63"/>
      <c r="N24" s="63">
        <f>36034.79</f>
        <v>36034.79</v>
      </c>
      <c r="O24" s="62"/>
      <c r="P24" s="62"/>
      <c r="Q24" s="62"/>
      <c r="R24" s="8">
        <f t="shared" si="2"/>
        <v>0.00029154507918368304</v>
      </c>
    </row>
    <row r="25" spans="1:18" ht="12.75">
      <c r="A25" s="61" t="s">
        <v>40</v>
      </c>
      <c r="B25" s="61" t="s">
        <v>84</v>
      </c>
      <c r="C25" s="61" t="s">
        <v>45</v>
      </c>
      <c r="D25" s="49">
        <f t="shared" si="1"/>
        <v>92319.43</v>
      </c>
      <c r="E25" s="63"/>
      <c r="F25" s="62"/>
      <c r="G25" s="62"/>
      <c r="H25" s="62"/>
      <c r="I25" s="62"/>
      <c r="J25" s="62"/>
      <c r="K25" s="63"/>
      <c r="L25" s="63"/>
      <c r="M25" s="63"/>
      <c r="N25" s="62"/>
      <c r="O25" s="63">
        <f>13876.75+19506+58936.68</f>
        <v>92319.43</v>
      </c>
      <c r="P25" s="62"/>
      <c r="Q25" s="62"/>
      <c r="R25" s="8">
        <f t="shared" si="2"/>
        <v>0.0007469247227344042</v>
      </c>
    </row>
    <row r="26" spans="1:18" ht="12.75">
      <c r="A26" s="61" t="s">
        <v>40</v>
      </c>
      <c r="B26" s="75" t="s">
        <v>68</v>
      </c>
      <c r="C26" s="61" t="s">
        <v>66</v>
      </c>
      <c r="D26" s="49">
        <f t="shared" si="1"/>
        <v>190489.02</v>
      </c>
      <c r="E26" s="63"/>
      <c r="F26" s="62"/>
      <c r="G26" s="62"/>
      <c r="H26" s="62"/>
      <c r="I26" s="62"/>
      <c r="J26" s="62"/>
      <c r="K26" s="63"/>
      <c r="L26" s="63"/>
      <c r="M26" s="63"/>
      <c r="N26" s="62"/>
      <c r="O26" s="63">
        <f>6775+183714.02</f>
        <v>190489.02</v>
      </c>
      <c r="P26" s="62"/>
      <c r="Q26" s="62"/>
      <c r="R26" s="8">
        <f t="shared" si="2"/>
        <v>0.00154118107583039</v>
      </c>
    </row>
    <row r="27" spans="1:19" ht="12.75">
      <c r="A27" s="61" t="s">
        <v>41</v>
      </c>
      <c r="B27" s="61" t="s">
        <v>68</v>
      </c>
      <c r="C27" s="61" t="s">
        <v>45</v>
      </c>
      <c r="D27" s="49">
        <f t="shared" si="1"/>
        <v>1061213.71</v>
      </c>
      <c r="E27" s="63"/>
      <c r="F27" s="62"/>
      <c r="G27" s="62"/>
      <c r="H27" s="62"/>
      <c r="I27" s="62"/>
      <c r="J27" s="62"/>
      <c r="K27" s="63"/>
      <c r="L27" s="63"/>
      <c r="M27" s="63"/>
      <c r="N27" s="62"/>
      <c r="O27" s="63"/>
      <c r="P27" s="63">
        <f>95161.26+418000+250024+298028.45</f>
        <v>1061213.71</v>
      </c>
      <c r="Q27" s="63"/>
      <c r="R27" s="8">
        <f t="shared" si="2"/>
        <v>0.008585914753846492</v>
      </c>
      <c r="S27" s="8"/>
    </row>
    <row r="28" spans="1:19" ht="12.75">
      <c r="A28" s="75" t="s">
        <v>41</v>
      </c>
      <c r="B28" s="75" t="s">
        <v>123</v>
      </c>
      <c r="C28" s="75" t="s">
        <v>47</v>
      </c>
      <c r="D28" s="49">
        <f t="shared" si="1"/>
        <v>46273.560000000005</v>
      </c>
      <c r="E28" s="63"/>
      <c r="F28" s="62"/>
      <c r="G28" s="62"/>
      <c r="H28" s="62"/>
      <c r="I28" s="62"/>
      <c r="J28" s="62"/>
      <c r="K28" s="63"/>
      <c r="L28" s="63"/>
      <c r="M28" s="63"/>
      <c r="N28" s="62"/>
      <c r="O28" s="63"/>
      <c r="P28" s="63">
        <f>6319.65+39953.91</f>
        <v>46273.560000000005</v>
      </c>
      <c r="Q28" s="63"/>
      <c r="R28" s="8">
        <f t="shared" si="2"/>
        <v>0.00037438344206559577</v>
      </c>
      <c r="S28" s="8">
        <f>SUM(R7:R28)</f>
        <v>0.04839089064055051</v>
      </c>
    </row>
    <row r="29" spans="1:19" ht="12.75">
      <c r="A29" s="61" t="s">
        <v>30</v>
      </c>
      <c r="B29" s="75" t="s">
        <v>125</v>
      </c>
      <c r="C29" s="61" t="s">
        <v>77</v>
      </c>
      <c r="D29" s="49">
        <f t="shared" si="1"/>
        <v>27979755.740000002</v>
      </c>
      <c r="E29" s="63">
        <f>17623386.09+10356369.65</f>
        <v>27979755.740000002</v>
      </c>
      <c r="F29" s="62"/>
      <c r="G29" s="62"/>
      <c r="H29" s="62"/>
      <c r="I29" s="62"/>
      <c r="J29" s="62"/>
      <c r="K29" s="63"/>
      <c r="L29" s="63"/>
      <c r="M29" s="63"/>
      <c r="N29" s="62"/>
      <c r="O29" s="63"/>
      <c r="P29" s="63"/>
      <c r="Q29" s="63"/>
      <c r="R29" s="8">
        <f t="shared" si="2"/>
        <v>0.22637457031825106</v>
      </c>
      <c r="S29" s="8"/>
    </row>
    <row r="30" spans="1:18" ht="12.75">
      <c r="A30" s="2" t="s">
        <v>30</v>
      </c>
      <c r="B30" s="2" t="s">
        <v>69</v>
      </c>
      <c r="C30" t="s">
        <v>54</v>
      </c>
      <c r="D30" s="49">
        <f t="shared" si="1"/>
        <v>1382247.19</v>
      </c>
      <c r="E30" s="49">
        <f>1382247.19</f>
        <v>1382247.19</v>
      </c>
      <c r="R30" s="8">
        <f t="shared" si="2"/>
        <v>0.011183286109339706</v>
      </c>
    </row>
    <row r="31" spans="1:18" ht="12.75">
      <c r="A31" s="2" t="s">
        <v>30</v>
      </c>
      <c r="B31" s="2" t="s">
        <v>76</v>
      </c>
      <c r="C31" s="64" t="s">
        <v>56</v>
      </c>
      <c r="D31" s="49">
        <f t="shared" si="1"/>
        <v>7959313.25</v>
      </c>
      <c r="E31" s="49">
        <f>7959313.25</f>
        <v>7959313.25</v>
      </c>
      <c r="R31" s="8">
        <f t="shared" si="2"/>
        <v>0.06439606313007479</v>
      </c>
    </row>
    <row r="32" spans="1:18" ht="12.75">
      <c r="A32" s="76" t="s">
        <v>30</v>
      </c>
      <c r="B32" s="76" t="s">
        <v>76</v>
      </c>
      <c r="C32" s="77" t="s">
        <v>126</v>
      </c>
      <c r="D32" s="49">
        <f t="shared" si="1"/>
        <v>934883.87</v>
      </c>
      <c r="E32" s="49">
        <f>934883.87</f>
        <v>934883.87</v>
      </c>
      <c r="R32" s="8">
        <f t="shared" si="2"/>
        <v>0.007563823513518409</v>
      </c>
    </row>
    <row r="33" spans="1:18" ht="12.75">
      <c r="A33" s="2" t="s">
        <v>31</v>
      </c>
      <c r="B33" s="2" t="s">
        <v>76</v>
      </c>
      <c r="C33" s="64" t="s">
        <v>87</v>
      </c>
      <c r="D33" s="49">
        <f t="shared" si="1"/>
        <v>2051595.38</v>
      </c>
      <c r="F33" s="49">
        <f>2051595.38</f>
        <v>2051595.38</v>
      </c>
      <c r="R33" s="8">
        <f t="shared" si="2"/>
        <v>0.016598751859383063</v>
      </c>
    </row>
    <row r="34" spans="1:18" ht="12.75">
      <c r="A34" s="2" t="s">
        <v>31</v>
      </c>
      <c r="B34" s="2" t="s">
        <v>135</v>
      </c>
      <c r="C34" s="64" t="s">
        <v>89</v>
      </c>
      <c r="D34" s="49">
        <f t="shared" si="1"/>
        <v>41070.03</v>
      </c>
      <c r="F34" s="49">
        <f>29941.01+11129.02</f>
        <v>41070.03</v>
      </c>
      <c r="R34" s="8">
        <f t="shared" si="2"/>
        <v>0.00033228347240059504</v>
      </c>
    </row>
    <row r="35" spans="1:18" ht="12.75">
      <c r="A35" s="2" t="s">
        <v>34</v>
      </c>
      <c r="B35" s="2" t="s">
        <v>88</v>
      </c>
      <c r="C35" t="s">
        <v>57</v>
      </c>
      <c r="D35" s="49">
        <f t="shared" si="1"/>
        <v>13316939.429999998</v>
      </c>
      <c r="I35" s="49">
        <f>9464405.61+3726419.13+126114.69</f>
        <v>13316939.429999998</v>
      </c>
      <c r="R35" s="8">
        <f t="shared" si="2"/>
        <v>0.10774277193244806</v>
      </c>
    </row>
    <row r="36" spans="1:18" ht="12.75">
      <c r="A36" s="2" t="s">
        <v>36</v>
      </c>
      <c r="B36" s="2" t="s">
        <v>110</v>
      </c>
      <c r="C36" t="s">
        <v>59</v>
      </c>
      <c r="D36" s="49">
        <f t="shared" si="1"/>
        <v>22423114.79</v>
      </c>
      <c r="K36" s="49">
        <f>12867620.63+9555494.16</f>
        <v>22423114.79</v>
      </c>
      <c r="R36" s="8">
        <f t="shared" si="2"/>
        <v>0.18141770153219608</v>
      </c>
    </row>
    <row r="37" spans="1:18" ht="12.75">
      <c r="A37" s="76" t="s">
        <v>37</v>
      </c>
      <c r="B37" s="76" t="s">
        <v>130</v>
      </c>
      <c r="C37" s="77" t="s">
        <v>131</v>
      </c>
      <c r="D37" s="49">
        <f t="shared" si="1"/>
        <v>9341.5</v>
      </c>
      <c r="L37" s="49">
        <f>9341.5</f>
        <v>9341.5</v>
      </c>
      <c r="R37" s="8">
        <f t="shared" si="2"/>
        <v>7.557886024018387E-05</v>
      </c>
    </row>
    <row r="38" spans="1:18" ht="12.75">
      <c r="A38" s="2" t="s">
        <v>39</v>
      </c>
      <c r="B38" s="76" t="s">
        <v>124</v>
      </c>
      <c r="C38" t="s">
        <v>60</v>
      </c>
      <c r="D38" s="49">
        <f t="shared" si="1"/>
        <v>13629425.61</v>
      </c>
      <c r="N38" s="49">
        <f>1714773.98+6321982.28+5568142.26+24527.09</f>
        <v>13629425.61</v>
      </c>
      <c r="R38" s="8">
        <f t="shared" si="2"/>
        <v>0.11027099002645964</v>
      </c>
    </row>
    <row r="39" spans="1:18" ht="12.75">
      <c r="A39" s="2" t="s">
        <v>39</v>
      </c>
      <c r="B39" s="2" t="s">
        <v>61</v>
      </c>
      <c r="C39" t="s">
        <v>62</v>
      </c>
      <c r="D39" s="49">
        <f t="shared" si="1"/>
        <v>3050.62</v>
      </c>
      <c r="N39" s="49">
        <f>3050.62</f>
        <v>3050.62</v>
      </c>
      <c r="R39" s="8">
        <f t="shared" si="2"/>
        <v>2.4681516097619193E-05</v>
      </c>
    </row>
    <row r="40" spans="1:18" ht="12.75">
      <c r="A40" s="2" t="s">
        <v>40</v>
      </c>
      <c r="B40" s="2" t="s">
        <v>111</v>
      </c>
      <c r="C40" t="s">
        <v>112</v>
      </c>
      <c r="D40" s="49">
        <f t="shared" si="1"/>
        <v>1033030.77</v>
      </c>
      <c r="O40" s="49">
        <f>1032030.77+1000</f>
        <v>1033030.77</v>
      </c>
      <c r="R40" s="8">
        <f t="shared" si="2"/>
        <v>0.008357896289636516</v>
      </c>
    </row>
    <row r="41" spans="1:18" ht="12.75">
      <c r="A41" s="2" t="s">
        <v>40</v>
      </c>
      <c r="B41" s="2" t="s">
        <v>88</v>
      </c>
      <c r="C41" t="s">
        <v>57</v>
      </c>
      <c r="D41" s="49">
        <f t="shared" si="1"/>
        <v>1592526.72</v>
      </c>
      <c r="O41" s="49">
        <f>1572562.89+19963.83</f>
        <v>1592526.72</v>
      </c>
      <c r="R41" s="8">
        <f t="shared" si="2"/>
        <v>0.01288458538774698</v>
      </c>
    </row>
    <row r="42" spans="1:18" ht="12.75">
      <c r="A42" s="76" t="s">
        <v>40</v>
      </c>
      <c r="B42" s="76" t="s">
        <v>127</v>
      </c>
      <c r="C42" s="78" t="s">
        <v>128</v>
      </c>
      <c r="D42" s="49">
        <f t="shared" si="1"/>
        <v>20988.83</v>
      </c>
      <c r="O42" s="49">
        <f>20988.83</f>
        <v>20988.83</v>
      </c>
      <c r="R42" s="8">
        <f t="shared" si="2"/>
        <v>0.00016981339711769829</v>
      </c>
    </row>
    <row r="43" spans="1:18" ht="12.75">
      <c r="A43" s="2" t="s">
        <v>40</v>
      </c>
      <c r="B43" s="76" t="s">
        <v>129</v>
      </c>
      <c r="C43" t="s">
        <v>63</v>
      </c>
      <c r="D43" s="49">
        <f t="shared" si="1"/>
        <v>16744250.16</v>
      </c>
      <c r="O43" s="49">
        <f>11000000+4600000+1119203.76+25046.4</f>
        <v>16744250.16</v>
      </c>
      <c r="R43" s="8">
        <f t="shared" si="2"/>
        <v>0.13547196303263034</v>
      </c>
    </row>
    <row r="44" spans="1:18" ht="12.75">
      <c r="A44" s="2" t="s">
        <v>40</v>
      </c>
      <c r="B44" s="2" t="s">
        <v>116</v>
      </c>
      <c r="C44" t="s">
        <v>117</v>
      </c>
      <c r="D44" s="49">
        <f t="shared" si="1"/>
        <v>15527.55</v>
      </c>
      <c r="O44" s="49">
        <f>15527.55</f>
        <v>15527.55</v>
      </c>
      <c r="R44" s="8">
        <f t="shared" si="2"/>
        <v>0.00012562806094550843</v>
      </c>
    </row>
    <row r="45" spans="1:18" ht="12.75">
      <c r="A45" s="2" t="s">
        <v>40</v>
      </c>
      <c r="B45" s="2" t="s">
        <v>55</v>
      </c>
      <c r="C45" t="s">
        <v>114</v>
      </c>
      <c r="D45" s="49">
        <f t="shared" si="1"/>
        <v>4211.11</v>
      </c>
      <c r="O45" s="49">
        <f>4211.11</f>
        <v>4211.11</v>
      </c>
      <c r="R45" s="8">
        <f t="shared" si="2"/>
        <v>3.4070641133227065E-05</v>
      </c>
    </row>
    <row r="46" spans="1:19" ht="12.75">
      <c r="A46" s="2" t="s">
        <v>40</v>
      </c>
      <c r="B46" s="2" t="s">
        <v>58</v>
      </c>
      <c r="C46" t="s">
        <v>64</v>
      </c>
      <c r="D46" s="49">
        <f t="shared" si="1"/>
        <v>638630</v>
      </c>
      <c r="O46" s="49">
        <f>638630</f>
        <v>638630</v>
      </c>
      <c r="R46" s="8">
        <f t="shared" si="2"/>
        <v>0.005166935450964901</v>
      </c>
      <c r="S46" s="8"/>
    </row>
    <row r="47" spans="1:19" ht="12.75">
      <c r="A47" s="2"/>
      <c r="B47" s="2"/>
      <c r="C47" t="s">
        <v>98</v>
      </c>
      <c r="D47" s="49">
        <f>SUM(E47:Q47)</f>
        <v>7838390.01</v>
      </c>
      <c r="Q47" s="49">
        <v>7838390.01</v>
      </c>
      <c r="R47" s="8">
        <f t="shared" si="2"/>
        <v>0.0634177148288651</v>
      </c>
      <c r="S47" s="8">
        <f>SUM(R29:R47)</f>
        <v>0.9516091093594496</v>
      </c>
    </row>
    <row r="48" spans="5:18" ht="12.75"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6"/>
    </row>
    <row r="49" spans="2:18" s="8" customFormat="1" ht="13.5" thickBot="1">
      <c r="B49" s="67"/>
      <c r="C49" s="68" t="s">
        <v>65</v>
      </c>
      <c r="D49" s="69">
        <f>SUM(E49:Q49)</f>
        <v>0.9999999999999998</v>
      </c>
      <c r="E49" s="70">
        <f>E5/D5</f>
        <v>0.32545397896698625</v>
      </c>
      <c r="F49" s="70">
        <f>F5/D5</f>
        <v>0.02240969169186942</v>
      </c>
      <c r="G49" s="70">
        <f>G5/D5</f>
        <v>0.0008967334072830214</v>
      </c>
      <c r="H49" s="70">
        <f>H5/D5</f>
        <v>0.0015996132476282226</v>
      </c>
      <c r="I49" s="70">
        <f>I5/D5</f>
        <v>0.11062578809464117</v>
      </c>
      <c r="J49" s="70">
        <f>J5/D5</f>
        <v>0.0019152503577350773</v>
      </c>
      <c r="K49" s="70">
        <f>K5/D5</f>
        <v>0.18341446832057792</v>
      </c>
      <c r="L49" s="70">
        <f>L5/D5</f>
        <v>0.005133672095457619</v>
      </c>
      <c r="M49" s="70">
        <f>M5/D5</f>
        <v>0.001086576112563135</v>
      </c>
      <c r="N49" s="70">
        <f>N5/D5</f>
        <v>0.11058721662174092</v>
      </c>
      <c r="O49" s="70">
        <f>O5/D5</f>
        <v>0.16449899805873996</v>
      </c>
      <c r="P49" s="70">
        <f>P5/D5</f>
        <v>0.008960298195912089</v>
      </c>
      <c r="Q49" s="70">
        <f>Q5/D5</f>
        <v>0.0634177148288651</v>
      </c>
      <c r="R49" s="70">
        <f>SUM(R6:R48)</f>
        <v>1.0000000000000002</v>
      </c>
    </row>
    <row r="50" spans="1:18" s="8" customFormat="1" ht="13.5" thickTop="1">
      <c r="A50" s="71"/>
      <c r="C50" s="68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</sheetData>
  <sheetProtection/>
  <printOptions/>
  <pageMargins left="0" right="0" top="1" bottom="1" header="0.3" footer="0.3"/>
  <pageSetup horizontalDpi="600" verticalDpi="600" orientation="landscape" paperSize="5" scale="65"/>
  <headerFooter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53"/>
  <sheetViews>
    <sheetView zoomScale="184" zoomScaleNormal="184" zoomScalePageLayoutView="0" workbookViewId="0" topLeftCell="A1">
      <pane xSplit="3" ySplit="6" topLeftCell="Q3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42" sqref="C42"/>
    </sheetView>
  </sheetViews>
  <sheetFormatPr defaultColWidth="8.8515625" defaultRowHeight="12.75"/>
  <cols>
    <col min="1" max="1" width="9.140625" style="0" customWidth="1"/>
    <col min="2" max="2" width="15.7109375" style="0" customWidth="1"/>
    <col min="3" max="3" width="36.7109375" style="0" customWidth="1"/>
    <col min="4" max="4" width="16.8515625" style="49" customWidth="1"/>
    <col min="5" max="5" width="15.28125" style="49" customWidth="1"/>
    <col min="6" max="6" width="14.140625" style="49" customWidth="1"/>
    <col min="7" max="7" width="11.7109375" style="49" customWidth="1"/>
    <col min="8" max="8" width="12.28125" style="49" customWidth="1"/>
    <col min="9" max="9" width="14.421875" style="49" customWidth="1"/>
    <col min="10" max="10" width="11.8515625" style="49" customWidth="1"/>
    <col min="11" max="11" width="14.421875" style="49" customWidth="1"/>
    <col min="12" max="13" width="12.7109375" style="49" customWidth="1"/>
    <col min="14" max="14" width="14.8515625" style="49" customWidth="1"/>
    <col min="15" max="15" width="14.140625" style="49" customWidth="1"/>
    <col min="16" max="16" width="13.140625" style="49" customWidth="1"/>
    <col min="17" max="17" width="12.7109375" style="8" customWidth="1"/>
    <col min="18" max="18" width="13.00390625" style="0" customWidth="1"/>
  </cols>
  <sheetData>
    <row r="1" ht="12.75">
      <c r="A1" s="48" t="s">
        <v>97</v>
      </c>
    </row>
    <row r="3" spans="1:17" ht="12.75">
      <c r="A3" s="50"/>
      <c r="B3" s="50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2" t="s">
        <v>26</v>
      </c>
    </row>
    <row r="4" spans="1:17" ht="12.75">
      <c r="A4" s="53" t="s">
        <v>27</v>
      </c>
      <c r="B4" s="53" t="s">
        <v>28</v>
      </c>
      <c r="C4" s="53" t="s">
        <v>29</v>
      </c>
      <c r="D4" s="54" t="s">
        <v>13</v>
      </c>
      <c r="E4" s="54" t="s">
        <v>30</v>
      </c>
      <c r="F4" s="54" t="s">
        <v>31</v>
      </c>
      <c r="G4" s="54" t="s">
        <v>32</v>
      </c>
      <c r="H4" s="54" t="s">
        <v>33</v>
      </c>
      <c r="I4" s="54" t="s">
        <v>34</v>
      </c>
      <c r="J4" s="54" t="s">
        <v>35</v>
      </c>
      <c r="K4" s="54" t="s">
        <v>36</v>
      </c>
      <c r="L4" s="54" t="s">
        <v>37</v>
      </c>
      <c r="M4" s="54" t="s">
        <v>38</v>
      </c>
      <c r="N4" s="54" t="s">
        <v>39</v>
      </c>
      <c r="O4" s="54" t="s">
        <v>40</v>
      </c>
      <c r="P4" s="54" t="s">
        <v>41</v>
      </c>
      <c r="Q4" s="55" t="s">
        <v>42</v>
      </c>
    </row>
    <row r="5" spans="1:17" s="59" customFormat="1" ht="13.5" thickBot="1">
      <c r="A5" s="56"/>
      <c r="B5" s="56"/>
      <c r="C5" s="56" t="s">
        <v>43</v>
      </c>
      <c r="D5" s="57">
        <f>SUM(E5:P5)</f>
        <v>121248530.46</v>
      </c>
      <c r="E5" s="57">
        <f aca="true" t="shared" si="0" ref="E5:P5">SUM(E6:E51)</f>
        <v>40416022.71</v>
      </c>
      <c r="F5" s="57">
        <f t="shared" si="0"/>
        <v>2817578.6799999997</v>
      </c>
      <c r="G5" s="57">
        <f t="shared" si="0"/>
        <v>110835.69</v>
      </c>
      <c r="H5" s="57">
        <f t="shared" si="0"/>
        <v>199369.9</v>
      </c>
      <c r="I5" s="57">
        <f t="shared" si="0"/>
        <v>14836267.359999998</v>
      </c>
      <c r="J5" s="57">
        <f t="shared" si="0"/>
        <v>490787.38</v>
      </c>
      <c r="K5" s="57">
        <f t="shared" si="0"/>
        <v>22852620.38</v>
      </c>
      <c r="L5" s="57">
        <f t="shared" si="0"/>
        <v>664538.67</v>
      </c>
      <c r="M5" s="57">
        <f t="shared" si="0"/>
        <v>484599.28</v>
      </c>
      <c r="N5" s="57">
        <f t="shared" si="0"/>
        <v>16367706.109999998</v>
      </c>
      <c r="O5" s="57">
        <f t="shared" si="0"/>
        <v>20544111.45</v>
      </c>
      <c r="P5" s="57">
        <f t="shared" si="0"/>
        <v>1464092.8499999999</v>
      </c>
      <c r="Q5" s="58"/>
    </row>
    <row r="6" spans="1:16" ht="13.5" thickTop="1">
      <c r="A6" s="60"/>
      <c r="B6" s="61"/>
      <c r="C6" s="61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1:17" ht="12.75">
      <c r="A7" s="61" t="s">
        <v>30</v>
      </c>
      <c r="B7" s="61" t="s">
        <v>106</v>
      </c>
      <c r="C7" s="61" t="s">
        <v>45</v>
      </c>
      <c r="D7" s="49">
        <f aca="true" t="shared" si="1" ref="D7:D50">SUM(E7:P7)</f>
        <v>1960073.94</v>
      </c>
      <c r="E7" s="63">
        <f>1130610.57+663258.22+166205.15</f>
        <v>1960073.94</v>
      </c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8">
        <f aca="true" t="shared" si="2" ref="Q7:Q50">D7/$D$5</f>
        <v>0.01616575419564883</v>
      </c>
    </row>
    <row r="8" spans="1:17" ht="12.75">
      <c r="A8" s="75" t="s">
        <v>30</v>
      </c>
      <c r="B8" s="75" t="s">
        <v>46</v>
      </c>
      <c r="C8" s="75" t="s">
        <v>47</v>
      </c>
      <c r="D8" s="49">
        <f t="shared" si="1"/>
        <v>9634.88</v>
      </c>
      <c r="E8" s="63">
        <f>9634.88</f>
        <v>9634.88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8">
        <f t="shared" si="2"/>
        <v>7.94638909308559E-05</v>
      </c>
    </row>
    <row r="9" spans="1:17" ht="12.75">
      <c r="A9" s="61" t="s">
        <v>31</v>
      </c>
      <c r="B9" s="61" t="s">
        <v>108</v>
      </c>
      <c r="C9" s="61" t="s">
        <v>45</v>
      </c>
      <c r="D9" s="49">
        <f t="shared" si="1"/>
        <v>462431.51999999996</v>
      </c>
      <c r="E9" s="63"/>
      <c r="F9" s="63">
        <f>255402.95+26480.3+83400.01+96560.85+587.41</f>
        <v>462431.51999999996</v>
      </c>
      <c r="G9" s="62"/>
      <c r="H9" s="62"/>
      <c r="I9" s="62"/>
      <c r="J9" s="62"/>
      <c r="K9" s="62"/>
      <c r="L9" s="62"/>
      <c r="M9" s="62"/>
      <c r="N9" s="62"/>
      <c r="O9" s="62"/>
      <c r="P9" s="62"/>
      <c r="Q9" s="8">
        <f t="shared" si="2"/>
        <v>0.003813914430513915</v>
      </c>
    </row>
    <row r="10" spans="1:17" ht="12.75">
      <c r="A10" s="61" t="s">
        <v>31</v>
      </c>
      <c r="B10" s="61" t="s">
        <v>46</v>
      </c>
      <c r="C10" s="61" t="s">
        <v>49</v>
      </c>
      <c r="D10" s="49">
        <f t="shared" si="1"/>
        <v>113618.13</v>
      </c>
      <c r="E10" s="63"/>
      <c r="F10" s="63">
        <f>113618.13</f>
        <v>113618.13</v>
      </c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8">
        <f t="shared" si="2"/>
        <v>0.0009370680994561228</v>
      </c>
    </row>
    <row r="11" spans="1:17" ht="12.75">
      <c r="A11" s="61" t="s">
        <v>31</v>
      </c>
      <c r="B11" s="75" t="s">
        <v>121</v>
      </c>
      <c r="C11" s="61" t="s">
        <v>47</v>
      </c>
      <c r="D11" s="49">
        <f t="shared" si="1"/>
        <v>123763.62</v>
      </c>
      <c r="E11" s="63"/>
      <c r="F11" s="63">
        <f>18164+105599.62</f>
        <v>123763.62</v>
      </c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8">
        <f t="shared" si="2"/>
        <v>0.0010207432579220391</v>
      </c>
    </row>
    <row r="12" spans="1:17" ht="12.75">
      <c r="A12" s="61" t="s">
        <v>139</v>
      </c>
      <c r="B12" s="61" t="s">
        <v>48</v>
      </c>
      <c r="C12" s="61" t="s">
        <v>45</v>
      </c>
      <c r="D12" s="49">
        <f t="shared" si="1"/>
        <v>10835.69</v>
      </c>
      <c r="E12" s="63"/>
      <c r="F12" s="63"/>
      <c r="G12" s="63">
        <f>9591.83+1243.86</f>
        <v>10835.69</v>
      </c>
      <c r="H12" s="62"/>
      <c r="I12" s="62"/>
      <c r="J12" s="62"/>
      <c r="K12" s="62"/>
      <c r="L12" s="62"/>
      <c r="M12" s="62"/>
      <c r="N12" s="62"/>
      <c r="O12" s="62"/>
      <c r="P12" s="62"/>
      <c r="Q12" s="8">
        <f t="shared" si="2"/>
        <v>8.936759859184195E-05</v>
      </c>
    </row>
    <row r="13" spans="1:17" ht="12.75">
      <c r="A13" s="61" t="s">
        <v>138</v>
      </c>
      <c r="B13" s="61" t="s">
        <v>46</v>
      </c>
      <c r="C13" s="61" t="s">
        <v>45</v>
      </c>
      <c r="D13" s="49">
        <f t="shared" si="1"/>
        <v>100000</v>
      </c>
      <c r="E13" s="63"/>
      <c r="F13" s="63"/>
      <c r="G13" s="63">
        <v>100000</v>
      </c>
      <c r="H13" s="62"/>
      <c r="I13" s="62"/>
      <c r="J13" s="62"/>
      <c r="K13" s="62"/>
      <c r="L13" s="62"/>
      <c r="M13" s="62"/>
      <c r="N13" s="62"/>
      <c r="O13" s="62"/>
      <c r="P13" s="62"/>
      <c r="Q13" s="8">
        <f t="shared" si="2"/>
        <v>0.0008247522639706557</v>
      </c>
    </row>
    <row r="14" spans="1:17" ht="12.75">
      <c r="A14" s="61" t="s">
        <v>33</v>
      </c>
      <c r="B14" s="61" t="s">
        <v>67</v>
      </c>
      <c r="C14" s="61" t="s">
        <v>45</v>
      </c>
      <c r="D14" s="49">
        <f t="shared" si="1"/>
        <v>199369.9</v>
      </c>
      <c r="E14" s="63"/>
      <c r="F14" s="63"/>
      <c r="G14" s="62"/>
      <c r="H14" s="63">
        <f>8589.9+187700+3080</f>
        <v>199369.9</v>
      </c>
      <c r="I14" s="62"/>
      <c r="J14" s="62"/>
      <c r="K14" s="62"/>
      <c r="L14" s="62"/>
      <c r="M14" s="62"/>
      <c r="N14" s="62"/>
      <c r="O14" s="62"/>
      <c r="P14" s="62"/>
      <c r="Q14" s="8">
        <f t="shared" si="2"/>
        <v>0.0016443077639260323</v>
      </c>
    </row>
    <row r="15" spans="1:17" ht="12.75">
      <c r="A15" s="61" t="s">
        <v>34</v>
      </c>
      <c r="B15" s="61" t="s">
        <v>141</v>
      </c>
      <c r="C15" s="61" t="s">
        <v>45</v>
      </c>
      <c r="D15" s="49">
        <f t="shared" si="1"/>
        <v>1093566.31</v>
      </c>
      <c r="E15" s="63"/>
      <c r="F15" s="63"/>
      <c r="G15" s="62"/>
      <c r="H15" s="63"/>
      <c r="I15" s="63">
        <f>75040.75+211037.97+387308.65+189111.37+128930.15+102137.42</f>
        <v>1093566.31</v>
      </c>
      <c r="J15" s="62"/>
      <c r="K15" s="62"/>
      <c r="L15" s="62"/>
      <c r="M15" s="62"/>
      <c r="N15" s="62"/>
      <c r="O15" s="62"/>
      <c r="P15" s="62"/>
      <c r="Q15" s="8">
        <f t="shared" si="2"/>
        <v>0.009019212899745358</v>
      </c>
    </row>
    <row r="16" spans="1:17" ht="12.75">
      <c r="A16" s="61" t="s">
        <v>35</v>
      </c>
      <c r="B16" s="61" t="s">
        <v>105</v>
      </c>
      <c r="C16" s="61" t="s">
        <v>45</v>
      </c>
      <c r="D16" s="49">
        <f t="shared" si="1"/>
        <v>459377.55</v>
      </c>
      <c r="E16" s="63"/>
      <c r="F16" s="63"/>
      <c r="G16" s="62"/>
      <c r="H16" s="63"/>
      <c r="I16" s="62"/>
      <c r="J16" s="63">
        <f>44032.8+155318.95+260025.8</f>
        <v>459377.55</v>
      </c>
      <c r="K16" s="62"/>
      <c r="L16" s="62"/>
      <c r="M16" s="62"/>
      <c r="N16" s="62"/>
      <c r="O16" s="62"/>
      <c r="P16" s="62"/>
      <c r="Q16" s="8">
        <f t="shared" si="2"/>
        <v>0.003788726743797931</v>
      </c>
    </row>
    <row r="17" spans="1:17" ht="12.75">
      <c r="A17" s="61" t="s">
        <v>35</v>
      </c>
      <c r="B17" s="75" t="s">
        <v>122</v>
      </c>
      <c r="C17" s="61" t="s">
        <v>47</v>
      </c>
      <c r="D17" s="49">
        <f t="shared" si="1"/>
        <v>31409.83</v>
      </c>
      <c r="E17" s="63"/>
      <c r="F17" s="63"/>
      <c r="G17" s="62"/>
      <c r="H17" s="63"/>
      <c r="I17" s="62"/>
      <c r="J17" s="63">
        <f>31409.83</f>
        <v>31409.83</v>
      </c>
      <c r="K17" s="62"/>
      <c r="L17" s="62"/>
      <c r="M17" s="62"/>
      <c r="N17" s="62"/>
      <c r="O17" s="62"/>
      <c r="P17" s="62"/>
      <c r="Q17" s="8">
        <f t="shared" si="2"/>
        <v>0.0002590532840343342</v>
      </c>
    </row>
    <row r="18" spans="1:17" ht="12.75">
      <c r="A18" s="61" t="s">
        <v>36</v>
      </c>
      <c r="B18" s="61" t="s">
        <v>142</v>
      </c>
      <c r="C18" s="61" t="s">
        <v>45</v>
      </c>
      <c r="D18" s="49">
        <f t="shared" si="1"/>
        <v>423326.5899999999</v>
      </c>
      <c r="E18" s="63"/>
      <c r="F18" s="63"/>
      <c r="G18" s="62"/>
      <c r="H18" s="63"/>
      <c r="I18" s="62"/>
      <c r="J18" s="63"/>
      <c r="K18" s="63">
        <f>14006.5+132857.18+173037.91+6445.93+37702.78+53097.22+4947.42+1231.65</f>
        <v>423326.5899999999</v>
      </c>
      <c r="L18" s="62"/>
      <c r="M18" s="62"/>
      <c r="N18" s="62"/>
      <c r="O18" s="62"/>
      <c r="P18" s="62"/>
      <c r="Q18" s="8">
        <f t="shared" si="2"/>
        <v>0.0034913956350147747</v>
      </c>
    </row>
    <row r="19" spans="1:17" ht="12.75">
      <c r="A19" s="61" t="s">
        <v>36</v>
      </c>
      <c r="B19" s="61" t="s">
        <v>44</v>
      </c>
      <c r="C19" s="61" t="s">
        <v>51</v>
      </c>
      <c r="D19" s="49">
        <f t="shared" si="1"/>
        <v>5202.72</v>
      </c>
      <c r="E19" s="63"/>
      <c r="F19" s="62"/>
      <c r="G19" s="62"/>
      <c r="H19" s="62"/>
      <c r="I19" s="62"/>
      <c r="J19" s="62"/>
      <c r="K19" s="63">
        <f>5202.72</f>
        <v>5202.72</v>
      </c>
      <c r="L19" s="62"/>
      <c r="M19" s="62"/>
      <c r="N19" s="62"/>
      <c r="O19" s="62"/>
      <c r="P19" s="62"/>
      <c r="Q19" s="8">
        <f t="shared" si="2"/>
        <v>4.29095509880541E-05</v>
      </c>
    </row>
    <row r="20" spans="1:17" ht="12.75">
      <c r="A20" s="61" t="s">
        <v>37</v>
      </c>
      <c r="B20" s="61" t="s">
        <v>144</v>
      </c>
      <c r="C20" s="61" t="s">
        <v>45</v>
      </c>
      <c r="D20" s="49">
        <f t="shared" si="1"/>
        <v>567565.5700000001</v>
      </c>
      <c r="E20" s="63"/>
      <c r="F20" s="62"/>
      <c r="G20" s="62"/>
      <c r="H20" s="62"/>
      <c r="I20" s="62"/>
      <c r="J20" s="62"/>
      <c r="K20" s="63"/>
      <c r="L20" s="63">
        <f>239668.9+167440+123498.5+36958.17</f>
        <v>567565.5700000001</v>
      </c>
      <c r="M20" s="62"/>
      <c r="N20" s="62"/>
      <c r="O20" s="62"/>
      <c r="P20" s="62"/>
      <c r="Q20" s="8">
        <f t="shared" si="2"/>
        <v>0.004681009888092957</v>
      </c>
    </row>
    <row r="21" spans="1:17" ht="12.75">
      <c r="A21" s="61" t="s">
        <v>37</v>
      </c>
      <c r="B21" s="61" t="s">
        <v>50</v>
      </c>
      <c r="C21" s="61" t="s">
        <v>52</v>
      </c>
      <c r="D21" s="49">
        <f t="shared" si="1"/>
        <v>66775.09</v>
      </c>
      <c r="E21" s="63"/>
      <c r="F21" s="62"/>
      <c r="G21" s="62"/>
      <c r="H21" s="62"/>
      <c r="I21" s="62"/>
      <c r="J21" s="62"/>
      <c r="K21" s="63"/>
      <c r="L21" s="63">
        <f>66775.09</f>
        <v>66775.09</v>
      </c>
      <c r="M21" s="62"/>
      <c r="N21" s="62"/>
      <c r="O21" s="62"/>
      <c r="P21" s="62"/>
      <c r="Q21" s="8">
        <f t="shared" si="2"/>
        <v>0.0005507290665434429</v>
      </c>
    </row>
    <row r="22" spans="1:17" ht="12.75">
      <c r="A22" s="61" t="s">
        <v>37</v>
      </c>
      <c r="B22" s="61" t="s">
        <v>53</v>
      </c>
      <c r="C22" s="61" t="s">
        <v>47</v>
      </c>
      <c r="D22" s="49">
        <f t="shared" si="1"/>
        <v>20856.51</v>
      </c>
      <c r="E22" s="63"/>
      <c r="F22" s="62"/>
      <c r="G22" s="62"/>
      <c r="H22" s="62"/>
      <c r="I22" s="62"/>
      <c r="J22" s="62"/>
      <c r="K22" s="63"/>
      <c r="L22" s="63">
        <f>20856.51</f>
        <v>20856.51</v>
      </c>
      <c r="M22" s="62"/>
      <c r="N22" s="62"/>
      <c r="O22" s="62"/>
      <c r="P22" s="62"/>
      <c r="Q22" s="8">
        <f t="shared" si="2"/>
        <v>0.0001720145384102662</v>
      </c>
    </row>
    <row r="23" spans="1:17" ht="12.75">
      <c r="A23" s="61" t="s">
        <v>38</v>
      </c>
      <c r="B23" s="61" t="s">
        <v>143</v>
      </c>
      <c r="C23" s="61" t="s">
        <v>45</v>
      </c>
      <c r="D23" s="49">
        <f t="shared" si="1"/>
        <v>484599.28</v>
      </c>
      <c r="E23" s="63"/>
      <c r="F23" s="62"/>
      <c r="G23" s="62"/>
      <c r="H23" s="62"/>
      <c r="I23" s="62"/>
      <c r="J23" s="62"/>
      <c r="K23" s="63"/>
      <c r="L23" s="63"/>
      <c r="M23" s="63">
        <f>94801.54+156674.21+233123.53</f>
        <v>484599.28</v>
      </c>
      <c r="N23" s="62"/>
      <c r="O23" s="62"/>
      <c r="P23" s="62"/>
      <c r="Q23" s="8">
        <f t="shared" si="2"/>
        <v>0.003996743532985497</v>
      </c>
    </row>
    <row r="24" spans="1:17" ht="12.75">
      <c r="A24" s="61" t="s">
        <v>39</v>
      </c>
      <c r="B24" s="61" t="s">
        <v>145</v>
      </c>
      <c r="C24" s="61" t="s">
        <v>45</v>
      </c>
      <c r="D24" s="49">
        <f t="shared" si="1"/>
        <v>249145.79</v>
      </c>
      <c r="E24" s="63"/>
      <c r="F24" s="62"/>
      <c r="G24" s="62"/>
      <c r="H24" s="62"/>
      <c r="I24" s="62"/>
      <c r="J24" s="62"/>
      <c r="K24" s="63"/>
      <c r="L24" s="63"/>
      <c r="M24" s="63"/>
      <c r="N24" s="63">
        <f>113111+136034.79</f>
        <v>249145.79</v>
      </c>
      <c r="O24" s="62"/>
      <c r="P24" s="62"/>
      <c r="Q24" s="8">
        <f t="shared" si="2"/>
        <v>0.0020548355436125756</v>
      </c>
    </row>
    <row r="25" spans="1:17" ht="12.75">
      <c r="A25" s="61" t="s">
        <v>40</v>
      </c>
      <c r="B25" s="61" t="s">
        <v>84</v>
      </c>
      <c r="C25" s="61" t="s">
        <v>45</v>
      </c>
      <c r="D25" s="49">
        <f t="shared" si="1"/>
        <v>92319.43</v>
      </c>
      <c r="E25" s="63"/>
      <c r="F25" s="62"/>
      <c r="G25" s="62"/>
      <c r="H25" s="62"/>
      <c r="I25" s="62"/>
      <c r="J25" s="62"/>
      <c r="K25" s="63"/>
      <c r="L25" s="63"/>
      <c r="M25" s="63"/>
      <c r="N25" s="62"/>
      <c r="O25" s="63">
        <f>13876.75+19506+58936.68</f>
        <v>92319.43</v>
      </c>
      <c r="P25" s="62"/>
      <c r="Q25" s="8">
        <f t="shared" si="2"/>
        <v>0.0007614065890098046</v>
      </c>
    </row>
    <row r="26" spans="1:17" ht="12.75">
      <c r="A26" s="61" t="s">
        <v>40</v>
      </c>
      <c r="B26" s="75" t="s">
        <v>68</v>
      </c>
      <c r="C26" s="61" t="s">
        <v>66</v>
      </c>
      <c r="D26" s="49">
        <f t="shared" si="1"/>
        <v>190489.02</v>
      </c>
      <c r="E26" s="63"/>
      <c r="F26" s="62"/>
      <c r="G26" s="62"/>
      <c r="H26" s="62"/>
      <c r="I26" s="62"/>
      <c r="J26" s="62"/>
      <c r="K26" s="63"/>
      <c r="L26" s="63"/>
      <c r="M26" s="63"/>
      <c r="N26" s="62"/>
      <c r="O26" s="63">
        <f>6775+183714.02</f>
        <v>190489.02</v>
      </c>
      <c r="P26" s="62"/>
      <c r="Q26" s="8">
        <f t="shared" si="2"/>
        <v>0.001571062505065515</v>
      </c>
    </row>
    <row r="27" spans="1:18" ht="12.75">
      <c r="A27" s="61" t="s">
        <v>41</v>
      </c>
      <c r="B27" s="61" t="s">
        <v>146</v>
      </c>
      <c r="C27" s="61" t="s">
        <v>45</v>
      </c>
      <c r="D27" s="49">
        <f t="shared" si="1"/>
        <v>1417819.2899999998</v>
      </c>
      <c r="E27" s="63"/>
      <c r="F27" s="62"/>
      <c r="G27" s="62"/>
      <c r="H27" s="62"/>
      <c r="I27" s="62"/>
      <c r="J27" s="62"/>
      <c r="K27" s="63"/>
      <c r="L27" s="63"/>
      <c r="M27" s="63"/>
      <c r="N27" s="62"/>
      <c r="O27" s="63"/>
      <c r="P27" s="63">
        <f>133766.84+318000+418000+250024+298028.45</f>
        <v>1417819.2899999998</v>
      </c>
      <c r="Q27" s="8">
        <f t="shared" si="2"/>
        <v>0.011693496693287675</v>
      </c>
      <c r="R27" s="8"/>
    </row>
    <row r="28" spans="1:18" ht="12.75">
      <c r="A28" s="75" t="s">
        <v>41</v>
      </c>
      <c r="B28" s="75" t="s">
        <v>123</v>
      </c>
      <c r="C28" s="75" t="s">
        <v>47</v>
      </c>
      <c r="D28" s="49">
        <f t="shared" si="1"/>
        <v>46273.560000000005</v>
      </c>
      <c r="E28" s="63"/>
      <c r="F28" s="62"/>
      <c r="G28" s="62"/>
      <c r="H28" s="62"/>
      <c r="I28" s="62"/>
      <c r="J28" s="62"/>
      <c r="K28" s="63"/>
      <c r="L28" s="63"/>
      <c r="M28" s="63"/>
      <c r="N28" s="62"/>
      <c r="O28" s="63"/>
      <c r="P28" s="63">
        <f>6319.65+39953.91</f>
        <v>46273.560000000005</v>
      </c>
      <c r="Q28" s="8">
        <f t="shared" si="2"/>
        <v>0.00038164223371981977</v>
      </c>
      <c r="R28" s="8">
        <f>SUM(Q7:Q28)</f>
        <v>0.06703961020526832</v>
      </c>
    </row>
    <row r="29" spans="1:18" ht="12.75">
      <c r="A29" s="61" t="s">
        <v>30</v>
      </c>
      <c r="B29" s="75" t="s">
        <v>125</v>
      </c>
      <c r="C29" s="61" t="s">
        <v>77</v>
      </c>
      <c r="D29" s="49">
        <f t="shared" si="1"/>
        <v>27979755.740000002</v>
      </c>
      <c r="E29" s="63">
        <f>17623386.09+10356369.65</f>
        <v>27979755.740000002</v>
      </c>
      <c r="F29" s="62"/>
      <c r="G29" s="62"/>
      <c r="H29" s="62"/>
      <c r="I29" s="62"/>
      <c r="J29" s="62"/>
      <c r="K29" s="63"/>
      <c r="L29" s="63"/>
      <c r="M29" s="63"/>
      <c r="N29" s="62"/>
      <c r="O29" s="63"/>
      <c r="P29" s="63"/>
      <c r="Q29" s="8">
        <f t="shared" si="2"/>
        <v>0.2307636689191095</v>
      </c>
      <c r="R29" s="8"/>
    </row>
    <row r="30" spans="1:17" ht="12.75">
      <c r="A30" s="2" t="s">
        <v>30</v>
      </c>
      <c r="B30" s="2" t="s">
        <v>69</v>
      </c>
      <c r="C30" t="s">
        <v>54</v>
      </c>
      <c r="D30" s="49">
        <f t="shared" si="1"/>
        <v>1382247.19</v>
      </c>
      <c r="E30" s="49">
        <f>1382247.19</f>
        <v>1382247.19</v>
      </c>
      <c r="Q30" s="8">
        <f t="shared" si="2"/>
        <v>0.01140011499319577</v>
      </c>
    </row>
    <row r="31" spans="1:17" ht="12.75">
      <c r="A31" s="2" t="s">
        <v>30</v>
      </c>
      <c r="B31" s="2" t="s">
        <v>149</v>
      </c>
      <c r="C31" s="64" t="s">
        <v>56</v>
      </c>
      <c r="D31" s="49">
        <f t="shared" si="1"/>
        <v>8149427.09</v>
      </c>
      <c r="E31" s="49">
        <f>190113.84+7959313.25</f>
        <v>8149427.09</v>
      </c>
      <c r="Q31" s="8">
        <f t="shared" si="2"/>
        <v>0.06721258442541292</v>
      </c>
    </row>
    <row r="32" spans="1:17" ht="12.75">
      <c r="A32" s="76" t="s">
        <v>30</v>
      </c>
      <c r="B32" s="76" t="s">
        <v>76</v>
      </c>
      <c r="C32" s="77" t="s">
        <v>126</v>
      </c>
      <c r="D32" s="49">
        <f t="shared" si="1"/>
        <v>934883.87</v>
      </c>
      <c r="E32" s="49">
        <f>934883.87</f>
        <v>934883.87</v>
      </c>
      <c r="Q32" s="8">
        <f t="shared" si="2"/>
        <v>0.0077104758833214816</v>
      </c>
    </row>
    <row r="33" spans="1:17" ht="12.75">
      <c r="A33" s="76" t="s">
        <v>31</v>
      </c>
      <c r="B33" s="76" t="s">
        <v>147</v>
      </c>
      <c r="C33" s="77" t="s">
        <v>148</v>
      </c>
      <c r="D33" s="49">
        <f t="shared" si="1"/>
        <v>25100</v>
      </c>
      <c r="F33" s="49">
        <f>25100</f>
        <v>25100</v>
      </c>
      <c r="Q33" s="8">
        <f t="shared" si="2"/>
        <v>0.00020701281825663458</v>
      </c>
    </row>
    <row r="34" spans="1:17" ht="12.75">
      <c r="A34" s="2" t="s">
        <v>31</v>
      </c>
      <c r="B34" s="2" t="s">
        <v>76</v>
      </c>
      <c r="C34" s="64" t="s">
        <v>87</v>
      </c>
      <c r="D34" s="49">
        <f t="shared" si="1"/>
        <v>2051595.38</v>
      </c>
      <c r="F34" s="49">
        <f>2051595.38</f>
        <v>2051595.38</v>
      </c>
      <c r="Q34" s="8">
        <f t="shared" si="2"/>
        <v>0.016920579344067377</v>
      </c>
    </row>
    <row r="35" spans="1:17" ht="12.75">
      <c r="A35" s="2" t="s">
        <v>31</v>
      </c>
      <c r="B35" s="2" t="s">
        <v>135</v>
      </c>
      <c r="C35" s="64" t="s">
        <v>89</v>
      </c>
      <c r="D35" s="49">
        <f t="shared" si="1"/>
        <v>41070.03</v>
      </c>
      <c r="F35" s="49">
        <f>11129.02+29941.01</f>
        <v>41070.03</v>
      </c>
      <c r="Q35" s="8">
        <f t="shared" si="2"/>
        <v>0.00033872600223842746</v>
      </c>
    </row>
    <row r="36" spans="1:17" ht="12.75">
      <c r="A36" s="2" t="s">
        <v>34</v>
      </c>
      <c r="B36" s="2" t="s">
        <v>88</v>
      </c>
      <c r="C36" t="s">
        <v>57</v>
      </c>
      <c r="D36" s="49">
        <f t="shared" si="1"/>
        <v>13716197.759999998</v>
      </c>
      <c r="I36" s="49">
        <f>12717.54+9850000+3726419.13+127061.09</f>
        <v>13716197.759999998</v>
      </c>
      <c r="Q36" s="8">
        <f t="shared" si="2"/>
        <v>0.11312465155629234</v>
      </c>
    </row>
    <row r="37" spans="1:17" ht="12.75">
      <c r="A37" s="2" t="s">
        <v>34</v>
      </c>
      <c r="B37" s="2" t="s">
        <v>76</v>
      </c>
      <c r="C37" s="64" t="s">
        <v>150</v>
      </c>
      <c r="D37" s="49">
        <f t="shared" si="1"/>
        <v>18146.79</v>
      </c>
      <c r="I37" s="49">
        <f>18146.79</f>
        <v>18146.79</v>
      </c>
      <c r="Q37" s="8">
        <f t="shared" si="2"/>
        <v>0.00014966606136300055</v>
      </c>
    </row>
    <row r="38" spans="1:17" ht="12.75">
      <c r="A38" s="2" t="s">
        <v>34</v>
      </c>
      <c r="B38" s="2" t="s">
        <v>55</v>
      </c>
      <c r="C38" s="64" t="s">
        <v>151</v>
      </c>
      <c r="D38" s="49">
        <f t="shared" si="1"/>
        <v>3806.5</v>
      </c>
      <c r="I38" s="49">
        <f>3806.5</f>
        <v>3806.5</v>
      </c>
      <c r="Q38" s="8">
        <f t="shared" si="2"/>
        <v>3.139419492804301E-05</v>
      </c>
    </row>
    <row r="39" spans="1:17" ht="12.75">
      <c r="A39" s="2" t="s">
        <v>34</v>
      </c>
      <c r="B39" s="2" t="s">
        <v>130</v>
      </c>
      <c r="C39" s="64" t="s">
        <v>152</v>
      </c>
      <c r="D39" s="49">
        <f t="shared" si="1"/>
        <v>4550</v>
      </c>
      <c r="I39" s="49">
        <f>4550</f>
        <v>4550</v>
      </c>
      <c r="Q39" s="8">
        <f t="shared" si="2"/>
        <v>3.752622801066483E-05</v>
      </c>
    </row>
    <row r="40" spans="1:17" ht="12.75">
      <c r="A40" s="2" t="s">
        <v>36</v>
      </c>
      <c r="B40" s="2" t="s">
        <v>110</v>
      </c>
      <c r="C40" t="s">
        <v>59</v>
      </c>
      <c r="D40" s="49">
        <f t="shared" si="1"/>
        <v>22424091.07</v>
      </c>
      <c r="K40" s="49">
        <f>12868596.91+9555494.16</f>
        <v>22424091.07</v>
      </c>
      <c r="Q40" s="8">
        <f t="shared" si="2"/>
        <v>0.18494319877466664</v>
      </c>
    </row>
    <row r="41" spans="1:17" ht="12.75">
      <c r="A41" s="76" t="s">
        <v>37</v>
      </c>
      <c r="B41" s="76" t="s">
        <v>130</v>
      </c>
      <c r="C41" s="77" t="s">
        <v>131</v>
      </c>
      <c r="D41" s="49">
        <f t="shared" si="1"/>
        <v>9341.5</v>
      </c>
      <c r="L41" s="49">
        <f>9341.5</f>
        <v>9341.5</v>
      </c>
      <c r="Q41" s="8">
        <f t="shared" si="2"/>
        <v>7.70442327388188E-05</v>
      </c>
    </row>
    <row r="42" spans="1:17" ht="12.75">
      <c r="A42" s="2" t="s">
        <v>39</v>
      </c>
      <c r="B42" s="76" t="s">
        <v>124</v>
      </c>
      <c r="C42" t="s">
        <v>60</v>
      </c>
      <c r="D42" s="49">
        <f t="shared" si="1"/>
        <v>16115509.7</v>
      </c>
      <c r="N42" s="49">
        <f>3273824.55+7249015.8+5533465.12+59204.23</f>
        <v>16115509.7</v>
      </c>
      <c r="Q42" s="8">
        <f t="shared" si="2"/>
        <v>0.13291303110116062</v>
      </c>
    </row>
    <row r="43" spans="1:17" ht="12.75">
      <c r="A43" s="2" t="s">
        <v>39</v>
      </c>
      <c r="B43" s="2" t="s">
        <v>61</v>
      </c>
      <c r="C43" t="s">
        <v>62</v>
      </c>
      <c r="D43" s="49">
        <f t="shared" si="1"/>
        <v>3050.62</v>
      </c>
      <c r="N43" s="49">
        <f>3050.62</f>
        <v>3050.62</v>
      </c>
      <c r="Q43" s="8">
        <f t="shared" si="2"/>
        <v>2.5160057515141615E-05</v>
      </c>
    </row>
    <row r="44" spans="1:17" ht="12.75">
      <c r="A44" s="2" t="s">
        <v>40</v>
      </c>
      <c r="B44" s="2" t="s">
        <v>111</v>
      </c>
      <c r="C44" t="s">
        <v>112</v>
      </c>
      <c r="D44" s="49">
        <f t="shared" si="1"/>
        <v>1245168.63</v>
      </c>
      <c r="O44" s="49">
        <f>274805.86+969362.77+1000</f>
        <v>1245168.63</v>
      </c>
      <c r="Q44" s="8">
        <f t="shared" si="2"/>
        <v>0.010269556466177396</v>
      </c>
    </row>
    <row r="45" spans="1:17" ht="12.75">
      <c r="A45" s="2" t="s">
        <v>40</v>
      </c>
      <c r="B45" s="2" t="s">
        <v>88</v>
      </c>
      <c r="C45" t="s">
        <v>57</v>
      </c>
      <c r="D45" s="49">
        <f t="shared" si="1"/>
        <v>1592526.72</v>
      </c>
      <c r="O45" s="49">
        <f>1572562.89+19963.83</f>
        <v>1592526.72</v>
      </c>
      <c r="Q45" s="8">
        <f t="shared" si="2"/>
        <v>0.013134400177537624</v>
      </c>
    </row>
    <row r="46" spans="1:17" ht="12.75">
      <c r="A46" s="76" t="s">
        <v>40</v>
      </c>
      <c r="B46" s="76" t="s">
        <v>127</v>
      </c>
      <c r="C46" s="78" t="s">
        <v>128</v>
      </c>
      <c r="D46" s="49">
        <f t="shared" si="1"/>
        <v>20988.83</v>
      </c>
      <c r="O46" s="49">
        <f>20988.83</f>
        <v>20988.83</v>
      </c>
      <c r="Q46" s="8">
        <f t="shared" si="2"/>
        <v>0.0001731058506059522</v>
      </c>
    </row>
    <row r="47" spans="1:17" ht="12.75">
      <c r="A47" s="2" t="s">
        <v>40</v>
      </c>
      <c r="B47" s="76" t="s">
        <v>129</v>
      </c>
      <c r="C47" t="s">
        <v>63</v>
      </c>
      <c r="D47" s="49">
        <f t="shared" si="1"/>
        <v>16744250.16</v>
      </c>
      <c r="O47" s="49">
        <f>11000000+4600000+1119203.76+25046.4</f>
        <v>16744250.16</v>
      </c>
      <c r="Q47" s="8">
        <f t="shared" si="2"/>
        <v>0.13809858227951013</v>
      </c>
    </row>
    <row r="48" spans="1:17" ht="12.75">
      <c r="A48" s="2" t="s">
        <v>40</v>
      </c>
      <c r="B48" s="2" t="s">
        <v>116</v>
      </c>
      <c r="C48" t="s">
        <v>117</v>
      </c>
      <c r="D48" s="49">
        <f t="shared" si="1"/>
        <v>15527.55</v>
      </c>
      <c r="O48" s="49">
        <f>15527.55</f>
        <v>15527.55</v>
      </c>
      <c r="Q48" s="8">
        <f t="shared" si="2"/>
        <v>0.00012806382016417554</v>
      </c>
    </row>
    <row r="49" spans="1:17" ht="12.75">
      <c r="A49" s="2" t="s">
        <v>40</v>
      </c>
      <c r="B49" s="2" t="s">
        <v>55</v>
      </c>
      <c r="C49" t="s">
        <v>114</v>
      </c>
      <c r="D49" s="49">
        <f t="shared" si="1"/>
        <v>4211.11</v>
      </c>
      <c r="O49" s="49">
        <f>4211.11</f>
        <v>4211.11</v>
      </c>
      <c r="Q49" s="8">
        <f t="shared" si="2"/>
        <v>3.473122506329468E-05</v>
      </c>
    </row>
    <row r="50" spans="1:18" ht="12.75">
      <c r="A50" s="2" t="s">
        <v>40</v>
      </c>
      <c r="B50" s="2" t="s">
        <v>58</v>
      </c>
      <c r="C50" t="s">
        <v>64</v>
      </c>
      <c r="D50" s="49">
        <f t="shared" si="1"/>
        <v>638630</v>
      </c>
      <c r="O50" s="49">
        <f>638630</f>
        <v>638630</v>
      </c>
      <c r="Q50" s="8">
        <f t="shared" si="2"/>
        <v>0.005267115383395799</v>
      </c>
      <c r="R50" s="8">
        <f>SUM(Q29:Q50)</f>
        <v>0.9329603897947317</v>
      </c>
    </row>
    <row r="51" spans="5:17" ht="12.75"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6"/>
    </row>
    <row r="52" spans="2:17" s="8" customFormat="1" ht="13.5" thickBot="1">
      <c r="B52" s="67"/>
      <c r="C52" s="68" t="s">
        <v>65</v>
      </c>
      <c r="D52" s="69">
        <f>SUM(E52:P52)</f>
        <v>0.9999999999999999</v>
      </c>
      <c r="E52" s="70">
        <f>E5/D5</f>
        <v>0.33333206230761936</v>
      </c>
      <c r="F52" s="70">
        <f>F5/D5</f>
        <v>0.023238043952454514</v>
      </c>
      <c r="G52" s="70">
        <f>G5/D5</f>
        <v>0.0009141198625624977</v>
      </c>
      <c r="H52" s="70">
        <f>H5/D5</f>
        <v>0.0016443077639260323</v>
      </c>
      <c r="I52" s="70">
        <f>I5/D5</f>
        <v>0.1223624509403394</v>
      </c>
      <c r="J52" s="70">
        <f>J5/D5</f>
        <v>0.004047780027832265</v>
      </c>
      <c r="K52" s="70">
        <f>K5/D5</f>
        <v>0.18847750396066945</v>
      </c>
      <c r="L52" s="70">
        <f>L5/D5</f>
        <v>0.005480797725785485</v>
      </c>
      <c r="M52" s="70">
        <f>M5/D5</f>
        <v>0.003996743532985497</v>
      </c>
      <c r="N52" s="70">
        <f>N5/D5</f>
        <v>0.13499302670228833</v>
      </c>
      <c r="O52" s="70">
        <f>O5/D5</f>
        <v>0.16943802429652968</v>
      </c>
      <c r="P52" s="70">
        <f>P5/D5</f>
        <v>0.012075138927007494</v>
      </c>
      <c r="Q52" s="70">
        <f>SUM(Q6:Q51)</f>
        <v>0.9999999999999999</v>
      </c>
    </row>
    <row r="53" spans="1:17" s="8" customFormat="1" ht="13.5" thickTop="1">
      <c r="A53" s="71"/>
      <c r="C53" s="68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</row>
  </sheetData>
  <sheetProtection/>
  <printOptions/>
  <pageMargins left="0" right="0" top="1" bottom="0.25" header="0.3" footer="0.05"/>
  <pageSetup horizontalDpi="600" verticalDpi="600" orientation="landscape" paperSize="5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System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Mei-Chin Yang</dc:creator>
  <cp:keywords/>
  <dc:description/>
  <cp:lastModifiedBy>Eric Nicholson</cp:lastModifiedBy>
  <cp:lastPrinted>2018-02-01T21:12:06Z</cp:lastPrinted>
  <dcterms:created xsi:type="dcterms:W3CDTF">2011-02-21T16:49:07Z</dcterms:created>
  <dcterms:modified xsi:type="dcterms:W3CDTF">2018-02-01T21:12:37Z</dcterms:modified>
  <cp:category/>
  <cp:version/>
  <cp:contentType/>
  <cp:contentStatus/>
</cp:coreProperties>
</file>