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2010(A&amp;B)" sheetId="1" r:id="rId1"/>
    <sheet name="Academic Project " sheetId="2" r:id="rId2"/>
    <sheet name="Percentage" sheetId="3" r:id="rId3"/>
    <sheet name="UMBI adjustment" sheetId="4" r:id="rId4"/>
  </sheets>
  <definedNames>
    <definedName name="_xlnm.Print_Titles" localSheetId="0">'2010(A&amp;B)'!$A:$A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<sst xmlns="http://schemas.openxmlformats.org/spreadsheetml/2006/main" count="626" uniqueCount="161">
  <si>
    <t xml:space="preserve">    University System of Maryland</t>
  </si>
  <si>
    <t xml:space="preserve">       Distribution of Debt Services</t>
  </si>
  <si>
    <t>2010 Series A Bond Funded Projects</t>
  </si>
  <si>
    <t>Payment</t>
  </si>
  <si>
    <t xml:space="preserve">           Total Auxiliary Projects - 2010A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</si>
  <si>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</si>
  <si>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</si>
  <si>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</si>
  <si>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UMCP Golf Course Improvements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</si>
  <si>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</si>
  <si>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</si>
  <si>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</si>
  <si>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</si>
  <si>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  UMBC Resident Hall Renovation (Auxiliary)</t>
  </si>
  <si>
    <t xml:space="preserve">           UMBC Surface Lots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</si>
  <si>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</si>
  <si>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</si>
  <si>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</si>
  <si>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</si>
  <si>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</si>
  <si>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</si>
  <si>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</si>
  <si>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</si>
  <si>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</si>
  <si>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</si>
  <si>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Dining Commons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</si>
  <si>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</si>
  <si>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</si>
  <si>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</si>
  <si>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</si>
  <si>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</si>
  <si>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</si>
  <si>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>2010A &amp; 2010B Bonds</t>
  </si>
  <si>
    <t xml:space="preserve">      UMCP Facilities Renewal (Academic)</t>
  </si>
  <si>
    <t xml:space="preserve">    UMCP New Journalism Building (Academic) 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</si>
  <si>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</si>
  <si>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</si>
  <si>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</si>
  <si>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</si>
  <si>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</si>
  <si>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</si>
  <si>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</si>
  <si>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</si>
  <si>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</si>
  <si>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</si>
  <si>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</si>
  <si>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</si>
  <si>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</si>
  <si>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</si>
  <si>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</si>
  <si>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</si>
  <si>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</si>
  <si>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</si>
  <si>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</si>
  <si>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</si>
  <si>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</si>
  <si>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</si>
  <si>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</si>
  <si>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</si>
  <si>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</si>
  <si>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</si>
  <si>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</si>
  <si>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</si>
  <si>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</si>
  <si>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</si>
  <si>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</si>
  <si>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</si>
  <si>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</si>
  <si>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</si>
  <si>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</si>
  <si>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</si>
  <si>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</si>
  <si>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</si>
  <si>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New Journalism Building</t>
  </si>
  <si>
    <t>25th Acad</t>
  </si>
  <si>
    <t>Emergency Project</t>
  </si>
  <si>
    <t>28,29th Acad</t>
  </si>
  <si>
    <t>Pharmacy Hall Addition and Renovation</t>
  </si>
  <si>
    <t>19,24th Acad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</si>
  <si>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</si>
  <si>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</si>
  <si>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</si>
  <si>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</si>
  <si>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</si>
  <si>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24,25,26,27,28,29th Acad</t>
  </si>
  <si>
    <t>28,29th Aux</t>
  </si>
  <si>
    <t>Fraternity/Sorority Houses Renovation</t>
  </si>
  <si>
    <t>27th Aux</t>
  </si>
  <si>
    <t>High Rise Residence Hall A/C</t>
  </si>
  <si>
    <t>29th Aux</t>
  </si>
  <si>
    <t>Golf Course Improvements</t>
  </si>
  <si>
    <t>26th Aux</t>
  </si>
  <si>
    <t>SCUB Utilities Facility</t>
  </si>
  <si>
    <t>New Campus Center</t>
  </si>
  <si>
    <t>Hillcrest Demolition/Parking Lot</t>
  </si>
  <si>
    <t>Dining Hall: Upgrades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</si>
  <si>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</si>
  <si>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</si>
  <si>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</si>
  <si>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</si>
  <si>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</si>
  <si>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</si>
  <si>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</si>
  <si>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</si>
  <si>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</si>
  <si>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</si>
  <si>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</si>
  <si>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</si>
  <si>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</si>
  <si>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</si>
  <si>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</si>
  <si>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</si>
  <si>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</si>
  <si>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2010 Series (A&amp; B) Bonds</t>
  </si>
  <si>
    <t>29, 32 Acad</t>
  </si>
  <si>
    <t>28,32 Acad</t>
  </si>
  <si>
    <t>College of Liberal Arts Complex</t>
  </si>
  <si>
    <t>27,28,29th Acad</t>
  </si>
  <si>
    <t>26,27,28,29th Acad</t>
  </si>
  <si>
    <t>27,28th Acad</t>
  </si>
  <si>
    <t>26th Acad</t>
  </si>
  <si>
    <t>Dental School</t>
  </si>
  <si>
    <t>26,28,29,32th Acad</t>
  </si>
  <si>
    <t>Utilities Upgrade/Site Improvement</t>
  </si>
  <si>
    <t>22,25th Acad</t>
  </si>
  <si>
    <t>32nd Aux</t>
  </si>
  <si>
    <t>Parking System Improvements</t>
  </si>
  <si>
    <t>29,32th Aux</t>
  </si>
  <si>
    <t>28,29,32th Aux</t>
  </si>
  <si>
    <t>29,32nd Aux</t>
  </si>
  <si>
    <t>Wicomico Hall System Upgrade</t>
  </si>
  <si>
    <t>27,28,29th Aux</t>
  </si>
  <si>
    <t>25,27th Aux</t>
  </si>
  <si>
    <t>New Parking Lot</t>
  </si>
  <si>
    <t xml:space="preserve">        Total Academic Projects - 2010A &amp;B</t>
  </si>
  <si>
    <t>2010 Series A &amp; B Bond Funded Projects</t>
  </si>
  <si>
    <t xml:space="preserve">          Distribution of Debt Services</t>
  </si>
  <si>
    <t xml:space="preserve">       University System of Maryland</t>
  </si>
  <si>
    <t xml:space="preserve">          UMB Dental School (Acedemic)</t>
  </si>
  <si>
    <t xml:space="preserve">       UMBI Facilities Renewal (Academic) </t>
  </si>
  <si>
    <t xml:space="preserve">       UMES Utilities Upgrade (Academic)</t>
  </si>
  <si>
    <t xml:space="preserve">      CEES Facilities Renewal (Academic)</t>
  </si>
  <si>
    <t xml:space="preserve">      CEES Emergency Projects (Academic)</t>
  </si>
  <si>
    <t xml:space="preserve">       BSU Emergency Projects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</si>
  <si>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</si>
  <si>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</si>
  <si>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</si>
  <si>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</si>
  <si>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UMES Wicomico Hall System (Auxiliary)</t>
  </si>
  <si>
    <t xml:space="preserve">         UMBC New Parking Lot (Auxiliary)</t>
  </si>
  <si>
    <t xml:space="preserve"> UMBC Parking System Improvement (Auxiliary)</t>
  </si>
  <si>
    <t>2010 Series A &amp; 2010 Series B Bond Funded Projects</t>
  </si>
  <si>
    <t xml:space="preserve">              University System of Maryland</t>
  </si>
  <si>
    <t xml:space="preserve">                Distribution of Debt Services</t>
  </si>
  <si>
    <t>Athletic Practice Fields</t>
  </si>
  <si>
    <t xml:space="preserve">     UMBC Athletic Practice Fields (Auxiliary)</t>
  </si>
  <si>
    <t xml:space="preserve">      Total Debt Service - 2010 Series A &amp; B</t>
  </si>
  <si>
    <t>Amort of</t>
  </si>
  <si>
    <t>Premium</t>
  </si>
  <si>
    <t xml:space="preserve">      UMCP Transfer from UMBI (Academic)</t>
  </si>
  <si>
    <t xml:space="preserve">      UMBC Transfer from UMBI (Academic)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</si>
</sst>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3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175" fontId="0" fillId="0" borderId="0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38" fontId="0" fillId="0" borderId="13" xfId="0" applyNumberFormat="1" applyBorder="1" applyAlignment="1">
      <alignment horizontal="center"/>
    </xf>
    <xf numFmtId="38" fontId="2" fillId="0" borderId="11" xfId="0" applyNumberFormat="1" applyFont="1" applyBorder="1" applyAlignment="1">
      <alignment horizontal="left"/>
    </xf>
    <xf numFmtId="38" fontId="0" fillId="33" borderId="13" xfId="0" applyNumberFormat="1" applyFill="1" applyBorder="1" applyAlignment="1">
      <alignment horizontal="center"/>
    </xf>
    <xf numFmtId="9" fontId="0" fillId="0" borderId="0" xfId="57" applyFon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K563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2" sqref="C12"/>
    </sheetView>
  </sheetViews>
  <sheetFormatPr defaultColWidth="13.7109375" defaultRowHeight="12.75"/>
  <cols>
    <col min="1" max="1" width="9.7109375" style="40" customWidth="1"/>
    <col min="2" max="5" width="13.7109375" style="3" customWidth="1"/>
    <col min="6" max="6" width="3.7109375" style="5" customWidth="1"/>
    <col min="7" max="10" width="13.7109375" style="5" customWidth="1"/>
    <col min="11" max="11" width="3.7109375" style="5" customWidth="1"/>
    <col min="12" max="15" width="13.7109375" style="0" customWidth="1"/>
    <col min="16" max="16" width="3.7109375" style="5" customWidth="1"/>
    <col min="17" max="20" width="13.7109375" style="0" customWidth="1"/>
    <col min="21" max="21" width="3.7109375" style="5" customWidth="1"/>
    <col min="22" max="25" width="13.7109375" style="5" customWidth="1"/>
    <col min="26" max="26" width="3.7109375" style="5" customWidth="1"/>
    <col min="27" max="30" width="13.7109375" style="5" customWidth="1"/>
    <col min="31" max="31" width="3.7109375" style="5" customWidth="1"/>
    <col min="32" max="35" width="13.7109375" style="5" customWidth="1"/>
    <col min="36" max="36" width="3.7109375" style="5" customWidth="1"/>
    <col min="37" max="40" width="13.7109375" style="0" customWidth="1"/>
    <col min="41" max="41" width="3.7109375" style="5" customWidth="1"/>
    <col min="42" max="45" width="13.7109375" style="0" customWidth="1"/>
    <col min="46" max="46" width="3.7109375" style="6" customWidth="1"/>
    <col min="47" max="50" width="13.7109375" style="0" customWidth="1"/>
    <col min="51" max="51" width="3.7109375" style="6" customWidth="1"/>
    <col min="52" max="55" width="13.7109375" style="0" customWidth="1"/>
    <col min="56" max="56" width="3.7109375" style="0" customWidth="1"/>
    <col min="57" max="60" width="13.7109375" style="6" customWidth="1"/>
    <col min="61" max="61" width="3.7109375" style="6" customWidth="1"/>
    <col min="62" max="65" width="13.7109375" style="6" customWidth="1"/>
    <col min="66" max="66" width="3.7109375" style="6" customWidth="1"/>
    <col min="67" max="70" width="12.7109375" style="6" customWidth="1"/>
    <col min="71" max="71" width="3.7109375" style="6" customWidth="1"/>
    <col min="72" max="75" width="13.7109375" style="6" customWidth="1"/>
    <col min="76" max="76" width="3.7109375" style="6" customWidth="1"/>
    <col min="77" max="80" width="13.7109375" style="6" customWidth="1"/>
    <col min="81" max="81" width="3.7109375" style="6" customWidth="1"/>
    <col min="82" max="85" width="13.7109375" style="6" customWidth="1"/>
    <col min="86" max="86" width="3.7109375" style="6" customWidth="1"/>
    <col min="87" max="90" width="13.7109375" style="6" customWidth="1"/>
    <col min="91" max="91" width="3.7109375" style="6" customWidth="1"/>
    <col min="92" max="95" width="13.7109375" style="6" customWidth="1"/>
    <col min="96" max="96" width="3.7109375" style="6" customWidth="1"/>
    <col min="97" max="100" width="13.7109375" style="6" customWidth="1"/>
    <col min="101" max="101" width="3.7109375" style="6" customWidth="1"/>
    <col min="102" max="105" width="12.7109375" style="6" customWidth="1"/>
    <col min="106" max="106" width="3.7109375" style="6" customWidth="1"/>
    <col min="107" max="110" width="13.7109375" style="6" customWidth="1"/>
    <col min="111" max="111" width="3.7109375" style="6" customWidth="1"/>
    <col min="112" max="115" width="13.7109375" style="6" customWidth="1"/>
    <col min="116" max="116" width="3.7109375" style="6" customWidth="1"/>
    <col min="117" max="120" width="13.7109375" style="6" customWidth="1"/>
    <col min="121" max="121" width="3.7109375" style="6" customWidth="1"/>
    <col min="122" max="125" width="13.7109375" style="6" customWidth="1"/>
    <col min="126" max="126" width="3.7109375" style="6" customWidth="1"/>
    <col min="127" max="130" width="13.7109375" style="6" customWidth="1"/>
    <col min="131" max="131" width="3.7109375" style="6" customWidth="1"/>
    <col min="132" max="135" width="13.7109375" style="6" customWidth="1"/>
    <col min="136" max="136" width="3.7109375" style="6" customWidth="1"/>
    <col min="137" max="140" width="13.7109375" style="6" customWidth="1"/>
    <col min="141" max="141" width="3.7109375" style="6" customWidth="1"/>
    <col min="142" max="145" width="13.7109375" style="6" customWidth="1"/>
    <col min="146" max="146" width="3.7109375" style="6" customWidth="1"/>
    <col min="147" max="150" width="13.7109375" style="6" customWidth="1"/>
    <col min="151" max="151" width="3.7109375" style="6" customWidth="1"/>
    <col min="152" max="154" width="13.7109375" style="6" customWidth="1"/>
    <col min="155" max="155" width="3.7109375" style="0" customWidth="1"/>
  </cols>
  <sheetData>
    <row r="1" spans="1:152" ht="12.75">
      <c r="A1" s="1"/>
      <c r="B1" s="4"/>
      <c r="C1" s="4"/>
      <c r="G1" s="4"/>
      <c r="L1" s="4" t="s">
        <v>152</v>
      </c>
      <c r="V1" s="4"/>
      <c r="AA1" s="4" t="s">
        <v>152</v>
      </c>
      <c r="AK1" s="4"/>
      <c r="AP1" s="4" t="s">
        <v>152</v>
      </c>
      <c r="BE1" s="4" t="s">
        <v>152</v>
      </c>
      <c r="BJ1" s="4"/>
      <c r="BO1" s="4"/>
      <c r="BT1" s="4" t="s">
        <v>152</v>
      </c>
      <c r="CI1" s="4" t="s">
        <v>152</v>
      </c>
      <c r="CX1" s="4" t="s">
        <v>152</v>
      </c>
      <c r="DM1" s="4" t="s">
        <v>152</v>
      </c>
      <c r="DW1" s="4"/>
      <c r="EB1" s="4" t="s">
        <v>152</v>
      </c>
      <c r="EQ1" s="4" t="s">
        <v>152</v>
      </c>
      <c r="EV1" s="4"/>
    </row>
    <row r="2" spans="1:152" ht="12.75">
      <c r="A2" s="1"/>
      <c r="B2" s="4"/>
      <c r="C2" s="4"/>
      <c r="G2" s="4"/>
      <c r="L2" s="4" t="s">
        <v>153</v>
      </c>
      <c r="V2" s="4"/>
      <c r="AA2" s="4" t="s">
        <v>153</v>
      </c>
      <c r="AK2" s="4"/>
      <c r="AP2" s="4" t="s">
        <v>153</v>
      </c>
      <c r="BE2" s="4" t="s">
        <v>153</v>
      </c>
      <c r="BJ2" s="4"/>
      <c r="BO2" s="4"/>
      <c r="BT2" s="4" t="s">
        <v>153</v>
      </c>
      <c r="CI2" s="4" t="s">
        <v>153</v>
      </c>
      <c r="CX2" s="4" t="s">
        <v>153</v>
      </c>
      <c r="DM2" s="4" t="s">
        <v>153</v>
      </c>
      <c r="DW2" s="4"/>
      <c r="EB2" s="4" t="s">
        <v>153</v>
      </c>
      <c r="EQ2" s="4" t="s">
        <v>153</v>
      </c>
      <c r="EV2" s="4"/>
    </row>
    <row r="3" spans="1:152" ht="12.75">
      <c r="A3" s="1"/>
      <c r="B3" s="7"/>
      <c r="C3" s="7"/>
      <c r="G3" s="4"/>
      <c r="L3" s="4" t="s">
        <v>151</v>
      </c>
      <c r="M3" s="8"/>
      <c r="V3" s="4"/>
      <c r="AA3" s="4" t="s">
        <v>151</v>
      </c>
      <c r="AK3" s="4"/>
      <c r="AP3" s="4" t="s">
        <v>151</v>
      </c>
      <c r="BE3" s="4" t="s">
        <v>151</v>
      </c>
      <c r="BJ3" s="4"/>
      <c r="BO3" s="4"/>
      <c r="BT3" s="4" t="s">
        <v>151</v>
      </c>
      <c r="CI3" s="4" t="s">
        <v>151</v>
      </c>
      <c r="CX3" s="4" t="s">
        <v>151</v>
      </c>
      <c r="DM3" s="4" t="s">
        <v>151</v>
      </c>
      <c r="DW3" s="4"/>
      <c r="EB3" s="4" t="s">
        <v>151</v>
      </c>
      <c r="EQ3" s="4" t="s">
        <v>151</v>
      </c>
      <c r="EV3" s="4"/>
    </row>
    <row r="4" spans="1:3" ht="12.75">
      <c r="A4" s="1"/>
      <c r="B4" s="4"/>
      <c r="C4" s="4"/>
    </row>
    <row r="5" spans="1:154" ht="12.75">
      <c r="A5" s="9" t="s">
        <v>3</v>
      </c>
      <c r="B5" s="10" t="s">
        <v>156</v>
      </c>
      <c r="C5" s="11"/>
      <c r="D5" s="12"/>
      <c r="E5" s="12"/>
      <c r="G5" s="13" t="s">
        <v>134</v>
      </c>
      <c r="H5" s="14"/>
      <c r="I5" s="15"/>
      <c r="J5" s="12"/>
      <c r="L5" s="13" t="s">
        <v>4</v>
      </c>
      <c r="M5" s="16"/>
      <c r="N5" s="15"/>
      <c r="O5" s="12"/>
      <c r="Q5" s="17" t="s">
        <v>5</v>
      </c>
      <c r="R5" s="18"/>
      <c r="S5" s="19"/>
      <c r="T5" s="12"/>
      <c r="V5" s="20" t="s">
        <v>6</v>
      </c>
      <c r="W5" s="18"/>
      <c r="X5" s="19"/>
      <c r="Y5" s="12"/>
      <c r="AA5" s="20" t="s">
        <v>7</v>
      </c>
      <c r="AB5" s="18"/>
      <c r="AC5" s="19"/>
      <c r="AD5" s="12"/>
      <c r="AF5" s="20" t="s">
        <v>147</v>
      </c>
      <c r="AG5" s="18"/>
      <c r="AH5" s="19"/>
      <c r="AI5" s="12"/>
      <c r="AK5" s="17" t="s">
        <v>8</v>
      </c>
      <c r="AL5" s="18"/>
      <c r="AM5" s="19"/>
      <c r="AN5" s="12"/>
      <c r="AP5" s="17" t="s">
        <v>9</v>
      </c>
      <c r="AQ5" s="18"/>
      <c r="AR5" s="19"/>
      <c r="AS5" s="12"/>
      <c r="AU5" s="17" t="s">
        <v>10</v>
      </c>
      <c r="AV5" s="18"/>
      <c r="AW5" s="19"/>
      <c r="AX5" s="12"/>
      <c r="AZ5" s="20" t="s">
        <v>148</v>
      </c>
      <c r="BA5" s="18"/>
      <c r="BB5" s="19"/>
      <c r="BC5" s="12"/>
      <c r="BD5" s="21"/>
      <c r="BE5" s="17" t="s">
        <v>155</v>
      </c>
      <c r="BF5" s="18"/>
      <c r="BG5" s="19"/>
      <c r="BH5" s="12"/>
      <c r="BJ5" s="20" t="s">
        <v>11</v>
      </c>
      <c r="BK5" s="18"/>
      <c r="BL5" s="19"/>
      <c r="BM5" s="12"/>
      <c r="BO5" s="17" t="s">
        <v>12</v>
      </c>
      <c r="BP5" s="18"/>
      <c r="BQ5" s="19"/>
      <c r="BR5" s="12"/>
      <c r="BT5" s="17" t="s">
        <v>13</v>
      </c>
      <c r="BU5" s="18"/>
      <c r="BV5" s="19"/>
      <c r="BW5" s="12"/>
      <c r="BY5" s="17" t="s">
        <v>149</v>
      </c>
      <c r="BZ5" s="18"/>
      <c r="CA5" s="19"/>
      <c r="CB5" s="12"/>
      <c r="CD5" s="17" t="s">
        <v>14</v>
      </c>
      <c r="CE5" s="18"/>
      <c r="CF5" s="19"/>
      <c r="CG5" s="12"/>
      <c r="CI5" s="20" t="s">
        <v>150</v>
      </c>
      <c r="CJ5" s="18"/>
      <c r="CK5" s="19"/>
      <c r="CL5" s="12"/>
      <c r="CN5" s="17" t="s">
        <v>15</v>
      </c>
      <c r="CO5" s="18"/>
      <c r="CP5" s="19"/>
      <c r="CQ5" s="12"/>
      <c r="CS5" s="17" t="s">
        <v>16</v>
      </c>
      <c r="CT5" s="18"/>
      <c r="CU5" s="19"/>
      <c r="CV5" s="12"/>
      <c r="CX5" s="17" t="s">
        <v>17</v>
      </c>
      <c r="CY5" s="18"/>
      <c r="CZ5" s="19"/>
      <c r="DA5" s="12"/>
      <c r="DC5" s="17" t="s">
        <v>18</v>
      </c>
      <c r="DD5" s="18"/>
      <c r="DE5" s="19"/>
      <c r="DF5" s="12"/>
      <c r="DH5" s="17" t="s">
        <v>19</v>
      </c>
      <c r="DI5" s="18"/>
      <c r="DJ5" s="19"/>
      <c r="DK5" s="12"/>
      <c r="DM5" s="17" t="s">
        <v>20</v>
      </c>
      <c r="DN5" s="18"/>
      <c r="DO5" s="19"/>
      <c r="DP5" s="12"/>
      <c r="DR5" s="20" t="s">
        <v>21</v>
      </c>
      <c r="DS5" s="18"/>
      <c r="DT5" s="19"/>
      <c r="DU5" s="12"/>
      <c r="DW5" s="20" t="s">
        <v>22</v>
      </c>
      <c r="DX5" s="18"/>
      <c r="DY5" s="19"/>
      <c r="DZ5" s="12"/>
      <c r="EB5" s="20" t="s">
        <v>23</v>
      </c>
      <c r="EC5" s="18"/>
      <c r="ED5" s="19"/>
      <c r="EE5" s="12"/>
      <c r="EG5" s="20" t="s">
        <v>24</v>
      </c>
      <c r="EH5" s="18"/>
      <c r="EI5" s="19"/>
      <c r="EJ5" s="12"/>
      <c r="EL5" s="17" t="s">
        <v>25</v>
      </c>
      <c r="EM5" s="18"/>
      <c r="EN5" s="19"/>
      <c r="EO5" s="12"/>
      <c r="EP5" s="21"/>
      <c r="EQ5" s="17" t="s">
        <v>26</v>
      </c>
      <c r="ER5" s="18"/>
      <c r="ES5" s="19"/>
      <c r="ET5" s="12"/>
      <c r="EV5" s="20" t="s">
        <v>27</v>
      </c>
      <c r="EW5" s="18"/>
      <c r="EX5" s="19"/>
    </row>
    <row r="6" spans="1:154" s="8" customFormat="1" ht="12.75">
      <c r="A6" s="22" t="s">
        <v>28</v>
      </c>
      <c r="B6" s="44"/>
      <c r="C6" s="45" t="s">
        <v>32</v>
      </c>
      <c r="D6" s="15"/>
      <c r="E6" s="78" t="s">
        <v>157</v>
      </c>
      <c r="F6" s="5"/>
      <c r="G6" s="23"/>
      <c r="H6" s="24">
        <v>0.1433129</v>
      </c>
      <c r="I6" s="25"/>
      <c r="J6" s="78" t="s">
        <v>157</v>
      </c>
      <c r="K6" s="5"/>
      <c r="L6" s="23"/>
      <c r="M6" s="26">
        <f>R6+AL6+AQ6+BU6+DD6+DI6+DN6+DS6+EM6+ER6+EW6+W6+AV6+BK6+BP6+CE6+CO6+CT6+CY6+DX6+EC6+EH6+AB6+AG6+BA6+BZ6+CJ6+BF6</f>
        <v>0.8566871</v>
      </c>
      <c r="N6" s="25"/>
      <c r="O6" s="78" t="s">
        <v>157</v>
      </c>
      <c r="P6" s="5"/>
      <c r="Q6" s="27"/>
      <c r="R6" s="28">
        <v>0.016981</v>
      </c>
      <c r="S6" s="25"/>
      <c r="T6" s="78" t="s">
        <v>157</v>
      </c>
      <c r="U6" s="5"/>
      <c r="V6" s="27"/>
      <c r="W6" s="28">
        <v>0.0040444</v>
      </c>
      <c r="X6" s="25"/>
      <c r="Y6" s="78" t="s">
        <v>157</v>
      </c>
      <c r="Z6" s="5"/>
      <c r="AA6" s="27"/>
      <c r="AB6" s="28">
        <v>0.0009962</v>
      </c>
      <c r="AC6" s="25"/>
      <c r="AD6" s="78" t="s">
        <v>157</v>
      </c>
      <c r="AE6" s="5"/>
      <c r="AF6" s="27"/>
      <c r="AG6" s="28">
        <v>3.64E-05</v>
      </c>
      <c r="AH6" s="25"/>
      <c r="AI6" s="78" t="s">
        <v>157</v>
      </c>
      <c r="AJ6" s="5"/>
      <c r="AK6" s="27"/>
      <c r="AL6" s="28">
        <v>4E-06</v>
      </c>
      <c r="AM6" s="25"/>
      <c r="AN6" s="78" t="s">
        <v>157</v>
      </c>
      <c r="AO6" s="5"/>
      <c r="AP6" s="27"/>
      <c r="AQ6" s="28">
        <v>0.0516906</v>
      </c>
      <c r="AR6" s="25"/>
      <c r="AS6" s="78" t="s">
        <v>157</v>
      </c>
      <c r="AU6" s="27"/>
      <c r="AV6" s="28">
        <v>0.000621</v>
      </c>
      <c r="AW6" s="25"/>
      <c r="AX6" s="78" t="s">
        <v>157</v>
      </c>
      <c r="AZ6" s="27"/>
      <c r="BA6" s="28">
        <v>0.0007247</v>
      </c>
      <c r="BB6" s="25"/>
      <c r="BC6" s="78" t="s">
        <v>157</v>
      </c>
      <c r="BD6" s="75"/>
      <c r="BE6" s="27"/>
      <c r="BF6" s="28">
        <v>3.7E-06</v>
      </c>
      <c r="BG6" s="25"/>
      <c r="BH6" s="78" t="s">
        <v>157</v>
      </c>
      <c r="BJ6" s="27"/>
      <c r="BK6" s="28">
        <v>0.0038365</v>
      </c>
      <c r="BL6" s="25"/>
      <c r="BM6" s="78" t="s">
        <v>157</v>
      </c>
      <c r="BO6" s="27"/>
      <c r="BP6" s="28">
        <v>0.0021897</v>
      </c>
      <c r="BQ6" s="25"/>
      <c r="BR6" s="78" t="s">
        <v>157</v>
      </c>
      <c r="BT6" s="27"/>
      <c r="BU6" s="28">
        <v>0.0242091</v>
      </c>
      <c r="BV6" s="25"/>
      <c r="BW6" s="78" t="s">
        <v>157</v>
      </c>
      <c r="BY6" s="27"/>
      <c r="BZ6" s="28">
        <v>0.0001775</v>
      </c>
      <c r="CA6" s="25"/>
      <c r="CB6" s="78" t="s">
        <v>157</v>
      </c>
      <c r="CD6" s="27"/>
      <c r="CE6" s="28">
        <v>0.006347</v>
      </c>
      <c r="CF6" s="25"/>
      <c r="CG6" s="78" t="s">
        <v>157</v>
      </c>
      <c r="CI6" s="27"/>
      <c r="CJ6" s="28">
        <v>0.0149498</v>
      </c>
      <c r="CK6" s="25"/>
      <c r="CL6" s="78" t="s">
        <v>157</v>
      </c>
      <c r="CN6" s="27"/>
      <c r="CO6" s="28">
        <v>0.0058519</v>
      </c>
      <c r="CP6" s="25"/>
      <c r="CQ6" s="78" t="s">
        <v>157</v>
      </c>
      <c r="CS6" s="27"/>
      <c r="CT6" s="28">
        <v>0.0072492</v>
      </c>
      <c r="CU6" s="25"/>
      <c r="CV6" s="78" t="s">
        <v>157</v>
      </c>
      <c r="CX6" s="27"/>
      <c r="CY6" s="28">
        <v>0.0008385</v>
      </c>
      <c r="CZ6" s="25"/>
      <c r="DA6" s="78" t="s">
        <v>157</v>
      </c>
      <c r="DC6" s="27"/>
      <c r="DD6" s="28">
        <v>0.0886368</v>
      </c>
      <c r="DE6" s="25"/>
      <c r="DF6" s="78" t="s">
        <v>157</v>
      </c>
      <c r="DH6" s="27"/>
      <c r="DI6" s="28">
        <v>0.0843822</v>
      </c>
      <c r="DJ6" s="25"/>
      <c r="DK6" s="78" t="s">
        <v>157</v>
      </c>
      <c r="DM6" s="27"/>
      <c r="DN6" s="28">
        <v>0.0020006</v>
      </c>
      <c r="DO6" s="25"/>
      <c r="DP6" s="78" t="s">
        <v>157</v>
      </c>
      <c r="DR6" s="27"/>
      <c r="DS6" s="28">
        <v>0.143336</v>
      </c>
      <c r="DT6" s="25"/>
      <c r="DU6" s="78" t="s">
        <v>157</v>
      </c>
      <c r="DW6" s="27"/>
      <c r="DX6" s="28">
        <v>0.1843179</v>
      </c>
      <c r="DY6" s="25"/>
      <c r="DZ6" s="78" t="s">
        <v>157</v>
      </c>
      <c r="EB6" s="27"/>
      <c r="EC6" s="28">
        <v>0.0057512</v>
      </c>
      <c r="ED6" s="25"/>
      <c r="EE6" s="78" t="s">
        <v>157</v>
      </c>
      <c r="EG6" s="27"/>
      <c r="EH6" s="28">
        <v>0.0157699</v>
      </c>
      <c r="EI6" s="25"/>
      <c r="EJ6" s="78" t="s">
        <v>157</v>
      </c>
      <c r="EL6" s="27"/>
      <c r="EM6" s="28">
        <v>0.1113149</v>
      </c>
      <c r="EN6" s="25"/>
      <c r="EO6" s="78" t="s">
        <v>157</v>
      </c>
      <c r="EP6" s="29"/>
      <c r="EQ6" s="27"/>
      <c r="ER6" s="28">
        <v>0.0804264</v>
      </c>
      <c r="ES6" s="25"/>
      <c r="ET6" s="78" t="s">
        <v>157</v>
      </c>
      <c r="EV6" s="27"/>
      <c r="EW6" s="28"/>
      <c r="EX6" s="30"/>
    </row>
    <row r="7" spans="1:154" ht="12.75">
      <c r="A7" s="31"/>
      <c r="B7" s="32" t="s">
        <v>29</v>
      </c>
      <c r="C7" s="32" t="s">
        <v>30</v>
      </c>
      <c r="D7" s="32" t="s">
        <v>31</v>
      </c>
      <c r="E7" s="32" t="s">
        <v>158</v>
      </c>
      <c r="G7" s="32" t="s">
        <v>29</v>
      </c>
      <c r="H7" s="32" t="s">
        <v>30</v>
      </c>
      <c r="I7" s="32" t="s">
        <v>31</v>
      </c>
      <c r="J7" s="32" t="s">
        <v>158</v>
      </c>
      <c r="L7" s="32" t="s">
        <v>29</v>
      </c>
      <c r="M7" s="32" t="s">
        <v>30</v>
      </c>
      <c r="N7" s="32" t="s">
        <v>31</v>
      </c>
      <c r="O7" s="32" t="s">
        <v>158</v>
      </c>
      <c r="Q7" s="33" t="s">
        <v>29</v>
      </c>
      <c r="R7" s="33" t="s">
        <v>30</v>
      </c>
      <c r="S7" s="33" t="s">
        <v>31</v>
      </c>
      <c r="T7" s="32" t="s">
        <v>158</v>
      </c>
      <c r="V7" s="33" t="s">
        <v>29</v>
      </c>
      <c r="W7" s="33" t="s">
        <v>30</v>
      </c>
      <c r="X7" s="33" t="s">
        <v>31</v>
      </c>
      <c r="Y7" s="32" t="s">
        <v>158</v>
      </c>
      <c r="AA7" s="33" t="s">
        <v>29</v>
      </c>
      <c r="AB7" s="33" t="s">
        <v>30</v>
      </c>
      <c r="AC7" s="33" t="s">
        <v>31</v>
      </c>
      <c r="AD7" s="32" t="s">
        <v>158</v>
      </c>
      <c r="AF7" s="33" t="s">
        <v>29</v>
      </c>
      <c r="AG7" s="33" t="s">
        <v>30</v>
      </c>
      <c r="AH7" s="33" t="s">
        <v>31</v>
      </c>
      <c r="AI7" s="32" t="s">
        <v>158</v>
      </c>
      <c r="AK7" s="33" t="s">
        <v>29</v>
      </c>
      <c r="AL7" s="33" t="s">
        <v>30</v>
      </c>
      <c r="AM7" s="33" t="s">
        <v>31</v>
      </c>
      <c r="AN7" s="32" t="s">
        <v>158</v>
      </c>
      <c r="AP7" s="33" t="s">
        <v>29</v>
      </c>
      <c r="AQ7" s="33" t="s">
        <v>30</v>
      </c>
      <c r="AR7" s="33" t="s">
        <v>31</v>
      </c>
      <c r="AS7" s="32" t="s">
        <v>158</v>
      </c>
      <c r="AU7" s="33" t="s">
        <v>29</v>
      </c>
      <c r="AV7" s="33" t="s">
        <v>30</v>
      </c>
      <c r="AW7" s="33" t="s">
        <v>31</v>
      </c>
      <c r="AX7" s="32" t="s">
        <v>158</v>
      </c>
      <c r="AZ7" s="33" t="s">
        <v>29</v>
      </c>
      <c r="BA7" s="33" t="s">
        <v>30</v>
      </c>
      <c r="BB7" s="33" t="s">
        <v>31</v>
      </c>
      <c r="BC7" s="32" t="s">
        <v>158</v>
      </c>
      <c r="BD7" s="34"/>
      <c r="BE7" s="33" t="s">
        <v>29</v>
      </c>
      <c r="BF7" s="33" t="s">
        <v>30</v>
      </c>
      <c r="BG7" s="33" t="s">
        <v>31</v>
      </c>
      <c r="BH7" s="32" t="s">
        <v>158</v>
      </c>
      <c r="BJ7" s="33" t="s">
        <v>29</v>
      </c>
      <c r="BK7" s="33" t="s">
        <v>30</v>
      </c>
      <c r="BL7" s="33" t="s">
        <v>31</v>
      </c>
      <c r="BM7" s="32" t="s">
        <v>158</v>
      </c>
      <c r="BO7" s="33" t="s">
        <v>29</v>
      </c>
      <c r="BP7" s="33" t="s">
        <v>30</v>
      </c>
      <c r="BQ7" s="33" t="s">
        <v>31</v>
      </c>
      <c r="BR7" s="32" t="s">
        <v>158</v>
      </c>
      <c r="BT7" s="33" t="s">
        <v>29</v>
      </c>
      <c r="BU7" s="33" t="s">
        <v>30</v>
      </c>
      <c r="BV7" s="33" t="s">
        <v>31</v>
      </c>
      <c r="BW7" s="32" t="s">
        <v>158</v>
      </c>
      <c r="BY7" s="33" t="s">
        <v>29</v>
      </c>
      <c r="BZ7" s="33" t="s">
        <v>30</v>
      </c>
      <c r="CA7" s="33" t="s">
        <v>31</v>
      </c>
      <c r="CB7" s="32" t="s">
        <v>158</v>
      </c>
      <c r="CD7" s="33" t="s">
        <v>29</v>
      </c>
      <c r="CE7" s="33" t="s">
        <v>30</v>
      </c>
      <c r="CF7" s="33" t="s">
        <v>31</v>
      </c>
      <c r="CG7" s="32" t="s">
        <v>158</v>
      </c>
      <c r="CI7" s="33" t="s">
        <v>29</v>
      </c>
      <c r="CJ7" s="33" t="s">
        <v>30</v>
      </c>
      <c r="CK7" s="33" t="s">
        <v>31</v>
      </c>
      <c r="CL7" s="32" t="s">
        <v>158</v>
      </c>
      <c r="CN7" s="33" t="s">
        <v>29</v>
      </c>
      <c r="CO7" s="33" t="s">
        <v>30</v>
      </c>
      <c r="CP7" s="33" t="s">
        <v>31</v>
      </c>
      <c r="CQ7" s="32" t="s">
        <v>158</v>
      </c>
      <c r="CS7" s="33" t="s">
        <v>29</v>
      </c>
      <c r="CT7" s="33" t="s">
        <v>30</v>
      </c>
      <c r="CU7" s="33" t="s">
        <v>31</v>
      </c>
      <c r="CV7" s="32" t="s">
        <v>158</v>
      </c>
      <c r="CX7" s="33" t="s">
        <v>29</v>
      </c>
      <c r="CY7" s="33" t="s">
        <v>30</v>
      </c>
      <c r="CZ7" s="33" t="s">
        <v>31</v>
      </c>
      <c r="DA7" s="32" t="s">
        <v>158</v>
      </c>
      <c r="DC7" s="33" t="s">
        <v>29</v>
      </c>
      <c r="DD7" s="33" t="s">
        <v>30</v>
      </c>
      <c r="DE7" s="33" t="s">
        <v>31</v>
      </c>
      <c r="DF7" s="32" t="s">
        <v>158</v>
      </c>
      <c r="DH7" s="33" t="s">
        <v>29</v>
      </c>
      <c r="DI7" s="33" t="s">
        <v>30</v>
      </c>
      <c r="DJ7" s="33" t="s">
        <v>31</v>
      </c>
      <c r="DK7" s="32" t="s">
        <v>158</v>
      </c>
      <c r="DM7" s="33" t="s">
        <v>29</v>
      </c>
      <c r="DN7" s="33" t="s">
        <v>30</v>
      </c>
      <c r="DO7" s="33" t="s">
        <v>31</v>
      </c>
      <c r="DP7" s="32" t="s">
        <v>158</v>
      </c>
      <c r="DR7" s="33" t="s">
        <v>29</v>
      </c>
      <c r="DS7" s="33" t="s">
        <v>30</v>
      </c>
      <c r="DT7" s="33" t="s">
        <v>31</v>
      </c>
      <c r="DU7" s="32" t="s">
        <v>158</v>
      </c>
      <c r="DW7" s="33" t="s">
        <v>29</v>
      </c>
      <c r="DX7" s="33" t="s">
        <v>30</v>
      </c>
      <c r="DY7" s="33" t="s">
        <v>31</v>
      </c>
      <c r="DZ7" s="32" t="s">
        <v>158</v>
      </c>
      <c r="EB7" s="33" t="s">
        <v>29</v>
      </c>
      <c r="EC7" s="33" t="s">
        <v>30</v>
      </c>
      <c r="ED7" s="33" t="s">
        <v>31</v>
      </c>
      <c r="EE7" s="32" t="s">
        <v>158</v>
      </c>
      <c r="EG7" s="33" t="s">
        <v>29</v>
      </c>
      <c r="EH7" s="33" t="s">
        <v>30</v>
      </c>
      <c r="EI7" s="33" t="s">
        <v>31</v>
      </c>
      <c r="EJ7" s="32" t="s">
        <v>158</v>
      </c>
      <c r="EL7" s="33" t="s">
        <v>29</v>
      </c>
      <c r="EM7" s="33" t="s">
        <v>30</v>
      </c>
      <c r="EN7" s="33" t="s">
        <v>31</v>
      </c>
      <c r="EO7" s="32" t="s">
        <v>158</v>
      </c>
      <c r="EP7" s="34"/>
      <c r="EQ7" s="33" t="s">
        <v>29</v>
      </c>
      <c r="ER7" s="33" t="s">
        <v>30</v>
      </c>
      <c r="ES7" s="33" t="s">
        <v>31</v>
      </c>
      <c r="ET7" s="32" t="s">
        <v>158</v>
      </c>
      <c r="EV7" s="33" t="s">
        <v>29</v>
      </c>
      <c r="EW7" s="33" t="s">
        <v>30</v>
      </c>
      <c r="EX7" s="33" t="s">
        <v>31</v>
      </c>
    </row>
    <row r="8" spans="1:193" ht="12.75">
      <c r="A8" s="40">
        <v>43374</v>
      </c>
      <c r="B8" s="77"/>
      <c r="C8" s="77">
        <v>1308607</v>
      </c>
      <c r="D8" s="37">
        <f aca="true" t="shared" si="0" ref="D8:D31">B8+C8</f>
        <v>1308607</v>
      </c>
      <c r="E8" s="37">
        <v>71341</v>
      </c>
      <c r="G8" s="38"/>
      <c r="H8" s="38">
        <v>187540.2641303</v>
      </c>
      <c r="I8" s="38">
        <f aca="true" t="shared" si="1" ref="I8:I31">G8+H8</f>
        <v>187540.2641303</v>
      </c>
      <c r="J8" s="76">
        <v>10224.0855989</v>
      </c>
      <c r="L8" s="38"/>
      <c r="M8" s="37">
        <f aca="true" t="shared" si="2" ref="M8:O31">R8+AL8+AQ8+AV8+BK8+BP8+BU8+CO8+CY8+DD8+DI8+DN8+DS8+DX8+EM8+ER8+EW8+W8+CE8+CT8+EC8+EH8+AB8+AG8+BA8+BZ8+CJ8+BF8</f>
        <v>1121066.7358697</v>
      </c>
      <c r="N8" s="5">
        <f aca="true" t="shared" si="3" ref="N8:N31">L8+M8</f>
        <v>1121066.7358697</v>
      </c>
      <c r="O8" s="37">
        <f t="shared" si="2"/>
        <v>61116.36507539999</v>
      </c>
      <c r="Q8" s="38"/>
      <c r="R8" s="38">
        <f aca="true" t="shared" si="4" ref="R8:R31">C8*$R$6</f>
        <v>22221.455467</v>
      </c>
      <c r="S8" s="5">
        <f aca="true" t="shared" si="5" ref="S8:S31">Q8+R8</f>
        <v>22221.455467</v>
      </c>
      <c r="T8" s="38">
        <f aca="true" t="shared" si="6" ref="T8:T31">R$6*$E8</f>
        <v>1211.441521</v>
      </c>
      <c r="W8" s="38">
        <f aca="true" t="shared" si="7" ref="W8:W31">C8*$W$6</f>
        <v>5292.5301508</v>
      </c>
      <c r="X8" s="38">
        <f aca="true" t="shared" si="8" ref="X8:X31">V8+W8</f>
        <v>5292.5301508</v>
      </c>
      <c r="Y8" s="38">
        <f aca="true" t="shared" si="9" ref="Y8:Y31">W$6*$E8</f>
        <v>288.5315404</v>
      </c>
      <c r="AB8" s="5">
        <f aca="true" t="shared" si="10" ref="AB8:AB31">C8*$AB$6</f>
        <v>1303.6342934000002</v>
      </c>
      <c r="AC8" s="5">
        <f aca="true" t="shared" si="11" ref="AC8:AC31">AA8+AB8</f>
        <v>1303.6342934000002</v>
      </c>
      <c r="AD8" s="38">
        <f aca="true" t="shared" si="12" ref="AD8:AD31">AB$6*$E8</f>
        <v>71.0699042</v>
      </c>
      <c r="AG8" s="5">
        <f aca="true" t="shared" si="13" ref="AG8:AG31">C8*$AG$6</f>
        <v>47.633294799999994</v>
      </c>
      <c r="AH8" s="5">
        <f aca="true" t="shared" si="14" ref="AH8:AH31">AF8+AG8</f>
        <v>47.633294799999994</v>
      </c>
      <c r="AI8" s="38">
        <f aca="true" t="shared" si="15" ref="AI8:AI31">AG$6*$E8</f>
        <v>2.5968123999999997</v>
      </c>
      <c r="AK8" s="38"/>
      <c r="AL8" s="38">
        <f aca="true" t="shared" si="16" ref="AL8:AL31">C8*$AL$6</f>
        <v>5.234427999999999</v>
      </c>
      <c r="AM8" s="5">
        <f aca="true" t="shared" si="17" ref="AM8:AM31">AK8+AL8</f>
        <v>5.234427999999999</v>
      </c>
      <c r="AN8" s="38"/>
      <c r="AP8" s="38"/>
      <c r="AQ8" s="38">
        <f aca="true" t="shared" si="18" ref="AQ8:AQ31">C8*$AQ$6</f>
        <v>67642.68099420001</v>
      </c>
      <c r="AR8" s="5">
        <f aca="true" t="shared" si="19" ref="AR8:AR31">AP8+AQ8</f>
        <v>67642.68099420001</v>
      </c>
      <c r="AS8" s="38">
        <f aca="true" t="shared" si="20" ref="AS8:AS31">AQ$6*$E8</f>
        <v>3687.6590946</v>
      </c>
      <c r="AT8" s="5"/>
      <c r="AU8" s="38"/>
      <c r="AV8" s="38">
        <f aca="true" t="shared" si="21" ref="AV8:AV31">C8*$AV$6</f>
        <v>812.644947</v>
      </c>
      <c r="AW8" s="5">
        <f aca="true" t="shared" si="22" ref="AW8:AW31">AU8+AV8</f>
        <v>812.644947</v>
      </c>
      <c r="AX8" s="38">
        <f aca="true" t="shared" si="23" ref="AX8:AX31">AV$6*$E8</f>
        <v>44.302761000000004</v>
      </c>
      <c r="AY8" s="5"/>
      <c r="AZ8" s="38"/>
      <c r="BA8" s="38">
        <f aca="true" t="shared" si="24" ref="BA8:BA31">C8*$BA$6</f>
        <v>948.3474929</v>
      </c>
      <c r="BB8" s="5">
        <f aca="true" t="shared" si="25" ref="BB8:BB31">AZ8+BA8</f>
        <v>948.3474929</v>
      </c>
      <c r="BC8" s="38">
        <f aca="true" t="shared" si="26" ref="BC8:BC31">BA$6*$E8</f>
        <v>51.700822699999996</v>
      </c>
      <c r="BD8" s="5"/>
      <c r="BE8" s="38"/>
      <c r="BF8" s="38">
        <f aca="true" t="shared" si="27" ref="BF8:BF31">C8*$BF$6</f>
        <v>4.8418459</v>
      </c>
      <c r="BG8" s="5">
        <f aca="true" t="shared" si="28" ref="BG8:BG31">BE8+BF8</f>
        <v>4.8418459</v>
      </c>
      <c r="BH8" s="38"/>
      <c r="BI8" s="5"/>
      <c r="BJ8" s="38"/>
      <c r="BK8" s="38">
        <f aca="true" t="shared" si="29" ref="BK8:BK31">C8*$BK$6</f>
        <v>5020.4707555</v>
      </c>
      <c r="BL8" s="5">
        <f aca="true" t="shared" si="30" ref="BL8:BL31">BJ8+BK8</f>
        <v>5020.4707555</v>
      </c>
      <c r="BM8" s="38">
        <f aca="true" t="shared" si="31" ref="BM8:BM31">BK$6*$E8</f>
        <v>273.6997465</v>
      </c>
      <c r="BN8" s="5"/>
      <c r="BO8" s="5"/>
      <c r="BP8" s="5">
        <f aca="true" t="shared" si="32" ref="BP8:BP31">C8*$BP$6</f>
        <v>2865.4567479</v>
      </c>
      <c r="BQ8" s="5">
        <f aca="true" t="shared" si="33" ref="BQ8:BQ31">BO8+BP8</f>
        <v>2865.4567479</v>
      </c>
      <c r="BR8" s="38">
        <f aca="true" t="shared" si="34" ref="BR8:BR31">BP$6*$E8</f>
        <v>156.2153877</v>
      </c>
      <c r="BS8" s="5"/>
      <c r="BT8" s="38"/>
      <c r="BU8" s="38">
        <f aca="true" t="shared" si="35" ref="BU8:BU31">C8*$BU$6</f>
        <v>31680.1977237</v>
      </c>
      <c r="BV8" s="5">
        <f aca="true" t="shared" si="36" ref="BV8:BV31">BT8+BU8</f>
        <v>31680.1977237</v>
      </c>
      <c r="BW8" s="38">
        <f aca="true" t="shared" si="37" ref="BW8:BW31">BU$6*$E8</f>
        <v>1727.1014031</v>
      </c>
      <c r="BX8" s="5"/>
      <c r="BY8" s="38"/>
      <c r="BZ8" s="38">
        <f aca="true" t="shared" si="38" ref="BZ8:BZ31">C8*$BZ$6</f>
        <v>232.27774250000002</v>
      </c>
      <c r="CA8" s="5">
        <f aca="true" t="shared" si="39" ref="CA8:CA31">BY8+BZ8</f>
        <v>232.27774250000002</v>
      </c>
      <c r="CB8" s="38">
        <f aca="true" t="shared" si="40" ref="CB8:CB31">BZ$6*$E8</f>
        <v>12.6630275</v>
      </c>
      <c r="CC8" s="5"/>
      <c r="CD8" s="5"/>
      <c r="CE8" s="38">
        <f aca="true" t="shared" si="41" ref="CE8:CE31">C8*$CE$6</f>
        <v>8305.728629000001</v>
      </c>
      <c r="CF8" s="38">
        <f aca="true" t="shared" si="42" ref="CF8:CF31">CD8+CE8</f>
        <v>8305.728629000001</v>
      </c>
      <c r="CG8" s="38">
        <f aca="true" t="shared" si="43" ref="CG8:CG31">CE$6*$E8</f>
        <v>452.801327</v>
      </c>
      <c r="CH8" s="5"/>
      <c r="CI8" s="5"/>
      <c r="CJ8" s="38">
        <f aca="true" t="shared" si="44" ref="CJ8:CJ31">C8*$CJ$6</f>
        <v>19563.4129286</v>
      </c>
      <c r="CK8" s="38">
        <f aca="true" t="shared" si="45" ref="CK8:CK31">CI8+CJ8</f>
        <v>19563.4129286</v>
      </c>
      <c r="CL8" s="38">
        <f aca="true" t="shared" si="46" ref="CL8:CL31">CJ$6*$E8</f>
        <v>1066.5336817999998</v>
      </c>
      <c r="CM8" s="5"/>
      <c r="CN8" s="38"/>
      <c r="CO8" s="38">
        <f aca="true" t="shared" si="47" ref="CO8:CO31">C8*$CO$6</f>
        <v>7657.8373033</v>
      </c>
      <c r="CP8" s="5">
        <f aca="true" t="shared" si="48" ref="CP8:CP31">CN8+CO8</f>
        <v>7657.8373033</v>
      </c>
      <c r="CQ8" s="38">
        <f aca="true" t="shared" si="49" ref="CQ8:CQ31">CO$6*$E8</f>
        <v>417.4803979</v>
      </c>
      <c r="CR8" s="5"/>
      <c r="CS8" s="5"/>
      <c r="CT8" s="38">
        <f aca="true" t="shared" si="50" ref="CT8:CT31">C8*$CT$6</f>
        <v>9486.3538644</v>
      </c>
      <c r="CU8" s="38">
        <f aca="true" t="shared" si="51" ref="CU8:CU31">CS8+CT8</f>
        <v>9486.3538644</v>
      </c>
      <c r="CV8" s="38">
        <f aca="true" t="shared" si="52" ref="CV8:CV31">CT$6*$E8</f>
        <v>517.1651772</v>
      </c>
      <c r="CW8" s="5"/>
      <c r="CX8" s="5"/>
      <c r="CY8" s="5">
        <f aca="true" t="shared" si="53" ref="CY8:CY31">C8*$CY$6</f>
        <v>1097.2669695</v>
      </c>
      <c r="CZ8" s="5">
        <f aca="true" t="shared" si="54" ref="CZ8:CZ31">CX8+CY8</f>
        <v>1097.2669695</v>
      </c>
      <c r="DA8" s="38">
        <f aca="true" t="shared" si="55" ref="DA8:DA31">CY$6*$E8</f>
        <v>59.8194285</v>
      </c>
      <c r="DB8" s="5"/>
      <c r="DC8" s="38"/>
      <c r="DD8" s="38">
        <f aca="true" t="shared" si="56" ref="DD8:DD31">C8*$DD$6</f>
        <v>115990.7369376</v>
      </c>
      <c r="DE8" s="5">
        <f aca="true" t="shared" si="57" ref="DE8:DE31">DC8+DD8</f>
        <v>115990.7369376</v>
      </c>
      <c r="DF8" s="38">
        <f aca="true" t="shared" si="58" ref="DF8:DF31">DD$6*$E8</f>
        <v>6323.4379488</v>
      </c>
      <c r="DG8" s="5"/>
      <c r="DH8" s="38"/>
      <c r="DI8" s="38">
        <f aca="true" t="shared" si="59" ref="DI8:DI31">C8*$DI$6</f>
        <v>110423.13759540001</v>
      </c>
      <c r="DJ8" s="5">
        <f aca="true" t="shared" si="60" ref="DJ8:DJ31">DH8+DI8</f>
        <v>110423.13759540001</v>
      </c>
      <c r="DK8" s="38">
        <f aca="true" t="shared" si="61" ref="DK8:DK31">DI$6*$E8</f>
        <v>6019.910530200001</v>
      </c>
      <c r="DL8" s="5"/>
      <c r="DM8" s="38"/>
      <c r="DN8" s="38">
        <f aca="true" t="shared" si="62" ref="DN8:DN31">C8*$DN$6</f>
        <v>2617.9991642</v>
      </c>
      <c r="DO8" s="5">
        <f aca="true" t="shared" si="63" ref="DO8:DO31">DM8+DN8</f>
        <v>2617.9991642</v>
      </c>
      <c r="DP8" s="38">
        <f aca="true" t="shared" si="64" ref="DP8:DP31">DN$6*$E8</f>
        <v>142.7248046</v>
      </c>
      <c r="DQ8" s="5"/>
      <c r="DR8" s="38"/>
      <c r="DS8" s="38">
        <f aca="true" t="shared" si="65" ref="DS8:DS31">C8*$DS$6</f>
        <v>187570.492952</v>
      </c>
      <c r="DT8" s="5">
        <f aca="true" t="shared" si="66" ref="DT8:DT31">DR8+DS8</f>
        <v>187570.492952</v>
      </c>
      <c r="DU8" s="38">
        <f aca="true" t="shared" si="67" ref="DU8:DU31">DS$6*$E8</f>
        <v>10225.733575999999</v>
      </c>
      <c r="DV8" s="5"/>
      <c r="DW8" s="38"/>
      <c r="DX8" s="38">
        <f aca="true" t="shared" si="68" ref="DX8:DX31">C8*$DX$6</f>
        <v>241199.6941653</v>
      </c>
      <c r="DY8" s="5">
        <f aca="true" t="shared" si="69" ref="DY8:DY31">DW8+DX8</f>
        <v>241199.6941653</v>
      </c>
      <c r="DZ8" s="38">
        <f aca="true" t="shared" si="70" ref="DZ8:DZ31">DX$6*$E8</f>
        <v>13149.423303900001</v>
      </c>
      <c r="EA8" s="5"/>
      <c r="EB8" s="5"/>
      <c r="EC8" s="38">
        <f aca="true" t="shared" si="71" ref="EC8:EC31">C8*$EC$6</f>
        <v>7526.0605784</v>
      </c>
      <c r="ED8" s="38">
        <f aca="true" t="shared" si="72" ref="ED8:ED31">EB8+EC8</f>
        <v>7526.0605784</v>
      </c>
      <c r="EE8" s="38">
        <f aca="true" t="shared" si="73" ref="EE8:EE31">EC$6*$E8</f>
        <v>410.2963592</v>
      </c>
      <c r="EF8" s="5"/>
      <c r="EG8" s="5"/>
      <c r="EH8" s="38">
        <f aca="true" t="shared" si="74" ref="EH8:EH31">C8*$EH$6</f>
        <v>20636.6015293</v>
      </c>
      <c r="EI8" s="38">
        <f aca="true" t="shared" si="75" ref="EI8:EI31">EG8+EH8</f>
        <v>20636.6015293</v>
      </c>
      <c r="EJ8" s="38">
        <f aca="true" t="shared" si="76" ref="EJ8:EJ31">EH$6*$E8</f>
        <v>1125.0404359</v>
      </c>
      <c r="EK8" s="5"/>
      <c r="EL8" s="38"/>
      <c r="EM8" s="38">
        <f aca="true" t="shared" si="77" ref="EM8:EM31">C8*$EM$6</f>
        <v>145667.4573443</v>
      </c>
      <c r="EN8" s="5">
        <f aca="true" t="shared" si="78" ref="EN8:EN31">EL8+EM8</f>
        <v>145667.4573443</v>
      </c>
      <c r="EO8" s="38">
        <f aca="true" t="shared" si="79" ref="EO8:EO31">EM$6*$E8</f>
        <v>7941.3162809</v>
      </c>
      <c r="EP8" s="5"/>
      <c r="EQ8" s="38"/>
      <c r="ER8" s="38">
        <f aca="true" t="shared" si="80" ref="ER8:ER31">C8*$ER$6</f>
        <v>105246.55002479999</v>
      </c>
      <c r="ES8" s="5">
        <f aca="true" t="shared" si="81" ref="ES8:ES31">EQ8+ER8</f>
        <v>105246.55002479999</v>
      </c>
      <c r="ET8" s="38">
        <f aca="true" t="shared" si="82" ref="ET8:ET31">ER$6*$E8</f>
        <v>5737.6998023999995</v>
      </c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</row>
    <row r="9" spans="1:193" ht="12.75">
      <c r="A9" s="40">
        <v>43556</v>
      </c>
      <c r="B9" s="77">
        <v>5705000</v>
      </c>
      <c r="C9" s="77">
        <v>1308607</v>
      </c>
      <c r="D9" s="37">
        <f t="shared" si="0"/>
        <v>7013607</v>
      </c>
      <c r="E9" s="37">
        <v>71341</v>
      </c>
      <c r="G9" s="38">
        <v>817600.0945000001</v>
      </c>
      <c r="H9" s="38">
        <v>187540.2641303</v>
      </c>
      <c r="I9" s="38">
        <f t="shared" si="1"/>
        <v>1005140.3586303002</v>
      </c>
      <c r="J9" s="76">
        <v>10224.0855989</v>
      </c>
      <c r="L9" s="38">
        <f>Q9+V9+AA9+AK9+AP9+AU9+BJ9+BO9+BT9+CD9+CN9+CS9+CX9+DC9+DH9+DM9+DR9+DW9+EB9+EG9+EL9+EQ9+EV9+AF9+AZ9+BY9+CI9+BE9</f>
        <v>4887399.905499999</v>
      </c>
      <c r="M9" s="37">
        <f t="shared" si="2"/>
        <v>1121066.7358697</v>
      </c>
      <c r="N9" s="5">
        <f t="shared" si="3"/>
        <v>6008466.6413696995</v>
      </c>
      <c r="O9" s="37">
        <f t="shared" si="2"/>
        <v>61116.36507539999</v>
      </c>
      <c r="Q9" s="38">
        <f aca="true" t="shared" si="83" ref="Q9:Q31">B9*$R$6</f>
        <v>96876.605</v>
      </c>
      <c r="R9" s="38">
        <f t="shared" si="4"/>
        <v>22221.455467</v>
      </c>
      <c r="S9" s="5">
        <f t="shared" si="5"/>
        <v>119098.060467</v>
      </c>
      <c r="T9" s="38">
        <f t="shared" si="6"/>
        <v>1211.441521</v>
      </c>
      <c r="V9" s="5">
        <f aca="true" t="shared" si="84" ref="V9:V31">B9*$W$6</f>
        <v>23073.302</v>
      </c>
      <c r="W9" s="38">
        <f t="shared" si="7"/>
        <v>5292.5301508</v>
      </c>
      <c r="X9" s="38">
        <f t="shared" si="8"/>
        <v>28365.8321508</v>
      </c>
      <c r="Y9" s="38">
        <f t="shared" si="9"/>
        <v>288.5315404</v>
      </c>
      <c r="AA9" s="5">
        <f aca="true" t="shared" si="85" ref="AA9:AA31">B9*$AB$6</f>
        <v>5683.321</v>
      </c>
      <c r="AB9" s="5">
        <f t="shared" si="10"/>
        <v>1303.6342934000002</v>
      </c>
      <c r="AC9" s="5">
        <f t="shared" si="11"/>
        <v>6986.9552934</v>
      </c>
      <c r="AD9" s="38">
        <f t="shared" si="12"/>
        <v>71.0699042</v>
      </c>
      <c r="AF9" s="5">
        <f aca="true" t="shared" si="86" ref="AF9:AF31">B9*$AG$6</f>
        <v>207.66199999999998</v>
      </c>
      <c r="AG9" s="5">
        <f t="shared" si="13"/>
        <v>47.633294799999994</v>
      </c>
      <c r="AH9" s="5">
        <f t="shared" si="14"/>
        <v>255.29529479999997</v>
      </c>
      <c r="AI9" s="38">
        <f t="shared" si="15"/>
        <v>2.5968123999999997</v>
      </c>
      <c r="AK9" s="38">
        <f aca="true" t="shared" si="87" ref="AK9:AK31">B9*$AL$6</f>
        <v>22.82</v>
      </c>
      <c r="AL9" s="38">
        <f t="shared" si="16"/>
        <v>5.234427999999999</v>
      </c>
      <c r="AM9" s="5">
        <f t="shared" si="17"/>
        <v>28.054428</v>
      </c>
      <c r="AN9" s="38"/>
      <c r="AP9" s="38">
        <f aca="true" t="shared" si="88" ref="AP9:AP31">B9*$AQ$6</f>
        <v>294894.873</v>
      </c>
      <c r="AQ9" s="38">
        <f t="shared" si="18"/>
        <v>67642.68099420001</v>
      </c>
      <c r="AR9" s="5">
        <f t="shared" si="19"/>
        <v>362537.5539942</v>
      </c>
      <c r="AS9" s="38">
        <f t="shared" si="20"/>
        <v>3687.6590946</v>
      </c>
      <c r="AT9" s="5"/>
      <c r="AU9" s="38">
        <f aca="true" t="shared" si="89" ref="AU9:AU31">B9*$AV$6</f>
        <v>3542.8050000000003</v>
      </c>
      <c r="AV9" s="38">
        <f t="shared" si="21"/>
        <v>812.644947</v>
      </c>
      <c r="AW9" s="5">
        <f t="shared" si="22"/>
        <v>4355.449947</v>
      </c>
      <c r="AX9" s="38">
        <f t="shared" si="23"/>
        <v>44.302761000000004</v>
      </c>
      <c r="AY9" s="5"/>
      <c r="AZ9" s="38">
        <f aca="true" t="shared" si="90" ref="AZ9:AZ31">B9*$BA$6</f>
        <v>4134.4135</v>
      </c>
      <c r="BA9" s="38">
        <f t="shared" si="24"/>
        <v>948.3474929</v>
      </c>
      <c r="BB9" s="5">
        <f t="shared" si="25"/>
        <v>5082.7609929</v>
      </c>
      <c r="BC9" s="38">
        <f t="shared" si="26"/>
        <v>51.700822699999996</v>
      </c>
      <c r="BD9" s="5"/>
      <c r="BE9" s="38">
        <f>B9*$BF$6</f>
        <v>21.1085</v>
      </c>
      <c r="BF9" s="38">
        <f t="shared" si="27"/>
        <v>4.8418459</v>
      </c>
      <c r="BG9" s="5">
        <f t="shared" si="28"/>
        <v>25.9503459</v>
      </c>
      <c r="BH9" s="38"/>
      <c r="BI9" s="5"/>
      <c r="BJ9" s="38">
        <f aca="true" t="shared" si="91" ref="BJ9:BJ31">B9*$BK$6</f>
        <v>21887.232500000002</v>
      </c>
      <c r="BK9" s="38">
        <f t="shared" si="29"/>
        <v>5020.4707555</v>
      </c>
      <c r="BL9" s="5">
        <f t="shared" si="30"/>
        <v>26907.703255500004</v>
      </c>
      <c r="BM9" s="38">
        <f t="shared" si="31"/>
        <v>273.6997465</v>
      </c>
      <c r="BN9" s="5"/>
      <c r="BO9" s="5">
        <f aca="true" t="shared" si="92" ref="BO9:BO31">B9*$BP$6</f>
        <v>12492.238500000001</v>
      </c>
      <c r="BP9" s="5">
        <f t="shared" si="32"/>
        <v>2865.4567479</v>
      </c>
      <c r="BQ9" s="5">
        <f t="shared" si="33"/>
        <v>15357.695247900001</v>
      </c>
      <c r="BR9" s="38">
        <f t="shared" si="34"/>
        <v>156.2153877</v>
      </c>
      <c r="BS9" s="5"/>
      <c r="BT9" s="38">
        <f aca="true" t="shared" si="93" ref="BT9:BT31">B9*$BU$6</f>
        <v>138112.9155</v>
      </c>
      <c r="BU9" s="38">
        <f t="shared" si="35"/>
        <v>31680.1977237</v>
      </c>
      <c r="BV9" s="5">
        <f t="shared" si="36"/>
        <v>169793.1132237</v>
      </c>
      <c r="BW9" s="38">
        <f t="shared" si="37"/>
        <v>1727.1014031</v>
      </c>
      <c r="BX9" s="5"/>
      <c r="BY9" s="38">
        <f aca="true" t="shared" si="94" ref="BY9:BY31">B9*$BZ$6</f>
        <v>1012.6375</v>
      </c>
      <c r="BZ9" s="38">
        <f t="shared" si="38"/>
        <v>232.27774250000002</v>
      </c>
      <c r="CA9" s="5">
        <f t="shared" si="39"/>
        <v>1244.9152425</v>
      </c>
      <c r="CB9" s="38">
        <f t="shared" si="40"/>
        <v>12.6630275</v>
      </c>
      <c r="CC9" s="5"/>
      <c r="CD9" s="5">
        <f aca="true" t="shared" si="95" ref="CD9:CD31">B9*$CE$6</f>
        <v>36209.635</v>
      </c>
      <c r="CE9" s="38">
        <f t="shared" si="41"/>
        <v>8305.728629000001</v>
      </c>
      <c r="CF9" s="38">
        <f t="shared" si="42"/>
        <v>44515.363629</v>
      </c>
      <c r="CG9" s="38">
        <f t="shared" si="43"/>
        <v>452.801327</v>
      </c>
      <c r="CH9" s="5"/>
      <c r="CI9" s="5">
        <f aca="true" t="shared" si="96" ref="CI9:CI31">B9*$CJ$6</f>
        <v>85288.609</v>
      </c>
      <c r="CJ9" s="38">
        <f t="shared" si="44"/>
        <v>19563.4129286</v>
      </c>
      <c r="CK9" s="38">
        <f t="shared" si="45"/>
        <v>104852.02192859999</v>
      </c>
      <c r="CL9" s="38">
        <f t="shared" si="46"/>
        <v>1066.5336817999998</v>
      </c>
      <c r="CM9" s="5"/>
      <c r="CN9" s="38">
        <f aca="true" t="shared" si="97" ref="CN9:CN31">B9*$CO$6</f>
        <v>33385.0895</v>
      </c>
      <c r="CO9" s="38">
        <f t="shared" si="47"/>
        <v>7657.8373033</v>
      </c>
      <c r="CP9" s="5">
        <f t="shared" si="48"/>
        <v>41042.926803300004</v>
      </c>
      <c r="CQ9" s="38">
        <f t="shared" si="49"/>
        <v>417.4803979</v>
      </c>
      <c r="CR9" s="5"/>
      <c r="CS9" s="5">
        <f aca="true" t="shared" si="98" ref="CS9:CS31">B9*$CT$6</f>
        <v>41356.686</v>
      </c>
      <c r="CT9" s="38">
        <f t="shared" si="50"/>
        <v>9486.3538644</v>
      </c>
      <c r="CU9" s="38">
        <f t="shared" si="51"/>
        <v>50843.0398644</v>
      </c>
      <c r="CV9" s="38">
        <f t="shared" si="52"/>
        <v>517.1651772</v>
      </c>
      <c r="CW9" s="5"/>
      <c r="CX9" s="5">
        <f aca="true" t="shared" si="99" ref="CX9:CX31">B9*$CY$6</f>
        <v>4783.6425</v>
      </c>
      <c r="CY9" s="5">
        <f t="shared" si="53"/>
        <v>1097.2669695</v>
      </c>
      <c r="CZ9" s="5">
        <f t="shared" si="54"/>
        <v>5880.9094695</v>
      </c>
      <c r="DA9" s="38">
        <f t="shared" si="55"/>
        <v>59.8194285</v>
      </c>
      <c r="DB9" s="5"/>
      <c r="DC9" s="38">
        <f aca="true" t="shared" si="100" ref="DC9:DC31">B9*$DD$6</f>
        <v>505672.944</v>
      </c>
      <c r="DD9" s="38">
        <f t="shared" si="56"/>
        <v>115990.7369376</v>
      </c>
      <c r="DE9" s="5">
        <f t="shared" si="57"/>
        <v>621663.6809376</v>
      </c>
      <c r="DF9" s="38">
        <f t="shared" si="58"/>
        <v>6323.4379488</v>
      </c>
      <c r="DG9" s="5"/>
      <c r="DH9" s="38">
        <f aca="true" t="shared" si="101" ref="DH9:DH31">B9*$DI$6</f>
        <v>481400.451</v>
      </c>
      <c r="DI9" s="38">
        <f t="shared" si="59"/>
        <v>110423.13759540001</v>
      </c>
      <c r="DJ9" s="5">
        <f t="shared" si="60"/>
        <v>591823.5885954</v>
      </c>
      <c r="DK9" s="38">
        <f t="shared" si="61"/>
        <v>6019.910530200001</v>
      </c>
      <c r="DL9" s="5"/>
      <c r="DM9" s="38">
        <f aca="true" t="shared" si="102" ref="DM9:DM31">B9*$DN$6</f>
        <v>11413.422999999999</v>
      </c>
      <c r="DN9" s="38">
        <f t="shared" si="62"/>
        <v>2617.9991642</v>
      </c>
      <c r="DO9" s="5">
        <f t="shared" si="63"/>
        <v>14031.4221642</v>
      </c>
      <c r="DP9" s="38">
        <f t="shared" si="64"/>
        <v>142.7248046</v>
      </c>
      <c r="DQ9" s="5"/>
      <c r="DR9" s="38">
        <f aca="true" t="shared" si="103" ref="DR9:DR31">B9*$DS$6</f>
        <v>817731.88</v>
      </c>
      <c r="DS9" s="38">
        <f t="shared" si="65"/>
        <v>187570.492952</v>
      </c>
      <c r="DT9" s="5">
        <f t="shared" si="66"/>
        <v>1005302.372952</v>
      </c>
      <c r="DU9" s="38">
        <f t="shared" si="67"/>
        <v>10225.733575999999</v>
      </c>
      <c r="DV9" s="5"/>
      <c r="DW9" s="38">
        <f aca="true" t="shared" si="104" ref="DW9:DW31">B9*$DX$6</f>
        <v>1051533.6195</v>
      </c>
      <c r="DX9" s="38">
        <f t="shared" si="68"/>
        <v>241199.6941653</v>
      </c>
      <c r="DY9" s="5">
        <f t="shared" si="69"/>
        <v>1292733.3136653001</v>
      </c>
      <c r="DZ9" s="38">
        <f t="shared" si="70"/>
        <v>13149.423303900001</v>
      </c>
      <c r="EA9" s="5"/>
      <c r="EB9" s="5">
        <f aca="true" t="shared" si="105" ref="EB9:EB31">B9*$EC$6</f>
        <v>32810.596</v>
      </c>
      <c r="EC9" s="38">
        <f t="shared" si="71"/>
        <v>7526.0605784</v>
      </c>
      <c r="ED9" s="38">
        <f t="shared" si="72"/>
        <v>40336.6565784</v>
      </c>
      <c r="EE9" s="38">
        <f t="shared" si="73"/>
        <v>410.2963592</v>
      </c>
      <c r="EF9" s="5"/>
      <c r="EG9" s="5">
        <f aca="true" t="shared" si="106" ref="EG9:EG31">B9*$EH$6</f>
        <v>89967.2795</v>
      </c>
      <c r="EH9" s="38">
        <f t="shared" si="74"/>
        <v>20636.6015293</v>
      </c>
      <c r="EI9" s="38">
        <f t="shared" si="75"/>
        <v>110603.8810293</v>
      </c>
      <c r="EJ9" s="38">
        <f t="shared" si="76"/>
        <v>1125.0404359</v>
      </c>
      <c r="EK9" s="5"/>
      <c r="EL9" s="38">
        <f aca="true" t="shared" si="107" ref="EL9:EL31">B9*$EM$6</f>
        <v>635051.5044999999</v>
      </c>
      <c r="EM9" s="38">
        <f t="shared" si="77"/>
        <v>145667.4573443</v>
      </c>
      <c r="EN9" s="5">
        <f t="shared" si="78"/>
        <v>780718.9618442999</v>
      </c>
      <c r="EO9" s="38">
        <f t="shared" si="79"/>
        <v>7941.3162809</v>
      </c>
      <c r="EP9" s="5"/>
      <c r="EQ9" s="38">
        <f aca="true" t="shared" si="108" ref="EQ9:EQ31">B9*$ER$6</f>
        <v>458832.61199999996</v>
      </c>
      <c r="ER9" s="38">
        <f t="shared" si="80"/>
        <v>105246.55002479999</v>
      </c>
      <c r="ES9" s="5">
        <f t="shared" si="81"/>
        <v>564079.1620248</v>
      </c>
      <c r="ET9" s="38">
        <f t="shared" si="82"/>
        <v>5737.6998023999995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ht="12.75">
      <c r="A10" s="40">
        <v>43739</v>
      </c>
      <c r="B10" s="77"/>
      <c r="C10" s="77">
        <v>1227953</v>
      </c>
      <c r="D10" s="37">
        <f t="shared" si="0"/>
        <v>1227953</v>
      </c>
      <c r="E10" s="37">
        <v>71341</v>
      </c>
      <c r="G10" s="38"/>
      <c r="H10" s="38">
        <v>175981.50549369998</v>
      </c>
      <c r="I10" s="38">
        <f t="shared" si="1"/>
        <v>175981.50549369998</v>
      </c>
      <c r="J10" s="76">
        <v>10224.0855989</v>
      </c>
      <c r="L10" s="38"/>
      <c r="M10" s="37">
        <f t="shared" si="2"/>
        <v>1051971.4945063</v>
      </c>
      <c r="N10" s="5">
        <f t="shared" si="3"/>
        <v>1051971.4945063</v>
      </c>
      <c r="O10" s="37">
        <f t="shared" si="2"/>
        <v>61116.36507539999</v>
      </c>
      <c r="Q10" s="38"/>
      <c r="R10" s="38">
        <f t="shared" si="4"/>
        <v>20851.869893</v>
      </c>
      <c r="S10" s="5">
        <f t="shared" si="5"/>
        <v>20851.869893</v>
      </c>
      <c r="T10" s="38">
        <f t="shared" si="6"/>
        <v>1211.441521</v>
      </c>
      <c r="W10" s="38">
        <f t="shared" si="7"/>
        <v>4966.3331132</v>
      </c>
      <c r="X10" s="38">
        <f t="shared" si="8"/>
        <v>4966.3331132</v>
      </c>
      <c r="Y10" s="38">
        <f t="shared" si="9"/>
        <v>288.5315404</v>
      </c>
      <c r="AB10" s="5">
        <f t="shared" si="10"/>
        <v>1223.2867786</v>
      </c>
      <c r="AC10" s="5">
        <f t="shared" si="11"/>
        <v>1223.2867786</v>
      </c>
      <c r="AD10" s="38">
        <f t="shared" si="12"/>
        <v>71.0699042</v>
      </c>
      <c r="AG10" s="5">
        <f t="shared" si="13"/>
        <v>44.6974892</v>
      </c>
      <c r="AH10" s="5">
        <f t="shared" si="14"/>
        <v>44.6974892</v>
      </c>
      <c r="AI10" s="38">
        <f t="shared" si="15"/>
        <v>2.5968123999999997</v>
      </c>
      <c r="AK10" s="38"/>
      <c r="AL10" s="38">
        <f t="shared" si="16"/>
        <v>4.911811999999999</v>
      </c>
      <c r="AM10" s="5">
        <f t="shared" si="17"/>
        <v>4.911811999999999</v>
      </c>
      <c r="AN10" s="38"/>
      <c r="AP10" s="38"/>
      <c r="AQ10" s="38">
        <f t="shared" si="18"/>
        <v>63473.627341800006</v>
      </c>
      <c r="AR10" s="5">
        <f t="shared" si="19"/>
        <v>63473.627341800006</v>
      </c>
      <c r="AS10" s="38">
        <f t="shared" si="20"/>
        <v>3687.6590946</v>
      </c>
      <c r="AT10" s="5"/>
      <c r="AU10" s="38"/>
      <c r="AV10" s="38">
        <f t="shared" si="21"/>
        <v>762.558813</v>
      </c>
      <c r="AW10" s="5">
        <f t="shared" si="22"/>
        <v>762.558813</v>
      </c>
      <c r="AX10" s="38">
        <f t="shared" si="23"/>
        <v>44.302761000000004</v>
      </c>
      <c r="AY10" s="5"/>
      <c r="AZ10" s="38"/>
      <c r="BA10" s="38">
        <f t="shared" si="24"/>
        <v>889.8975391</v>
      </c>
      <c r="BB10" s="5">
        <f t="shared" si="25"/>
        <v>889.8975391</v>
      </c>
      <c r="BC10" s="38">
        <f t="shared" si="26"/>
        <v>51.700822699999996</v>
      </c>
      <c r="BD10" s="5"/>
      <c r="BE10" s="38"/>
      <c r="BF10" s="38">
        <f t="shared" si="27"/>
        <v>4.5434261000000005</v>
      </c>
      <c r="BG10" s="5">
        <f t="shared" si="28"/>
        <v>4.5434261000000005</v>
      </c>
      <c r="BH10" s="38"/>
      <c r="BI10" s="5"/>
      <c r="BJ10" s="38"/>
      <c r="BK10" s="38">
        <f t="shared" si="29"/>
        <v>4711.0416845</v>
      </c>
      <c r="BL10" s="5">
        <f t="shared" si="30"/>
        <v>4711.0416845</v>
      </c>
      <c r="BM10" s="38">
        <f t="shared" si="31"/>
        <v>273.6997465</v>
      </c>
      <c r="BN10" s="5"/>
      <c r="BO10" s="5"/>
      <c r="BP10" s="5">
        <f t="shared" si="32"/>
        <v>2688.8486841000004</v>
      </c>
      <c r="BQ10" s="5">
        <f t="shared" si="33"/>
        <v>2688.8486841000004</v>
      </c>
      <c r="BR10" s="38">
        <f t="shared" si="34"/>
        <v>156.2153877</v>
      </c>
      <c r="BS10" s="5"/>
      <c r="BT10" s="38"/>
      <c r="BU10" s="38">
        <f t="shared" si="35"/>
        <v>29727.636972300003</v>
      </c>
      <c r="BV10" s="5">
        <f t="shared" si="36"/>
        <v>29727.636972300003</v>
      </c>
      <c r="BW10" s="38">
        <f t="shared" si="37"/>
        <v>1727.1014031</v>
      </c>
      <c r="BX10" s="5"/>
      <c r="BY10" s="38"/>
      <c r="BZ10" s="38">
        <f t="shared" si="38"/>
        <v>217.9616575</v>
      </c>
      <c r="CA10" s="5">
        <f t="shared" si="39"/>
        <v>217.9616575</v>
      </c>
      <c r="CB10" s="38">
        <f t="shared" si="40"/>
        <v>12.6630275</v>
      </c>
      <c r="CC10" s="5"/>
      <c r="CD10" s="5"/>
      <c r="CE10" s="38">
        <f t="shared" si="41"/>
        <v>7793.817691</v>
      </c>
      <c r="CF10" s="38">
        <f t="shared" si="42"/>
        <v>7793.817691</v>
      </c>
      <c r="CG10" s="38">
        <f t="shared" si="43"/>
        <v>452.801327</v>
      </c>
      <c r="CH10" s="5"/>
      <c r="CI10" s="5"/>
      <c r="CJ10" s="38">
        <f t="shared" si="44"/>
        <v>18357.6517594</v>
      </c>
      <c r="CK10" s="38">
        <f t="shared" si="45"/>
        <v>18357.6517594</v>
      </c>
      <c r="CL10" s="38">
        <f t="shared" si="46"/>
        <v>1066.5336817999998</v>
      </c>
      <c r="CM10" s="5"/>
      <c r="CN10" s="38"/>
      <c r="CO10" s="38">
        <f t="shared" si="47"/>
        <v>7185.858160700001</v>
      </c>
      <c r="CP10" s="5">
        <f t="shared" si="48"/>
        <v>7185.858160700001</v>
      </c>
      <c r="CQ10" s="38">
        <f t="shared" si="49"/>
        <v>417.4803979</v>
      </c>
      <c r="CR10" s="5"/>
      <c r="CS10" s="5"/>
      <c r="CT10" s="38">
        <f t="shared" si="50"/>
        <v>8901.6768876</v>
      </c>
      <c r="CU10" s="38">
        <f t="shared" si="51"/>
        <v>8901.6768876</v>
      </c>
      <c r="CV10" s="38">
        <f t="shared" si="52"/>
        <v>517.1651772</v>
      </c>
      <c r="CW10" s="5"/>
      <c r="CX10" s="5"/>
      <c r="CY10" s="5">
        <f t="shared" si="53"/>
        <v>1029.6385905</v>
      </c>
      <c r="CZ10" s="5">
        <f t="shared" si="54"/>
        <v>1029.6385905</v>
      </c>
      <c r="DA10" s="38">
        <f t="shared" si="55"/>
        <v>59.8194285</v>
      </c>
      <c r="DB10" s="5"/>
      <c r="DC10" s="38"/>
      <c r="DD10" s="38">
        <f t="shared" si="56"/>
        <v>108841.8244704</v>
      </c>
      <c r="DE10" s="5">
        <f t="shared" si="57"/>
        <v>108841.8244704</v>
      </c>
      <c r="DF10" s="38">
        <f t="shared" si="58"/>
        <v>6323.4379488</v>
      </c>
      <c r="DG10" s="5"/>
      <c r="DH10" s="38"/>
      <c r="DI10" s="38">
        <f t="shared" si="59"/>
        <v>103617.3756366</v>
      </c>
      <c r="DJ10" s="5">
        <f t="shared" si="60"/>
        <v>103617.3756366</v>
      </c>
      <c r="DK10" s="38">
        <f t="shared" si="61"/>
        <v>6019.910530200001</v>
      </c>
      <c r="DL10" s="5"/>
      <c r="DM10" s="38"/>
      <c r="DN10" s="38">
        <f t="shared" si="62"/>
        <v>2456.6427718</v>
      </c>
      <c r="DO10" s="5">
        <f t="shared" si="63"/>
        <v>2456.6427718</v>
      </c>
      <c r="DP10" s="38">
        <f t="shared" si="64"/>
        <v>142.7248046</v>
      </c>
      <c r="DQ10" s="5"/>
      <c r="DR10" s="38"/>
      <c r="DS10" s="38">
        <f t="shared" si="65"/>
        <v>176009.871208</v>
      </c>
      <c r="DT10" s="5">
        <f t="shared" si="66"/>
        <v>176009.871208</v>
      </c>
      <c r="DU10" s="38">
        <f t="shared" si="67"/>
        <v>10225.733575999999</v>
      </c>
      <c r="DV10" s="5"/>
      <c r="DW10" s="38"/>
      <c r="DX10" s="38">
        <f t="shared" si="68"/>
        <v>226333.7182587</v>
      </c>
      <c r="DY10" s="5">
        <f t="shared" si="69"/>
        <v>226333.7182587</v>
      </c>
      <c r="DZ10" s="38">
        <f t="shared" si="70"/>
        <v>13149.423303900001</v>
      </c>
      <c r="EA10" s="5"/>
      <c r="EB10" s="5"/>
      <c r="EC10" s="38">
        <f t="shared" si="71"/>
        <v>7062.2032936</v>
      </c>
      <c r="ED10" s="38">
        <f t="shared" si="72"/>
        <v>7062.2032936</v>
      </c>
      <c r="EE10" s="38">
        <f t="shared" si="73"/>
        <v>410.2963592</v>
      </c>
      <c r="EF10" s="5"/>
      <c r="EG10" s="5"/>
      <c r="EH10" s="38">
        <f t="shared" si="74"/>
        <v>19364.6960147</v>
      </c>
      <c r="EI10" s="38">
        <f t="shared" si="75"/>
        <v>19364.6960147</v>
      </c>
      <c r="EJ10" s="38">
        <f t="shared" si="76"/>
        <v>1125.0404359</v>
      </c>
      <c r="EK10" s="5"/>
      <c r="EL10" s="38"/>
      <c r="EM10" s="38">
        <f t="shared" si="77"/>
        <v>136689.46539969998</v>
      </c>
      <c r="EN10" s="5">
        <f t="shared" si="78"/>
        <v>136689.46539969998</v>
      </c>
      <c r="EO10" s="38">
        <f t="shared" si="79"/>
        <v>7941.3162809</v>
      </c>
      <c r="EP10" s="5"/>
      <c r="EQ10" s="38"/>
      <c r="ER10" s="38">
        <f t="shared" si="80"/>
        <v>98759.8391592</v>
      </c>
      <c r="ES10" s="5">
        <f t="shared" si="81"/>
        <v>98759.8391592</v>
      </c>
      <c r="ET10" s="38">
        <f t="shared" si="82"/>
        <v>5737.6998023999995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</row>
    <row r="11" spans="1:193" ht="12.75">
      <c r="A11" s="40">
        <v>43922</v>
      </c>
      <c r="B11" s="77">
        <v>5870000</v>
      </c>
      <c r="C11" s="77">
        <v>1227953</v>
      </c>
      <c r="D11" s="37">
        <f t="shared" si="0"/>
        <v>7097953</v>
      </c>
      <c r="E11" s="37">
        <v>71341</v>
      </c>
      <c r="G11" s="38">
        <v>841246.7230000001</v>
      </c>
      <c r="H11" s="38">
        <v>175981.50549369998</v>
      </c>
      <c r="I11" s="38">
        <f t="shared" si="1"/>
        <v>1017228.2284937</v>
      </c>
      <c r="J11" s="76">
        <v>10224.0855989</v>
      </c>
      <c r="L11" s="38">
        <f>Q11+V11+AA11+AK11+AP11+AU11+BJ11+BO11+BT11+CD11+CN11+CS11+CX11+DC11+DH11+DM11+DR11+DW11+EB11+EG11+EL11+EQ11+EV11+AF11+AZ11+BY11+CI11+BE11</f>
        <v>5028753.277000001</v>
      </c>
      <c r="M11" s="37">
        <f t="shared" si="2"/>
        <v>1051971.4945063</v>
      </c>
      <c r="N11" s="5">
        <f t="shared" si="3"/>
        <v>6080724.7715063</v>
      </c>
      <c r="O11" s="37">
        <f t="shared" si="2"/>
        <v>61116.36507539999</v>
      </c>
      <c r="Q11" s="38">
        <f t="shared" si="83"/>
        <v>99678.47</v>
      </c>
      <c r="R11" s="38">
        <f t="shared" si="4"/>
        <v>20851.869893</v>
      </c>
      <c r="S11" s="5">
        <f t="shared" si="5"/>
        <v>120530.339893</v>
      </c>
      <c r="T11" s="38">
        <f t="shared" si="6"/>
        <v>1211.441521</v>
      </c>
      <c r="V11" s="5">
        <f t="shared" si="84"/>
        <v>23740.628</v>
      </c>
      <c r="W11" s="38">
        <f t="shared" si="7"/>
        <v>4966.3331132</v>
      </c>
      <c r="X11" s="38">
        <f t="shared" si="8"/>
        <v>28706.9611132</v>
      </c>
      <c r="Y11" s="38">
        <f t="shared" si="9"/>
        <v>288.5315404</v>
      </c>
      <c r="AA11" s="5">
        <f t="shared" si="85"/>
        <v>5847.694</v>
      </c>
      <c r="AB11" s="5">
        <f t="shared" si="10"/>
        <v>1223.2867786</v>
      </c>
      <c r="AC11" s="5">
        <f t="shared" si="11"/>
        <v>7070.9807786</v>
      </c>
      <c r="AD11" s="38">
        <f t="shared" si="12"/>
        <v>71.0699042</v>
      </c>
      <c r="AF11" s="5">
        <f t="shared" si="86"/>
        <v>213.66799999999998</v>
      </c>
      <c r="AG11" s="5">
        <f t="shared" si="13"/>
        <v>44.6974892</v>
      </c>
      <c r="AH11" s="5">
        <f t="shared" si="14"/>
        <v>258.36548919999996</v>
      </c>
      <c r="AI11" s="38">
        <f t="shared" si="15"/>
        <v>2.5968123999999997</v>
      </c>
      <c r="AK11" s="38">
        <f t="shared" si="87"/>
        <v>23.48</v>
      </c>
      <c r="AL11" s="38">
        <f t="shared" si="16"/>
        <v>4.911811999999999</v>
      </c>
      <c r="AM11" s="5">
        <f t="shared" si="17"/>
        <v>28.391812</v>
      </c>
      <c r="AN11" s="38"/>
      <c r="AP11" s="38">
        <f t="shared" si="88"/>
        <v>303423.82200000004</v>
      </c>
      <c r="AQ11" s="38">
        <f t="shared" si="18"/>
        <v>63473.627341800006</v>
      </c>
      <c r="AR11" s="5">
        <f t="shared" si="19"/>
        <v>366897.44934180006</v>
      </c>
      <c r="AS11" s="38">
        <f t="shared" si="20"/>
        <v>3687.6590946</v>
      </c>
      <c r="AT11" s="5"/>
      <c r="AU11" s="38">
        <f t="shared" si="89"/>
        <v>3645.27</v>
      </c>
      <c r="AV11" s="38">
        <f t="shared" si="21"/>
        <v>762.558813</v>
      </c>
      <c r="AW11" s="5">
        <f t="shared" si="22"/>
        <v>4407.828813</v>
      </c>
      <c r="AX11" s="38">
        <f t="shared" si="23"/>
        <v>44.302761000000004</v>
      </c>
      <c r="AY11" s="5"/>
      <c r="AZ11" s="38">
        <f t="shared" si="90"/>
        <v>4253.989</v>
      </c>
      <c r="BA11" s="38">
        <f t="shared" si="24"/>
        <v>889.8975391</v>
      </c>
      <c r="BB11" s="5">
        <f t="shared" si="25"/>
        <v>5143.8865391</v>
      </c>
      <c r="BC11" s="38">
        <f t="shared" si="26"/>
        <v>51.700822699999996</v>
      </c>
      <c r="BD11" s="5"/>
      <c r="BE11" s="38">
        <f>B11*$BF$6</f>
        <v>21.719</v>
      </c>
      <c r="BF11" s="38">
        <f t="shared" si="27"/>
        <v>4.5434261000000005</v>
      </c>
      <c r="BG11" s="5">
        <f t="shared" si="28"/>
        <v>26.262426100000003</v>
      </c>
      <c r="BH11" s="38"/>
      <c r="BI11" s="5"/>
      <c r="BJ11" s="38">
        <f t="shared" si="91"/>
        <v>22520.255</v>
      </c>
      <c r="BK11" s="38">
        <f t="shared" si="29"/>
        <v>4711.0416845</v>
      </c>
      <c r="BL11" s="5">
        <f t="shared" si="30"/>
        <v>27231.2966845</v>
      </c>
      <c r="BM11" s="38">
        <f t="shared" si="31"/>
        <v>273.6997465</v>
      </c>
      <c r="BN11" s="5"/>
      <c r="BO11" s="5">
        <f t="shared" si="92"/>
        <v>12853.539</v>
      </c>
      <c r="BP11" s="5">
        <f t="shared" si="32"/>
        <v>2688.8486841000004</v>
      </c>
      <c r="BQ11" s="5">
        <f t="shared" si="33"/>
        <v>15542.387684100002</v>
      </c>
      <c r="BR11" s="38">
        <f t="shared" si="34"/>
        <v>156.2153877</v>
      </c>
      <c r="BS11" s="5"/>
      <c r="BT11" s="38">
        <f t="shared" si="93"/>
        <v>142107.41700000002</v>
      </c>
      <c r="BU11" s="38">
        <f t="shared" si="35"/>
        <v>29727.636972300003</v>
      </c>
      <c r="BV11" s="5">
        <f t="shared" si="36"/>
        <v>171835.05397230003</v>
      </c>
      <c r="BW11" s="38">
        <f t="shared" si="37"/>
        <v>1727.1014031</v>
      </c>
      <c r="BX11" s="5"/>
      <c r="BY11" s="38">
        <f t="shared" si="94"/>
        <v>1041.925</v>
      </c>
      <c r="BZ11" s="38">
        <f t="shared" si="38"/>
        <v>217.9616575</v>
      </c>
      <c r="CA11" s="5">
        <f t="shared" si="39"/>
        <v>1259.8866575</v>
      </c>
      <c r="CB11" s="38">
        <f t="shared" si="40"/>
        <v>12.6630275</v>
      </c>
      <c r="CC11" s="5"/>
      <c r="CD11" s="5">
        <f t="shared" si="95"/>
        <v>37256.89</v>
      </c>
      <c r="CE11" s="38">
        <f t="shared" si="41"/>
        <v>7793.817691</v>
      </c>
      <c r="CF11" s="38">
        <f t="shared" si="42"/>
        <v>45050.707691</v>
      </c>
      <c r="CG11" s="38">
        <f t="shared" si="43"/>
        <v>452.801327</v>
      </c>
      <c r="CH11" s="5"/>
      <c r="CI11" s="5">
        <f t="shared" si="96"/>
        <v>87755.326</v>
      </c>
      <c r="CJ11" s="38">
        <f t="shared" si="44"/>
        <v>18357.6517594</v>
      </c>
      <c r="CK11" s="38">
        <f t="shared" si="45"/>
        <v>106112.9777594</v>
      </c>
      <c r="CL11" s="38">
        <f t="shared" si="46"/>
        <v>1066.5336817999998</v>
      </c>
      <c r="CM11" s="5"/>
      <c r="CN11" s="38">
        <f t="shared" si="97"/>
        <v>34350.653</v>
      </c>
      <c r="CO11" s="38">
        <f t="shared" si="47"/>
        <v>7185.858160700001</v>
      </c>
      <c r="CP11" s="5">
        <f t="shared" si="48"/>
        <v>41536.5111607</v>
      </c>
      <c r="CQ11" s="38">
        <f t="shared" si="49"/>
        <v>417.4803979</v>
      </c>
      <c r="CR11" s="5"/>
      <c r="CS11" s="5">
        <f t="shared" si="98"/>
        <v>42552.804</v>
      </c>
      <c r="CT11" s="38">
        <f t="shared" si="50"/>
        <v>8901.6768876</v>
      </c>
      <c r="CU11" s="38">
        <f t="shared" si="51"/>
        <v>51454.480887599995</v>
      </c>
      <c r="CV11" s="38">
        <f t="shared" si="52"/>
        <v>517.1651772</v>
      </c>
      <c r="CW11" s="5"/>
      <c r="CX11" s="5">
        <f t="shared" si="99"/>
        <v>4921.995</v>
      </c>
      <c r="CY11" s="5">
        <f t="shared" si="53"/>
        <v>1029.6385905</v>
      </c>
      <c r="CZ11" s="5">
        <f t="shared" si="54"/>
        <v>5951.6335905</v>
      </c>
      <c r="DA11" s="38">
        <f t="shared" si="55"/>
        <v>59.8194285</v>
      </c>
      <c r="DB11" s="5"/>
      <c r="DC11" s="38">
        <f t="shared" si="100"/>
        <v>520298.016</v>
      </c>
      <c r="DD11" s="38">
        <f t="shared" si="56"/>
        <v>108841.8244704</v>
      </c>
      <c r="DE11" s="5">
        <f t="shared" si="57"/>
        <v>629139.8404703999</v>
      </c>
      <c r="DF11" s="38">
        <f t="shared" si="58"/>
        <v>6323.4379488</v>
      </c>
      <c r="DG11" s="5"/>
      <c r="DH11" s="38">
        <f t="shared" si="101"/>
        <v>495323.514</v>
      </c>
      <c r="DI11" s="38">
        <f t="shared" si="59"/>
        <v>103617.3756366</v>
      </c>
      <c r="DJ11" s="5">
        <f t="shared" si="60"/>
        <v>598940.8896366</v>
      </c>
      <c r="DK11" s="38">
        <f t="shared" si="61"/>
        <v>6019.910530200001</v>
      </c>
      <c r="DL11" s="5"/>
      <c r="DM11" s="38">
        <f t="shared" si="102"/>
        <v>11743.521999999999</v>
      </c>
      <c r="DN11" s="38">
        <f t="shared" si="62"/>
        <v>2456.6427718</v>
      </c>
      <c r="DO11" s="5">
        <f t="shared" si="63"/>
        <v>14200.164771799999</v>
      </c>
      <c r="DP11" s="38">
        <f t="shared" si="64"/>
        <v>142.7248046</v>
      </c>
      <c r="DQ11" s="5"/>
      <c r="DR11" s="38">
        <f t="shared" si="103"/>
        <v>841382.32</v>
      </c>
      <c r="DS11" s="38">
        <f t="shared" si="65"/>
        <v>176009.871208</v>
      </c>
      <c r="DT11" s="5">
        <f t="shared" si="66"/>
        <v>1017392.191208</v>
      </c>
      <c r="DU11" s="38">
        <f t="shared" si="67"/>
        <v>10225.733575999999</v>
      </c>
      <c r="DV11" s="5"/>
      <c r="DW11" s="38">
        <f t="shared" si="104"/>
        <v>1081946.073</v>
      </c>
      <c r="DX11" s="38">
        <f t="shared" si="68"/>
        <v>226333.7182587</v>
      </c>
      <c r="DY11" s="5">
        <f t="shared" si="69"/>
        <v>1308279.7912587002</v>
      </c>
      <c r="DZ11" s="38">
        <f t="shared" si="70"/>
        <v>13149.423303900001</v>
      </c>
      <c r="EA11" s="5"/>
      <c r="EB11" s="5">
        <f t="shared" si="105"/>
        <v>33759.544</v>
      </c>
      <c r="EC11" s="38">
        <f t="shared" si="71"/>
        <v>7062.2032936</v>
      </c>
      <c r="ED11" s="38">
        <f t="shared" si="72"/>
        <v>40821.7472936</v>
      </c>
      <c r="EE11" s="38">
        <f t="shared" si="73"/>
        <v>410.2963592</v>
      </c>
      <c r="EF11" s="5"/>
      <c r="EG11" s="5">
        <f t="shared" si="106"/>
        <v>92569.313</v>
      </c>
      <c r="EH11" s="38">
        <f t="shared" si="74"/>
        <v>19364.6960147</v>
      </c>
      <c r="EI11" s="38">
        <f t="shared" si="75"/>
        <v>111934.00901469999</v>
      </c>
      <c r="EJ11" s="38">
        <f t="shared" si="76"/>
        <v>1125.0404359</v>
      </c>
      <c r="EK11" s="5"/>
      <c r="EL11" s="38">
        <f t="shared" si="107"/>
        <v>653418.463</v>
      </c>
      <c r="EM11" s="38">
        <f t="shared" si="77"/>
        <v>136689.46539969998</v>
      </c>
      <c r="EN11" s="5">
        <f t="shared" si="78"/>
        <v>790107.9283997</v>
      </c>
      <c r="EO11" s="38">
        <f t="shared" si="79"/>
        <v>7941.3162809</v>
      </c>
      <c r="EP11" s="5"/>
      <c r="EQ11" s="38">
        <f t="shared" si="108"/>
        <v>472102.968</v>
      </c>
      <c r="ER11" s="38">
        <f t="shared" si="80"/>
        <v>98759.8391592</v>
      </c>
      <c r="ES11" s="5">
        <f t="shared" si="81"/>
        <v>570862.8071592</v>
      </c>
      <c r="ET11" s="38">
        <f t="shared" si="82"/>
        <v>5737.6998023999995</v>
      </c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ht="12.75">
      <c r="A12" s="40">
        <v>44105</v>
      </c>
      <c r="B12" s="77"/>
      <c r="C12" s="77">
        <v>1142104</v>
      </c>
      <c r="D12" s="37">
        <f t="shared" si="0"/>
        <v>1142104</v>
      </c>
      <c r="E12" s="37">
        <v>71341</v>
      </c>
      <c r="G12" s="38"/>
      <c r="H12" s="38">
        <v>163678.23634160004</v>
      </c>
      <c r="I12" s="38">
        <f t="shared" si="1"/>
        <v>163678.23634160004</v>
      </c>
      <c r="J12" s="76">
        <v>10224.0855989</v>
      </c>
      <c r="L12" s="38"/>
      <c r="M12" s="37">
        <f t="shared" si="2"/>
        <v>978425.7636584</v>
      </c>
      <c r="N12" s="5">
        <f t="shared" si="3"/>
        <v>978425.7636584</v>
      </c>
      <c r="O12" s="37">
        <f t="shared" si="2"/>
        <v>61116.36507539999</v>
      </c>
      <c r="Q12" s="38"/>
      <c r="R12" s="38">
        <f t="shared" si="4"/>
        <v>19394.068024</v>
      </c>
      <c r="S12" s="5">
        <f t="shared" si="5"/>
        <v>19394.068024</v>
      </c>
      <c r="T12" s="38">
        <f t="shared" si="6"/>
        <v>1211.441521</v>
      </c>
      <c r="W12" s="38">
        <f t="shared" si="7"/>
        <v>4619.1254176</v>
      </c>
      <c r="X12" s="38">
        <f t="shared" si="8"/>
        <v>4619.1254176</v>
      </c>
      <c r="Y12" s="38">
        <f t="shared" si="9"/>
        <v>288.5315404</v>
      </c>
      <c r="AB12" s="5">
        <f t="shared" si="10"/>
        <v>1137.7640048</v>
      </c>
      <c r="AC12" s="5">
        <f t="shared" si="11"/>
        <v>1137.7640048</v>
      </c>
      <c r="AD12" s="38">
        <f t="shared" si="12"/>
        <v>71.0699042</v>
      </c>
      <c r="AG12" s="5">
        <f t="shared" si="13"/>
        <v>41.5725856</v>
      </c>
      <c r="AH12" s="5">
        <f t="shared" si="14"/>
        <v>41.5725856</v>
      </c>
      <c r="AI12" s="38">
        <f t="shared" si="15"/>
        <v>2.5968123999999997</v>
      </c>
      <c r="AK12" s="38"/>
      <c r="AL12" s="38">
        <f t="shared" si="16"/>
        <v>4.568416</v>
      </c>
      <c r="AM12" s="5">
        <f t="shared" si="17"/>
        <v>4.568416</v>
      </c>
      <c r="AN12" s="38"/>
      <c r="AP12" s="38"/>
      <c r="AQ12" s="38">
        <f t="shared" si="18"/>
        <v>59036.0410224</v>
      </c>
      <c r="AR12" s="5">
        <f t="shared" si="19"/>
        <v>59036.0410224</v>
      </c>
      <c r="AS12" s="38">
        <f t="shared" si="20"/>
        <v>3687.6590946</v>
      </c>
      <c r="AT12" s="5"/>
      <c r="AU12" s="38"/>
      <c r="AV12" s="38">
        <f t="shared" si="21"/>
        <v>709.246584</v>
      </c>
      <c r="AW12" s="5">
        <f t="shared" si="22"/>
        <v>709.246584</v>
      </c>
      <c r="AX12" s="38">
        <f t="shared" si="23"/>
        <v>44.302761000000004</v>
      </c>
      <c r="AY12" s="5"/>
      <c r="AZ12" s="38"/>
      <c r="BA12" s="38">
        <f t="shared" si="24"/>
        <v>827.6827688</v>
      </c>
      <c r="BB12" s="5">
        <f t="shared" si="25"/>
        <v>827.6827688</v>
      </c>
      <c r="BC12" s="38">
        <f t="shared" si="26"/>
        <v>51.700822699999996</v>
      </c>
      <c r="BD12" s="5"/>
      <c r="BE12" s="38"/>
      <c r="BF12" s="38">
        <f t="shared" si="27"/>
        <v>4.2257848000000005</v>
      </c>
      <c r="BG12" s="5">
        <f t="shared" si="28"/>
        <v>4.2257848000000005</v>
      </c>
      <c r="BH12" s="38"/>
      <c r="BI12" s="5"/>
      <c r="BJ12" s="38"/>
      <c r="BK12" s="38">
        <f t="shared" si="29"/>
        <v>4381.681996</v>
      </c>
      <c r="BL12" s="5">
        <f t="shared" si="30"/>
        <v>4381.681996</v>
      </c>
      <c r="BM12" s="38">
        <f t="shared" si="31"/>
        <v>273.6997465</v>
      </c>
      <c r="BN12" s="5"/>
      <c r="BO12" s="5"/>
      <c r="BP12" s="5">
        <f t="shared" si="32"/>
        <v>2500.8651288</v>
      </c>
      <c r="BQ12" s="5">
        <f t="shared" si="33"/>
        <v>2500.8651288</v>
      </c>
      <c r="BR12" s="38">
        <f t="shared" si="34"/>
        <v>156.2153877</v>
      </c>
      <c r="BS12" s="5"/>
      <c r="BT12" s="38"/>
      <c r="BU12" s="38">
        <f t="shared" si="35"/>
        <v>27649.3099464</v>
      </c>
      <c r="BV12" s="5">
        <f t="shared" si="36"/>
        <v>27649.3099464</v>
      </c>
      <c r="BW12" s="38">
        <f t="shared" si="37"/>
        <v>1727.1014031</v>
      </c>
      <c r="BX12" s="5"/>
      <c r="BY12" s="38"/>
      <c r="BZ12" s="38">
        <f t="shared" si="38"/>
        <v>202.72346000000002</v>
      </c>
      <c r="CA12" s="5">
        <f t="shared" si="39"/>
        <v>202.72346000000002</v>
      </c>
      <c r="CB12" s="38">
        <f t="shared" si="40"/>
        <v>12.6630275</v>
      </c>
      <c r="CC12" s="5"/>
      <c r="CD12" s="5"/>
      <c r="CE12" s="38">
        <f t="shared" si="41"/>
        <v>7248.934088</v>
      </c>
      <c r="CF12" s="38">
        <f t="shared" si="42"/>
        <v>7248.934088</v>
      </c>
      <c r="CG12" s="38">
        <f t="shared" si="43"/>
        <v>452.801327</v>
      </c>
      <c r="CH12" s="5"/>
      <c r="CI12" s="5"/>
      <c r="CJ12" s="38">
        <f t="shared" si="44"/>
        <v>17074.226379199998</v>
      </c>
      <c r="CK12" s="38">
        <f t="shared" si="45"/>
        <v>17074.226379199998</v>
      </c>
      <c r="CL12" s="38">
        <f t="shared" si="46"/>
        <v>1066.5336817999998</v>
      </c>
      <c r="CM12" s="5"/>
      <c r="CN12" s="38"/>
      <c r="CO12" s="38">
        <f t="shared" si="47"/>
        <v>6683.4783976</v>
      </c>
      <c r="CP12" s="5">
        <f t="shared" si="48"/>
        <v>6683.4783976</v>
      </c>
      <c r="CQ12" s="38">
        <f t="shared" si="49"/>
        <v>417.4803979</v>
      </c>
      <c r="CR12" s="5"/>
      <c r="CS12" s="5"/>
      <c r="CT12" s="38">
        <f t="shared" si="50"/>
        <v>8279.3403168</v>
      </c>
      <c r="CU12" s="38">
        <f t="shared" si="51"/>
        <v>8279.3403168</v>
      </c>
      <c r="CV12" s="38">
        <f t="shared" si="52"/>
        <v>517.1651772</v>
      </c>
      <c r="CW12" s="5"/>
      <c r="CX12" s="5"/>
      <c r="CY12" s="5">
        <f t="shared" si="53"/>
        <v>957.654204</v>
      </c>
      <c r="CZ12" s="5">
        <f t="shared" si="54"/>
        <v>957.654204</v>
      </c>
      <c r="DA12" s="38">
        <f t="shared" si="55"/>
        <v>59.8194285</v>
      </c>
      <c r="DB12" s="5"/>
      <c r="DC12" s="38"/>
      <c r="DD12" s="38">
        <f t="shared" si="56"/>
        <v>101232.4438272</v>
      </c>
      <c r="DE12" s="5">
        <f t="shared" si="57"/>
        <v>101232.4438272</v>
      </c>
      <c r="DF12" s="38">
        <f t="shared" si="58"/>
        <v>6323.4379488</v>
      </c>
      <c r="DG12" s="5"/>
      <c r="DH12" s="38"/>
      <c r="DI12" s="38">
        <f t="shared" si="59"/>
        <v>96373.2481488</v>
      </c>
      <c r="DJ12" s="5">
        <f t="shared" si="60"/>
        <v>96373.2481488</v>
      </c>
      <c r="DK12" s="38">
        <f t="shared" si="61"/>
        <v>6019.910530200001</v>
      </c>
      <c r="DL12" s="5"/>
      <c r="DM12" s="38"/>
      <c r="DN12" s="38">
        <f t="shared" si="62"/>
        <v>2284.8932624</v>
      </c>
      <c r="DO12" s="5">
        <f t="shared" si="63"/>
        <v>2284.8932624</v>
      </c>
      <c r="DP12" s="38">
        <f t="shared" si="64"/>
        <v>142.7248046</v>
      </c>
      <c r="DQ12" s="5"/>
      <c r="DR12" s="38"/>
      <c r="DS12" s="38">
        <f t="shared" si="65"/>
        <v>163704.618944</v>
      </c>
      <c r="DT12" s="5">
        <f t="shared" si="66"/>
        <v>163704.618944</v>
      </c>
      <c r="DU12" s="38">
        <f t="shared" si="67"/>
        <v>10225.733575999999</v>
      </c>
      <c r="DV12" s="5"/>
      <c r="DW12" s="38"/>
      <c r="DX12" s="38">
        <f t="shared" si="68"/>
        <v>210510.2108616</v>
      </c>
      <c r="DY12" s="5">
        <f t="shared" si="69"/>
        <v>210510.2108616</v>
      </c>
      <c r="DZ12" s="38">
        <f t="shared" si="70"/>
        <v>13149.423303900001</v>
      </c>
      <c r="EA12" s="5"/>
      <c r="EB12" s="5"/>
      <c r="EC12" s="38">
        <f t="shared" si="71"/>
        <v>6568.4685248</v>
      </c>
      <c r="ED12" s="38">
        <f t="shared" si="72"/>
        <v>6568.4685248</v>
      </c>
      <c r="EE12" s="38">
        <f t="shared" si="73"/>
        <v>410.2963592</v>
      </c>
      <c r="EF12" s="5"/>
      <c r="EG12" s="5"/>
      <c r="EH12" s="38">
        <f t="shared" si="74"/>
        <v>18010.8658696</v>
      </c>
      <c r="EI12" s="38">
        <f t="shared" si="75"/>
        <v>18010.8658696</v>
      </c>
      <c r="EJ12" s="38">
        <f t="shared" si="76"/>
        <v>1125.0404359</v>
      </c>
      <c r="EK12" s="5"/>
      <c r="EL12" s="38"/>
      <c r="EM12" s="38">
        <f t="shared" si="77"/>
        <v>127133.19254959999</v>
      </c>
      <c r="EN12" s="5">
        <f t="shared" si="78"/>
        <v>127133.19254959999</v>
      </c>
      <c r="EO12" s="38">
        <f t="shared" si="79"/>
        <v>7941.3162809</v>
      </c>
      <c r="EP12" s="5"/>
      <c r="EQ12" s="38"/>
      <c r="ER12" s="38">
        <f t="shared" si="80"/>
        <v>91855.3131456</v>
      </c>
      <c r="ES12" s="5">
        <f t="shared" si="81"/>
        <v>91855.3131456</v>
      </c>
      <c r="ET12" s="38">
        <f t="shared" si="82"/>
        <v>5737.6998023999995</v>
      </c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</row>
    <row r="13" spans="1:193" ht="12.75">
      <c r="A13" s="40">
        <v>44287</v>
      </c>
      <c r="B13" s="77">
        <v>6040000</v>
      </c>
      <c r="C13" s="77">
        <v>1142104</v>
      </c>
      <c r="D13" s="37">
        <f t="shared" si="0"/>
        <v>7182104</v>
      </c>
      <c r="E13" s="37">
        <v>71341</v>
      </c>
      <c r="G13" s="38">
        <v>865609.9160000001</v>
      </c>
      <c r="H13" s="38">
        <v>163678.23634160004</v>
      </c>
      <c r="I13" s="38">
        <f t="shared" si="1"/>
        <v>1029288.1523416002</v>
      </c>
      <c r="J13" s="76">
        <v>10224.0855989</v>
      </c>
      <c r="L13" s="38">
        <f>Q13+V13+AA13+AK13+AP13+AU13+BJ13+BO13+BT13+CD13+CN13+CS13+CX13+DC13+DH13+DM13+DR13+DW13+EB13+EG13+EL13+EQ13+EV13+AF13+AZ13+BY13+CI13+BE13</f>
        <v>5174390.084000001</v>
      </c>
      <c r="M13" s="37">
        <f t="shared" si="2"/>
        <v>978425.7636584</v>
      </c>
      <c r="N13" s="5">
        <f t="shared" si="3"/>
        <v>6152815.8476584</v>
      </c>
      <c r="O13" s="37">
        <f t="shared" si="2"/>
        <v>61116.36507539999</v>
      </c>
      <c r="Q13" s="38">
        <f t="shared" si="83"/>
        <v>102565.23999999999</v>
      </c>
      <c r="R13" s="38">
        <f t="shared" si="4"/>
        <v>19394.068024</v>
      </c>
      <c r="S13" s="5">
        <f t="shared" si="5"/>
        <v>121959.308024</v>
      </c>
      <c r="T13" s="38">
        <f t="shared" si="6"/>
        <v>1211.441521</v>
      </c>
      <c r="V13" s="5">
        <f t="shared" si="84"/>
        <v>24428.176</v>
      </c>
      <c r="W13" s="38">
        <f t="shared" si="7"/>
        <v>4619.1254176</v>
      </c>
      <c r="X13" s="38">
        <f t="shared" si="8"/>
        <v>29047.3014176</v>
      </c>
      <c r="Y13" s="38">
        <f t="shared" si="9"/>
        <v>288.5315404</v>
      </c>
      <c r="AA13" s="5">
        <f t="shared" si="85"/>
        <v>6017.048</v>
      </c>
      <c r="AB13" s="5">
        <f t="shared" si="10"/>
        <v>1137.7640048</v>
      </c>
      <c r="AC13" s="5">
        <f t="shared" si="11"/>
        <v>7154.8120048</v>
      </c>
      <c r="AD13" s="38">
        <f t="shared" si="12"/>
        <v>71.0699042</v>
      </c>
      <c r="AF13" s="5">
        <f t="shared" si="86"/>
        <v>219.856</v>
      </c>
      <c r="AG13" s="5">
        <f t="shared" si="13"/>
        <v>41.5725856</v>
      </c>
      <c r="AH13" s="5">
        <f t="shared" si="14"/>
        <v>261.4285856</v>
      </c>
      <c r="AI13" s="38">
        <f t="shared" si="15"/>
        <v>2.5968123999999997</v>
      </c>
      <c r="AK13" s="38">
        <f t="shared" si="87"/>
        <v>24.16</v>
      </c>
      <c r="AL13" s="38">
        <f t="shared" si="16"/>
        <v>4.568416</v>
      </c>
      <c r="AM13" s="5">
        <f t="shared" si="17"/>
        <v>28.728416</v>
      </c>
      <c r="AN13" s="38"/>
      <c r="AP13" s="38">
        <f t="shared" si="88"/>
        <v>312211.22400000005</v>
      </c>
      <c r="AQ13" s="38">
        <f t="shared" si="18"/>
        <v>59036.0410224</v>
      </c>
      <c r="AR13" s="5">
        <f t="shared" si="19"/>
        <v>371247.26502240007</v>
      </c>
      <c r="AS13" s="38">
        <f t="shared" si="20"/>
        <v>3687.6590946</v>
      </c>
      <c r="AT13" s="5"/>
      <c r="AU13" s="38">
        <f t="shared" si="89"/>
        <v>3750.84</v>
      </c>
      <c r="AV13" s="38">
        <f t="shared" si="21"/>
        <v>709.246584</v>
      </c>
      <c r="AW13" s="5">
        <f t="shared" si="22"/>
        <v>4460.086584000001</v>
      </c>
      <c r="AX13" s="38">
        <f t="shared" si="23"/>
        <v>44.302761000000004</v>
      </c>
      <c r="AY13" s="5"/>
      <c r="AZ13" s="38">
        <f t="shared" si="90"/>
        <v>4377.188</v>
      </c>
      <c r="BA13" s="38">
        <f t="shared" si="24"/>
        <v>827.6827688</v>
      </c>
      <c r="BB13" s="5">
        <f t="shared" si="25"/>
        <v>5204.8707688</v>
      </c>
      <c r="BC13" s="38">
        <f t="shared" si="26"/>
        <v>51.700822699999996</v>
      </c>
      <c r="BD13" s="5"/>
      <c r="BE13" s="38">
        <f>B13*$BF$6</f>
        <v>22.348000000000003</v>
      </c>
      <c r="BF13" s="38">
        <f t="shared" si="27"/>
        <v>4.2257848000000005</v>
      </c>
      <c r="BG13" s="5">
        <f t="shared" si="28"/>
        <v>26.573784800000002</v>
      </c>
      <c r="BH13" s="38"/>
      <c r="BI13" s="5"/>
      <c r="BJ13" s="38">
        <f t="shared" si="91"/>
        <v>23172.46</v>
      </c>
      <c r="BK13" s="38">
        <f t="shared" si="29"/>
        <v>4381.681996</v>
      </c>
      <c r="BL13" s="5">
        <f t="shared" si="30"/>
        <v>27554.141996</v>
      </c>
      <c r="BM13" s="38">
        <f t="shared" si="31"/>
        <v>273.6997465</v>
      </c>
      <c r="BN13" s="5"/>
      <c r="BO13" s="5">
        <f t="shared" si="92"/>
        <v>13225.788</v>
      </c>
      <c r="BP13" s="5">
        <f t="shared" si="32"/>
        <v>2500.8651288</v>
      </c>
      <c r="BQ13" s="5">
        <f t="shared" si="33"/>
        <v>15726.6531288</v>
      </c>
      <c r="BR13" s="38">
        <f t="shared" si="34"/>
        <v>156.2153877</v>
      </c>
      <c r="BS13" s="5"/>
      <c r="BT13" s="38">
        <f t="shared" si="93"/>
        <v>146222.964</v>
      </c>
      <c r="BU13" s="38">
        <f t="shared" si="35"/>
        <v>27649.3099464</v>
      </c>
      <c r="BV13" s="5">
        <f t="shared" si="36"/>
        <v>173872.2739464</v>
      </c>
      <c r="BW13" s="38">
        <f t="shared" si="37"/>
        <v>1727.1014031</v>
      </c>
      <c r="BX13" s="5"/>
      <c r="BY13" s="38">
        <f t="shared" si="94"/>
        <v>1072.1000000000001</v>
      </c>
      <c r="BZ13" s="38">
        <f t="shared" si="38"/>
        <v>202.72346000000002</v>
      </c>
      <c r="CA13" s="5">
        <f t="shared" si="39"/>
        <v>1274.82346</v>
      </c>
      <c r="CB13" s="38">
        <f t="shared" si="40"/>
        <v>12.6630275</v>
      </c>
      <c r="CC13" s="5"/>
      <c r="CD13" s="5">
        <f t="shared" si="95"/>
        <v>38335.880000000005</v>
      </c>
      <c r="CE13" s="38">
        <f t="shared" si="41"/>
        <v>7248.934088</v>
      </c>
      <c r="CF13" s="38">
        <f t="shared" si="42"/>
        <v>45584.81408800001</v>
      </c>
      <c r="CG13" s="38">
        <f t="shared" si="43"/>
        <v>452.801327</v>
      </c>
      <c r="CH13" s="5"/>
      <c r="CI13" s="5">
        <f t="shared" si="96"/>
        <v>90296.792</v>
      </c>
      <c r="CJ13" s="38">
        <f t="shared" si="44"/>
        <v>17074.226379199998</v>
      </c>
      <c r="CK13" s="38">
        <f t="shared" si="45"/>
        <v>107371.0183792</v>
      </c>
      <c r="CL13" s="38">
        <f t="shared" si="46"/>
        <v>1066.5336817999998</v>
      </c>
      <c r="CM13" s="5"/>
      <c r="CN13" s="38">
        <f t="shared" si="97"/>
        <v>35345.476</v>
      </c>
      <c r="CO13" s="38">
        <f t="shared" si="47"/>
        <v>6683.4783976</v>
      </c>
      <c r="CP13" s="5">
        <f t="shared" si="48"/>
        <v>42028.9543976</v>
      </c>
      <c r="CQ13" s="38">
        <f t="shared" si="49"/>
        <v>417.4803979</v>
      </c>
      <c r="CR13" s="5"/>
      <c r="CS13" s="5">
        <f t="shared" si="98"/>
        <v>43785.168</v>
      </c>
      <c r="CT13" s="38">
        <f t="shared" si="50"/>
        <v>8279.3403168</v>
      </c>
      <c r="CU13" s="38">
        <f t="shared" si="51"/>
        <v>52064.5083168</v>
      </c>
      <c r="CV13" s="38">
        <f t="shared" si="52"/>
        <v>517.1651772</v>
      </c>
      <c r="CW13" s="5"/>
      <c r="CX13" s="5">
        <f t="shared" si="99"/>
        <v>5064.54</v>
      </c>
      <c r="CY13" s="5">
        <f t="shared" si="53"/>
        <v>957.654204</v>
      </c>
      <c r="CZ13" s="5">
        <f t="shared" si="54"/>
        <v>6022.194204</v>
      </c>
      <c r="DA13" s="38">
        <f t="shared" si="55"/>
        <v>59.8194285</v>
      </c>
      <c r="DB13" s="5"/>
      <c r="DC13" s="38">
        <f t="shared" si="100"/>
        <v>535366.272</v>
      </c>
      <c r="DD13" s="38">
        <f t="shared" si="56"/>
        <v>101232.4438272</v>
      </c>
      <c r="DE13" s="5">
        <f t="shared" si="57"/>
        <v>636598.7158272</v>
      </c>
      <c r="DF13" s="38">
        <f t="shared" si="58"/>
        <v>6323.4379488</v>
      </c>
      <c r="DG13" s="5"/>
      <c r="DH13" s="38">
        <f t="shared" si="101"/>
        <v>509668.488</v>
      </c>
      <c r="DI13" s="38">
        <f t="shared" si="59"/>
        <v>96373.2481488</v>
      </c>
      <c r="DJ13" s="5">
        <f t="shared" si="60"/>
        <v>606041.7361488</v>
      </c>
      <c r="DK13" s="38">
        <f t="shared" si="61"/>
        <v>6019.910530200001</v>
      </c>
      <c r="DL13" s="5"/>
      <c r="DM13" s="38">
        <f t="shared" si="102"/>
        <v>12083.624</v>
      </c>
      <c r="DN13" s="38">
        <f t="shared" si="62"/>
        <v>2284.8932624</v>
      </c>
      <c r="DO13" s="5">
        <f t="shared" si="63"/>
        <v>14368.5172624</v>
      </c>
      <c r="DP13" s="38">
        <f t="shared" si="64"/>
        <v>142.7248046</v>
      </c>
      <c r="DQ13" s="5"/>
      <c r="DR13" s="38">
        <f t="shared" si="103"/>
        <v>865749.44</v>
      </c>
      <c r="DS13" s="38">
        <f t="shared" si="65"/>
        <v>163704.618944</v>
      </c>
      <c r="DT13" s="5">
        <f t="shared" si="66"/>
        <v>1029454.0589439999</v>
      </c>
      <c r="DU13" s="38">
        <f t="shared" si="67"/>
        <v>10225.733575999999</v>
      </c>
      <c r="DV13" s="5"/>
      <c r="DW13" s="38">
        <f t="shared" si="104"/>
        <v>1113280.1160000002</v>
      </c>
      <c r="DX13" s="38">
        <f t="shared" si="68"/>
        <v>210510.2108616</v>
      </c>
      <c r="DY13" s="5">
        <f t="shared" si="69"/>
        <v>1323790.3268616002</v>
      </c>
      <c r="DZ13" s="38">
        <f t="shared" si="70"/>
        <v>13149.423303900001</v>
      </c>
      <c r="EA13" s="5"/>
      <c r="EB13" s="5">
        <f t="shared" si="105"/>
        <v>34737.248</v>
      </c>
      <c r="EC13" s="38">
        <f t="shared" si="71"/>
        <v>6568.4685248</v>
      </c>
      <c r="ED13" s="38">
        <f t="shared" si="72"/>
        <v>41305.7165248</v>
      </c>
      <c r="EE13" s="38">
        <f t="shared" si="73"/>
        <v>410.2963592</v>
      </c>
      <c r="EF13" s="5"/>
      <c r="EG13" s="5">
        <f t="shared" si="106"/>
        <v>95250.196</v>
      </c>
      <c r="EH13" s="38">
        <f t="shared" si="74"/>
        <v>18010.8658696</v>
      </c>
      <c r="EI13" s="38">
        <f t="shared" si="75"/>
        <v>113261.0618696</v>
      </c>
      <c r="EJ13" s="38">
        <f t="shared" si="76"/>
        <v>1125.0404359</v>
      </c>
      <c r="EK13" s="5"/>
      <c r="EL13" s="38">
        <f t="shared" si="107"/>
        <v>672341.9959999999</v>
      </c>
      <c r="EM13" s="38">
        <f t="shared" si="77"/>
        <v>127133.19254959999</v>
      </c>
      <c r="EN13" s="5">
        <f t="shared" si="78"/>
        <v>799475.1885496</v>
      </c>
      <c r="EO13" s="38">
        <f t="shared" si="79"/>
        <v>7941.3162809</v>
      </c>
      <c r="EP13" s="5"/>
      <c r="EQ13" s="38">
        <f t="shared" si="108"/>
        <v>485775.45599999995</v>
      </c>
      <c r="ER13" s="38">
        <f t="shared" si="80"/>
        <v>91855.3131456</v>
      </c>
      <c r="ES13" s="5">
        <f t="shared" si="81"/>
        <v>577630.7691455999</v>
      </c>
      <c r="ET13" s="38">
        <f t="shared" si="82"/>
        <v>5737.6998023999995</v>
      </c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ht="12.75">
      <c r="A14" s="40">
        <v>44470</v>
      </c>
      <c r="B14" s="77"/>
      <c r="C14" s="77">
        <v>1053769</v>
      </c>
      <c r="D14" s="37">
        <f t="shared" si="0"/>
        <v>1053769</v>
      </c>
      <c r="E14" s="37">
        <v>71341</v>
      </c>
      <c r="G14" s="38"/>
      <c r="H14" s="38">
        <v>151018.6913201</v>
      </c>
      <c r="I14" s="38">
        <f t="shared" si="1"/>
        <v>151018.6913201</v>
      </c>
      <c r="J14" s="76">
        <v>10224.0855989</v>
      </c>
      <c r="L14" s="38"/>
      <c r="M14" s="37">
        <f t="shared" si="2"/>
        <v>902750.3086798999</v>
      </c>
      <c r="N14" s="5">
        <f t="shared" si="3"/>
        <v>902750.3086798999</v>
      </c>
      <c r="O14" s="37">
        <f t="shared" si="2"/>
        <v>61116.36507539999</v>
      </c>
      <c r="Q14" s="38"/>
      <c r="R14" s="38">
        <f t="shared" si="4"/>
        <v>17894.051389</v>
      </c>
      <c r="S14" s="5">
        <f t="shared" si="5"/>
        <v>17894.051389</v>
      </c>
      <c r="T14" s="38">
        <f t="shared" si="6"/>
        <v>1211.441521</v>
      </c>
      <c r="W14" s="38">
        <f t="shared" si="7"/>
        <v>4261.8633436</v>
      </c>
      <c r="X14" s="38">
        <f t="shared" si="8"/>
        <v>4261.8633436</v>
      </c>
      <c r="Y14" s="38">
        <f t="shared" si="9"/>
        <v>288.5315404</v>
      </c>
      <c r="AB14" s="5">
        <f t="shared" si="10"/>
        <v>1049.7646778</v>
      </c>
      <c r="AC14" s="5">
        <f t="shared" si="11"/>
        <v>1049.7646778</v>
      </c>
      <c r="AD14" s="38">
        <f t="shared" si="12"/>
        <v>71.0699042</v>
      </c>
      <c r="AG14" s="5">
        <f t="shared" si="13"/>
        <v>38.3571916</v>
      </c>
      <c r="AH14" s="5">
        <f t="shared" si="14"/>
        <v>38.3571916</v>
      </c>
      <c r="AI14" s="38">
        <f t="shared" si="15"/>
        <v>2.5968123999999997</v>
      </c>
      <c r="AK14" s="38"/>
      <c r="AL14" s="38">
        <f t="shared" si="16"/>
        <v>4.215076</v>
      </c>
      <c r="AM14" s="5">
        <f t="shared" si="17"/>
        <v>4.215076</v>
      </c>
      <c r="AN14" s="38"/>
      <c r="AP14" s="38"/>
      <c r="AQ14" s="38">
        <f t="shared" si="18"/>
        <v>54469.9518714</v>
      </c>
      <c r="AR14" s="5">
        <f t="shared" si="19"/>
        <v>54469.9518714</v>
      </c>
      <c r="AS14" s="38">
        <f t="shared" si="20"/>
        <v>3687.6590946</v>
      </c>
      <c r="AT14" s="5"/>
      <c r="AU14" s="38"/>
      <c r="AV14" s="38">
        <f t="shared" si="21"/>
        <v>654.3905490000001</v>
      </c>
      <c r="AW14" s="5">
        <f t="shared" si="22"/>
        <v>654.3905490000001</v>
      </c>
      <c r="AX14" s="38">
        <f t="shared" si="23"/>
        <v>44.302761000000004</v>
      </c>
      <c r="AY14" s="5"/>
      <c r="AZ14" s="38"/>
      <c r="BA14" s="38">
        <f t="shared" si="24"/>
        <v>763.6663943</v>
      </c>
      <c r="BB14" s="5">
        <f t="shared" si="25"/>
        <v>763.6663943</v>
      </c>
      <c r="BC14" s="38">
        <f t="shared" si="26"/>
        <v>51.700822699999996</v>
      </c>
      <c r="BD14" s="5"/>
      <c r="BE14" s="38"/>
      <c r="BF14" s="38">
        <f t="shared" si="27"/>
        <v>3.8989453000000003</v>
      </c>
      <c r="BG14" s="5">
        <f t="shared" si="28"/>
        <v>3.8989453000000003</v>
      </c>
      <c r="BH14" s="38"/>
      <c r="BI14" s="5"/>
      <c r="BJ14" s="38"/>
      <c r="BK14" s="38">
        <f t="shared" si="29"/>
        <v>4042.7847685</v>
      </c>
      <c r="BL14" s="5">
        <f t="shared" si="30"/>
        <v>4042.7847685</v>
      </c>
      <c r="BM14" s="38">
        <f t="shared" si="31"/>
        <v>273.6997465</v>
      </c>
      <c r="BN14" s="5"/>
      <c r="BO14" s="5"/>
      <c r="BP14" s="5">
        <f t="shared" si="32"/>
        <v>2307.4379793000003</v>
      </c>
      <c r="BQ14" s="5">
        <f t="shared" si="33"/>
        <v>2307.4379793000003</v>
      </c>
      <c r="BR14" s="38">
        <f t="shared" si="34"/>
        <v>156.2153877</v>
      </c>
      <c r="BS14" s="5"/>
      <c r="BT14" s="38"/>
      <c r="BU14" s="38">
        <f t="shared" si="35"/>
        <v>25510.799097900002</v>
      </c>
      <c r="BV14" s="5">
        <f t="shared" si="36"/>
        <v>25510.799097900002</v>
      </c>
      <c r="BW14" s="38">
        <f t="shared" si="37"/>
        <v>1727.1014031</v>
      </c>
      <c r="BX14" s="5"/>
      <c r="BY14" s="38"/>
      <c r="BZ14" s="38">
        <f t="shared" si="38"/>
        <v>187.04399750000002</v>
      </c>
      <c r="CA14" s="5">
        <f t="shared" si="39"/>
        <v>187.04399750000002</v>
      </c>
      <c r="CB14" s="38">
        <f t="shared" si="40"/>
        <v>12.6630275</v>
      </c>
      <c r="CC14" s="5"/>
      <c r="CD14" s="5"/>
      <c r="CE14" s="38">
        <f t="shared" si="41"/>
        <v>6688.271843</v>
      </c>
      <c r="CF14" s="38">
        <f t="shared" si="42"/>
        <v>6688.271843</v>
      </c>
      <c r="CG14" s="38">
        <f t="shared" si="43"/>
        <v>452.801327</v>
      </c>
      <c r="CH14" s="5"/>
      <c r="CI14" s="5"/>
      <c r="CJ14" s="38">
        <f t="shared" si="44"/>
        <v>15753.635796199998</v>
      </c>
      <c r="CK14" s="38">
        <f t="shared" si="45"/>
        <v>15753.635796199998</v>
      </c>
      <c r="CL14" s="38">
        <f t="shared" si="46"/>
        <v>1066.5336817999998</v>
      </c>
      <c r="CM14" s="5"/>
      <c r="CN14" s="38"/>
      <c r="CO14" s="38">
        <f t="shared" si="47"/>
        <v>6166.5508111</v>
      </c>
      <c r="CP14" s="5">
        <f t="shared" si="48"/>
        <v>6166.5508111</v>
      </c>
      <c r="CQ14" s="38">
        <f t="shared" si="49"/>
        <v>417.4803979</v>
      </c>
      <c r="CR14" s="5"/>
      <c r="CS14" s="5"/>
      <c r="CT14" s="38">
        <f t="shared" si="50"/>
        <v>7638.9822348</v>
      </c>
      <c r="CU14" s="38">
        <f t="shared" si="51"/>
        <v>7638.9822348</v>
      </c>
      <c r="CV14" s="38">
        <f t="shared" si="52"/>
        <v>517.1651772</v>
      </c>
      <c r="CW14" s="5"/>
      <c r="CX14" s="5"/>
      <c r="CY14" s="5">
        <f t="shared" si="53"/>
        <v>883.5853065</v>
      </c>
      <c r="CZ14" s="5">
        <f t="shared" si="54"/>
        <v>883.5853065</v>
      </c>
      <c r="DA14" s="38">
        <f t="shared" si="55"/>
        <v>59.8194285</v>
      </c>
      <c r="DB14" s="5"/>
      <c r="DC14" s="38"/>
      <c r="DD14" s="38">
        <f t="shared" si="56"/>
        <v>93402.7120992</v>
      </c>
      <c r="DE14" s="5">
        <f t="shared" si="57"/>
        <v>93402.7120992</v>
      </c>
      <c r="DF14" s="38">
        <f t="shared" si="58"/>
        <v>6323.4379488</v>
      </c>
      <c r="DG14" s="5"/>
      <c r="DH14" s="38"/>
      <c r="DI14" s="38">
        <f t="shared" si="59"/>
        <v>88919.3465118</v>
      </c>
      <c r="DJ14" s="5">
        <f t="shared" si="60"/>
        <v>88919.3465118</v>
      </c>
      <c r="DK14" s="38">
        <f t="shared" si="61"/>
        <v>6019.910530200001</v>
      </c>
      <c r="DL14" s="5"/>
      <c r="DM14" s="38"/>
      <c r="DN14" s="38">
        <f t="shared" si="62"/>
        <v>2108.1702614</v>
      </c>
      <c r="DO14" s="5">
        <f t="shared" si="63"/>
        <v>2108.1702614</v>
      </c>
      <c r="DP14" s="38">
        <f t="shared" si="64"/>
        <v>142.7248046</v>
      </c>
      <c r="DQ14" s="5"/>
      <c r="DR14" s="38"/>
      <c r="DS14" s="38">
        <f t="shared" si="65"/>
        <v>151043.03338399998</v>
      </c>
      <c r="DT14" s="5">
        <f t="shared" si="66"/>
        <v>151043.03338399998</v>
      </c>
      <c r="DU14" s="38">
        <f t="shared" si="67"/>
        <v>10225.733575999999</v>
      </c>
      <c r="DV14" s="5"/>
      <c r="DW14" s="38"/>
      <c r="DX14" s="38">
        <f t="shared" si="68"/>
        <v>194228.4891651</v>
      </c>
      <c r="DY14" s="5">
        <f t="shared" si="69"/>
        <v>194228.4891651</v>
      </c>
      <c r="DZ14" s="38">
        <f t="shared" si="70"/>
        <v>13149.423303900001</v>
      </c>
      <c r="EA14" s="5"/>
      <c r="EB14" s="5"/>
      <c r="EC14" s="38">
        <f t="shared" si="71"/>
        <v>6060.4362728</v>
      </c>
      <c r="ED14" s="38">
        <f t="shared" si="72"/>
        <v>6060.4362728</v>
      </c>
      <c r="EE14" s="38">
        <f t="shared" si="73"/>
        <v>410.2963592</v>
      </c>
      <c r="EF14" s="5"/>
      <c r="EG14" s="5"/>
      <c r="EH14" s="38">
        <f t="shared" si="74"/>
        <v>16617.8317531</v>
      </c>
      <c r="EI14" s="38">
        <f t="shared" si="75"/>
        <v>16617.8317531</v>
      </c>
      <c r="EJ14" s="38">
        <f t="shared" si="76"/>
        <v>1125.0404359</v>
      </c>
      <c r="EK14" s="5"/>
      <c r="EL14" s="38"/>
      <c r="EM14" s="38">
        <f t="shared" si="77"/>
        <v>117300.19085809999</v>
      </c>
      <c r="EN14" s="5">
        <f t="shared" si="78"/>
        <v>117300.19085809999</v>
      </c>
      <c r="EO14" s="38">
        <f t="shared" si="79"/>
        <v>7941.3162809</v>
      </c>
      <c r="EP14" s="5"/>
      <c r="EQ14" s="38"/>
      <c r="ER14" s="38">
        <f t="shared" si="80"/>
        <v>84750.8471016</v>
      </c>
      <c r="ES14" s="5">
        <f t="shared" si="81"/>
        <v>84750.8471016</v>
      </c>
      <c r="ET14" s="38">
        <f t="shared" si="82"/>
        <v>5737.6998023999995</v>
      </c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</row>
    <row r="15" spans="1:193" ht="12.75">
      <c r="A15" s="40">
        <v>44652</v>
      </c>
      <c r="B15" s="77">
        <v>6215000</v>
      </c>
      <c r="C15" s="77">
        <v>1053769</v>
      </c>
      <c r="D15" s="37">
        <f t="shared" si="0"/>
        <v>7268769</v>
      </c>
      <c r="E15" s="37">
        <v>71341</v>
      </c>
      <c r="G15" s="38">
        <v>890689.6735</v>
      </c>
      <c r="H15" s="38">
        <v>151018.6913201</v>
      </c>
      <c r="I15" s="38">
        <f t="shared" si="1"/>
        <v>1041708.3648201</v>
      </c>
      <c r="J15" s="76">
        <v>10224.0855989</v>
      </c>
      <c r="L15" s="38">
        <f>Q15+V15+AA15+AK15+AP15+AU15+BJ15+BO15+BT15+CD15+CN15+CS15+CX15+DC15+DH15+DM15+DR15+DW15+EB15+EG15+EL15+EQ15+EV15+AF15+AZ15+BY15+CI15+BE15</f>
        <v>5324310.3265</v>
      </c>
      <c r="M15" s="37">
        <f t="shared" si="2"/>
        <v>902750.3086798999</v>
      </c>
      <c r="N15" s="5">
        <f t="shared" si="3"/>
        <v>6227060.635179901</v>
      </c>
      <c r="O15" s="37">
        <f t="shared" si="2"/>
        <v>61116.36507539999</v>
      </c>
      <c r="Q15" s="38">
        <f t="shared" si="83"/>
        <v>105536.915</v>
      </c>
      <c r="R15" s="38">
        <f t="shared" si="4"/>
        <v>17894.051389</v>
      </c>
      <c r="S15" s="5">
        <f t="shared" si="5"/>
        <v>123430.966389</v>
      </c>
      <c r="T15" s="38">
        <f t="shared" si="6"/>
        <v>1211.441521</v>
      </c>
      <c r="V15" s="5">
        <f t="shared" si="84"/>
        <v>25135.946</v>
      </c>
      <c r="W15" s="38">
        <f t="shared" si="7"/>
        <v>4261.8633436</v>
      </c>
      <c r="X15" s="38">
        <f t="shared" si="8"/>
        <v>29397.809343599998</v>
      </c>
      <c r="Y15" s="38">
        <f t="shared" si="9"/>
        <v>288.5315404</v>
      </c>
      <c r="AA15" s="5">
        <f t="shared" si="85"/>
        <v>6191.383</v>
      </c>
      <c r="AB15" s="5">
        <f t="shared" si="10"/>
        <v>1049.7646778</v>
      </c>
      <c r="AC15" s="5">
        <f t="shared" si="11"/>
        <v>7241.1476778</v>
      </c>
      <c r="AD15" s="38">
        <f t="shared" si="12"/>
        <v>71.0699042</v>
      </c>
      <c r="AF15" s="5">
        <f t="shared" si="86"/>
        <v>226.22599999999997</v>
      </c>
      <c r="AG15" s="5">
        <f t="shared" si="13"/>
        <v>38.3571916</v>
      </c>
      <c r="AH15" s="5">
        <f t="shared" si="14"/>
        <v>264.58319159999996</v>
      </c>
      <c r="AI15" s="38">
        <f t="shared" si="15"/>
        <v>2.5968123999999997</v>
      </c>
      <c r="AK15" s="38">
        <f t="shared" si="87"/>
        <v>24.86</v>
      </c>
      <c r="AL15" s="38">
        <f t="shared" si="16"/>
        <v>4.215076</v>
      </c>
      <c r="AM15" s="5">
        <f t="shared" si="17"/>
        <v>29.075076</v>
      </c>
      <c r="AN15" s="38"/>
      <c r="AP15" s="38">
        <f t="shared" si="88"/>
        <v>321257.079</v>
      </c>
      <c r="AQ15" s="38">
        <f t="shared" si="18"/>
        <v>54469.9518714</v>
      </c>
      <c r="AR15" s="5">
        <f t="shared" si="19"/>
        <v>375727.0308714</v>
      </c>
      <c r="AS15" s="38">
        <f t="shared" si="20"/>
        <v>3687.6590946</v>
      </c>
      <c r="AT15" s="5"/>
      <c r="AU15" s="38">
        <f t="shared" si="89"/>
        <v>3859.5150000000003</v>
      </c>
      <c r="AV15" s="38">
        <f t="shared" si="21"/>
        <v>654.3905490000001</v>
      </c>
      <c r="AW15" s="5">
        <f t="shared" si="22"/>
        <v>4513.905549</v>
      </c>
      <c r="AX15" s="38">
        <f t="shared" si="23"/>
        <v>44.302761000000004</v>
      </c>
      <c r="AY15" s="5"/>
      <c r="AZ15" s="38">
        <f t="shared" si="90"/>
        <v>4504.0105</v>
      </c>
      <c r="BA15" s="38">
        <f t="shared" si="24"/>
        <v>763.6663943</v>
      </c>
      <c r="BB15" s="5">
        <f t="shared" si="25"/>
        <v>5267.676894300001</v>
      </c>
      <c r="BC15" s="38">
        <f t="shared" si="26"/>
        <v>51.700822699999996</v>
      </c>
      <c r="BD15" s="5"/>
      <c r="BE15" s="38">
        <f>B15*$BF$6</f>
        <v>22.9955</v>
      </c>
      <c r="BF15" s="38">
        <f t="shared" si="27"/>
        <v>3.8989453000000003</v>
      </c>
      <c r="BG15" s="5">
        <f t="shared" si="28"/>
        <v>26.8944453</v>
      </c>
      <c r="BH15" s="38"/>
      <c r="BI15" s="5"/>
      <c r="BJ15" s="38">
        <f t="shared" si="91"/>
        <v>23843.8475</v>
      </c>
      <c r="BK15" s="38">
        <f t="shared" si="29"/>
        <v>4042.7847685</v>
      </c>
      <c r="BL15" s="5">
        <f t="shared" si="30"/>
        <v>27886.6322685</v>
      </c>
      <c r="BM15" s="38">
        <f t="shared" si="31"/>
        <v>273.6997465</v>
      </c>
      <c r="BN15" s="5"/>
      <c r="BO15" s="5">
        <f t="shared" si="92"/>
        <v>13608.9855</v>
      </c>
      <c r="BP15" s="5">
        <f t="shared" si="32"/>
        <v>2307.4379793000003</v>
      </c>
      <c r="BQ15" s="5">
        <f t="shared" si="33"/>
        <v>15916.423479300001</v>
      </c>
      <c r="BR15" s="38">
        <f t="shared" si="34"/>
        <v>156.2153877</v>
      </c>
      <c r="BS15" s="5"/>
      <c r="BT15" s="38">
        <f t="shared" si="93"/>
        <v>150459.5565</v>
      </c>
      <c r="BU15" s="38">
        <f t="shared" si="35"/>
        <v>25510.799097900002</v>
      </c>
      <c r="BV15" s="5">
        <f t="shared" si="36"/>
        <v>175970.3555979</v>
      </c>
      <c r="BW15" s="38">
        <f t="shared" si="37"/>
        <v>1727.1014031</v>
      </c>
      <c r="BX15" s="5"/>
      <c r="BY15" s="38">
        <f t="shared" si="94"/>
        <v>1103.1625000000001</v>
      </c>
      <c r="BZ15" s="38">
        <f t="shared" si="38"/>
        <v>187.04399750000002</v>
      </c>
      <c r="CA15" s="5">
        <f t="shared" si="39"/>
        <v>1290.2064975</v>
      </c>
      <c r="CB15" s="38">
        <f t="shared" si="40"/>
        <v>12.6630275</v>
      </c>
      <c r="CC15" s="5"/>
      <c r="CD15" s="5">
        <f t="shared" si="95"/>
        <v>39446.605</v>
      </c>
      <c r="CE15" s="38">
        <f t="shared" si="41"/>
        <v>6688.271843</v>
      </c>
      <c r="CF15" s="38">
        <f t="shared" si="42"/>
        <v>46134.876843000005</v>
      </c>
      <c r="CG15" s="38">
        <f t="shared" si="43"/>
        <v>452.801327</v>
      </c>
      <c r="CH15" s="5"/>
      <c r="CI15" s="5">
        <f t="shared" si="96"/>
        <v>92913.007</v>
      </c>
      <c r="CJ15" s="38">
        <f t="shared" si="44"/>
        <v>15753.635796199998</v>
      </c>
      <c r="CK15" s="38">
        <f t="shared" si="45"/>
        <v>108666.6427962</v>
      </c>
      <c r="CL15" s="38">
        <f t="shared" si="46"/>
        <v>1066.5336817999998</v>
      </c>
      <c r="CM15" s="5"/>
      <c r="CN15" s="38">
        <f t="shared" si="97"/>
        <v>36369.5585</v>
      </c>
      <c r="CO15" s="38">
        <f t="shared" si="47"/>
        <v>6166.5508111</v>
      </c>
      <c r="CP15" s="5">
        <f t="shared" si="48"/>
        <v>42536.1093111</v>
      </c>
      <c r="CQ15" s="38">
        <f t="shared" si="49"/>
        <v>417.4803979</v>
      </c>
      <c r="CR15" s="5"/>
      <c r="CS15" s="5">
        <f t="shared" si="98"/>
        <v>45053.778</v>
      </c>
      <c r="CT15" s="38">
        <f t="shared" si="50"/>
        <v>7638.9822348</v>
      </c>
      <c r="CU15" s="38">
        <f t="shared" si="51"/>
        <v>52692.7602348</v>
      </c>
      <c r="CV15" s="38">
        <f t="shared" si="52"/>
        <v>517.1651772</v>
      </c>
      <c r="CW15" s="5"/>
      <c r="CX15" s="5">
        <f t="shared" si="99"/>
        <v>5211.2775</v>
      </c>
      <c r="CY15" s="5">
        <f t="shared" si="53"/>
        <v>883.5853065</v>
      </c>
      <c r="CZ15" s="5">
        <f t="shared" si="54"/>
        <v>6094.8628065</v>
      </c>
      <c r="DA15" s="38">
        <f t="shared" si="55"/>
        <v>59.8194285</v>
      </c>
      <c r="DB15" s="5"/>
      <c r="DC15" s="38">
        <f t="shared" si="100"/>
        <v>550877.712</v>
      </c>
      <c r="DD15" s="38">
        <f t="shared" si="56"/>
        <v>93402.7120992</v>
      </c>
      <c r="DE15" s="5">
        <f t="shared" si="57"/>
        <v>644280.4240992</v>
      </c>
      <c r="DF15" s="38">
        <f t="shared" si="58"/>
        <v>6323.4379488</v>
      </c>
      <c r="DG15" s="5"/>
      <c r="DH15" s="38">
        <f t="shared" si="101"/>
        <v>524435.373</v>
      </c>
      <c r="DI15" s="38">
        <f t="shared" si="59"/>
        <v>88919.3465118</v>
      </c>
      <c r="DJ15" s="5">
        <f t="shared" si="60"/>
        <v>613354.7195118</v>
      </c>
      <c r="DK15" s="38">
        <f t="shared" si="61"/>
        <v>6019.910530200001</v>
      </c>
      <c r="DL15" s="5"/>
      <c r="DM15" s="38">
        <f t="shared" si="102"/>
        <v>12433.729</v>
      </c>
      <c r="DN15" s="38">
        <f t="shared" si="62"/>
        <v>2108.1702614</v>
      </c>
      <c r="DO15" s="5">
        <f t="shared" si="63"/>
        <v>14541.8992614</v>
      </c>
      <c r="DP15" s="38">
        <f t="shared" si="64"/>
        <v>142.7248046</v>
      </c>
      <c r="DQ15" s="5"/>
      <c r="DR15" s="38">
        <f t="shared" si="103"/>
        <v>890833.24</v>
      </c>
      <c r="DS15" s="38">
        <f t="shared" si="65"/>
        <v>151043.03338399998</v>
      </c>
      <c r="DT15" s="5">
        <f t="shared" si="66"/>
        <v>1041876.273384</v>
      </c>
      <c r="DU15" s="38">
        <f t="shared" si="67"/>
        <v>10225.733575999999</v>
      </c>
      <c r="DV15" s="5"/>
      <c r="DW15" s="38">
        <f t="shared" si="104"/>
        <v>1145535.7485</v>
      </c>
      <c r="DX15" s="38">
        <f t="shared" si="68"/>
        <v>194228.4891651</v>
      </c>
      <c r="DY15" s="5">
        <f t="shared" si="69"/>
        <v>1339764.2376651</v>
      </c>
      <c r="DZ15" s="38">
        <f t="shared" si="70"/>
        <v>13149.423303900001</v>
      </c>
      <c r="EA15" s="5"/>
      <c r="EB15" s="5">
        <f t="shared" si="105"/>
        <v>35743.708</v>
      </c>
      <c r="EC15" s="38">
        <f t="shared" si="71"/>
        <v>6060.4362728</v>
      </c>
      <c r="ED15" s="38">
        <f t="shared" si="72"/>
        <v>41804.1442728</v>
      </c>
      <c r="EE15" s="38">
        <f t="shared" si="73"/>
        <v>410.2963592</v>
      </c>
      <c r="EF15" s="5"/>
      <c r="EG15" s="5">
        <f t="shared" si="106"/>
        <v>98009.9285</v>
      </c>
      <c r="EH15" s="38">
        <f t="shared" si="74"/>
        <v>16617.8317531</v>
      </c>
      <c r="EI15" s="38">
        <f t="shared" si="75"/>
        <v>114627.76025309999</v>
      </c>
      <c r="EJ15" s="38">
        <f t="shared" si="76"/>
        <v>1125.0404359</v>
      </c>
      <c r="EK15" s="5"/>
      <c r="EL15" s="38">
        <f t="shared" si="107"/>
        <v>691822.1035</v>
      </c>
      <c r="EM15" s="38">
        <f t="shared" si="77"/>
        <v>117300.19085809999</v>
      </c>
      <c r="EN15" s="5">
        <f t="shared" si="78"/>
        <v>809122.2943580999</v>
      </c>
      <c r="EO15" s="38">
        <f t="shared" si="79"/>
        <v>7941.3162809</v>
      </c>
      <c r="EP15" s="5"/>
      <c r="EQ15" s="38">
        <f t="shared" si="108"/>
        <v>499850.07599999994</v>
      </c>
      <c r="ER15" s="38">
        <f t="shared" si="80"/>
        <v>84750.8471016</v>
      </c>
      <c r="ES15" s="5">
        <f t="shared" si="81"/>
        <v>584600.9231015999</v>
      </c>
      <c r="ET15" s="38">
        <f t="shared" si="82"/>
        <v>5737.6998023999995</v>
      </c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ht="12.75">
      <c r="A16" s="40">
        <v>44835</v>
      </c>
      <c r="B16" s="77"/>
      <c r="C16" s="77">
        <v>956815</v>
      </c>
      <c r="D16" s="37">
        <f t="shared" si="0"/>
        <v>956815</v>
      </c>
      <c r="E16" s="37">
        <v>71341</v>
      </c>
      <c r="G16" s="38"/>
      <c r="H16" s="38">
        <v>137123.9324135</v>
      </c>
      <c r="I16" s="38">
        <f t="shared" si="1"/>
        <v>137123.9324135</v>
      </c>
      <c r="J16" s="76">
        <v>10224.0855989</v>
      </c>
      <c r="L16" s="38"/>
      <c r="M16" s="37">
        <f t="shared" si="2"/>
        <v>819691.0675865002</v>
      </c>
      <c r="N16" s="5">
        <f t="shared" si="3"/>
        <v>819691.0675865002</v>
      </c>
      <c r="O16" s="37">
        <f t="shared" si="2"/>
        <v>61116.36507539999</v>
      </c>
      <c r="Q16" s="38"/>
      <c r="R16" s="38">
        <f t="shared" si="4"/>
        <v>16247.675514999999</v>
      </c>
      <c r="S16" s="5">
        <f t="shared" si="5"/>
        <v>16247.675514999999</v>
      </c>
      <c r="T16" s="38">
        <f t="shared" si="6"/>
        <v>1211.441521</v>
      </c>
      <c r="W16" s="38">
        <f t="shared" si="7"/>
        <v>3869.7425860000003</v>
      </c>
      <c r="X16" s="38">
        <f t="shared" si="8"/>
        <v>3869.7425860000003</v>
      </c>
      <c r="Y16" s="38">
        <f t="shared" si="9"/>
        <v>288.5315404</v>
      </c>
      <c r="AB16" s="5">
        <f t="shared" si="10"/>
        <v>953.179103</v>
      </c>
      <c r="AC16" s="5">
        <f t="shared" si="11"/>
        <v>953.179103</v>
      </c>
      <c r="AD16" s="38">
        <f t="shared" si="12"/>
        <v>71.0699042</v>
      </c>
      <c r="AG16" s="5">
        <f t="shared" si="13"/>
        <v>34.828066</v>
      </c>
      <c r="AH16" s="5">
        <f t="shared" si="14"/>
        <v>34.828066</v>
      </c>
      <c r="AI16" s="38">
        <f t="shared" si="15"/>
        <v>2.5968123999999997</v>
      </c>
      <c r="AK16" s="38"/>
      <c r="AL16" s="38">
        <f t="shared" si="16"/>
        <v>3.82726</v>
      </c>
      <c r="AM16" s="5">
        <f t="shared" si="17"/>
        <v>3.82726</v>
      </c>
      <c r="AN16" s="38"/>
      <c r="AP16" s="38"/>
      <c r="AQ16" s="38">
        <f t="shared" si="18"/>
        <v>49458.341439</v>
      </c>
      <c r="AR16" s="5">
        <f t="shared" si="19"/>
        <v>49458.341439</v>
      </c>
      <c r="AS16" s="38">
        <f t="shared" si="20"/>
        <v>3687.6590946</v>
      </c>
      <c r="AT16" s="5"/>
      <c r="AU16" s="38"/>
      <c r="AV16" s="38">
        <f t="shared" si="21"/>
        <v>594.1821150000001</v>
      </c>
      <c r="AW16" s="5">
        <f t="shared" si="22"/>
        <v>594.1821150000001</v>
      </c>
      <c r="AX16" s="38">
        <f t="shared" si="23"/>
        <v>44.302761000000004</v>
      </c>
      <c r="AY16" s="5"/>
      <c r="AZ16" s="38"/>
      <c r="BA16" s="38">
        <f t="shared" si="24"/>
        <v>693.4038305</v>
      </c>
      <c r="BB16" s="5">
        <f t="shared" si="25"/>
        <v>693.4038305</v>
      </c>
      <c r="BC16" s="38">
        <f t="shared" si="26"/>
        <v>51.700822699999996</v>
      </c>
      <c r="BD16" s="5"/>
      <c r="BE16" s="38"/>
      <c r="BF16" s="38">
        <f t="shared" si="27"/>
        <v>3.5402155</v>
      </c>
      <c r="BG16" s="5">
        <f t="shared" si="28"/>
        <v>3.5402155</v>
      </c>
      <c r="BH16" s="38"/>
      <c r="BI16" s="5"/>
      <c r="BJ16" s="38"/>
      <c r="BK16" s="38">
        <f t="shared" si="29"/>
        <v>3670.8207475</v>
      </c>
      <c r="BL16" s="5">
        <f t="shared" si="30"/>
        <v>3670.8207475</v>
      </c>
      <c r="BM16" s="38">
        <f t="shared" si="31"/>
        <v>273.6997465</v>
      </c>
      <c r="BN16" s="5"/>
      <c r="BO16" s="5"/>
      <c r="BP16" s="5">
        <f t="shared" si="32"/>
        <v>2095.1378055</v>
      </c>
      <c r="BQ16" s="5">
        <f t="shared" si="33"/>
        <v>2095.1378055</v>
      </c>
      <c r="BR16" s="38">
        <f t="shared" si="34"/>
        <v>156.2153877</v>
      </c>
      <c r="BS16" s="5"/>
      <c r="BT16" s="38"/>
      <c r="BU16" s="38">
        <f t="shared" si="35"/>
        <v>23163.6300165</v>
      </c>
      <c r="BV16" s="5">
        <f t="shared" si="36"/>
        <v>23163.6300165</v>
      </c>
      <c r="BW16" s="38">
        <f t="shared" si="37"/>
        <v>1727.1014031</v>
      </c>
      <c r="BX16" s="5"/>
      <c r="BY16" s="38"/>
      <c r="BZ16" s="38">
        <f t="shared" si="38"/>
        <v>169.8346625</v>
      </c>
      <c r="CA16" s="5">
        <f t="shared" si="39"/>
        <v>169.8346625</v>
      </c>
      <c r="CB16" s="38">
        <f t="shared" si="40"/>
        <v>12.6630275</v>
      </c>
      <c r="CC16" s="5"/>
      <c r="CD16" s="5"/>
      <c r="CE16" s="38">
        <f t="shared" si="41"/>
        <v>6072.904805</v>
      </c>
      <c r="CF16" s="38">
        <f t="shared" si="42"/>
        <v>6072.904805</v>
      </c>
      <c r="CG16" s="38">
        <f t="shared" si="43"/>
        <v>452.801327</v>
      </c>
      <c r="CH16" s="5"/>
      <c r="CI16" s="5"/>
      <c r="CJ16" s="38">
        <f t="shared" si="44"/>
        <v>14304.192887</v>
      </c>
      <c r="CK16" s="38">
        <f t="shared" si="45"/>
        <v>14304.192887</v>
      </c>
      <c r="CL16" s="38">
        <f t="shared" si="46"/>
        <v>1066.5336817999998</v>
      </c>
      <c r="CM16" s="5"/>
      <c r="CN16" s="38"/>
      <c r="CO16" s="38">
        <f t="shared" si="47"/>
        <v>5599.1856985</v>
      </c>
      <c r="CP16" s="5">
        <f t="shared" si="48"/>
        <v>5599.1856985</v>
      </c>
      <c r="CQ16" s="38">
        <f t="shared" si="49"/>
        <v>417.4803979</v>
      </c>
      <c r="CR16" s="5"/>
      <c r="CS16" s="5"/>
      <c r="CT16" s="38">
        <f t="shared" si="50"/>
        <v>6936.143298</v>
      </c>
      <c r="CU16" s="38">
        <f t="shared" si="51"/>
        <v>6936.143298</v>
      </c>
      <c r="CV16" s="38">
        <f t="shared" si="52"/>
        <v>517.1651772</v>
      </c>
      <c r="CW16" s="5"/>
      <c r="CX16" s="5"/>
      <c r="CY16" s="5">
        <f t="shared" si="53"/>
        <v>802.2893775</v>
      </c>
      <c r="CZ16" s="5">
        <f t="shared" si="54"/>
        <v>802.2893775</v>
      </c>
      <c r="DA16" s="38">
        <f t="shared" si="55"/>
        <v>59.8194285</v>
      </c>
      <c r="DB16" s="5"/>
      <c r="DC16" s="38"/>
      <c r="DD16" s="38">
        <f t="shared" si="56"/>
        <v>84809.019792</v>
      </c>
      <c r="DE16" s="5">
        <f t="shared" si="57"/>
        <v>84809.019792</v>
      </c>
      <c r="DF16" s="38">
        <f t="shared" si="58"/>
        <v>6323.4379488</v>
      </c>
      <c r="DG16" s="5"/>
      <c r="DH16" s="38"/>
      <c r="DI16" s="38">
        <f t="shared" si="59"/>
        <v>80738.154693</v>
      </c>
      <c r="DJ16" s="5">
        <f t="shared" si="60"/>
        <v>80738.154693</v>
      </c>
      <c r="DK16" s="38">
        <f t="shared" si="61"/>
        <v>6019.910530200001</v>
      </c>
      <c r="DL16" s="5"/>
      <c r="DM16" s="38"/>
      <c r="DN16" s="38">
        <f t="shared" si="62"/>
        <v>1914.2040889999998</v>
      </c>
      <c r="DO16" s="5">
        <f t="shared" si="63"/>
        <v>1914.2040889999998</v>
      </c>
      <c r="DP16" s="38">
        <f t="shared" si="64"/>
        <v>142.7248046</v>
      </c>
      <c r="DQ16" s="5"/>
      <c r="DR16" s="38"/>
      <c r="DS16" s="38">
        <f t="shared" si="65"/>
        <v>137146.03483999998</v>
      </c>
      <c r="DT16" s="5">
        <f t="shared" si="66"/>
        <v>137146.03483999998</v>
      </c>
      <c r="DU16" s="38">
        <f t="shared" si="67"/>
        <v>10225.733575999999</v>
      </c>
      <c r="DV16" s="5"/>
      <c r="DW16" s="38"/>
      <c r="DX16" s="38">
        <f t="shared" si="68"/>
        <v>176358.13148850002</v>
      </c>
      <c r="DY16" s="5">
        <f t="shared" si="69"/>
        <v>176358.13148850002</v>
      </c>
      <c r="DZ16" s="38">
        <f t="shared" si="70"/>
        <v>13149.423303900001</v>
      </c>
      <c r="EA16" s="5"/>
      <c r="EB16" s="5"/>
      <c r="EC16" s="38">
        <f t="shared" si="71"/>
        <v>5502.834428</v>
      </c>
      <c r="ED16" s="38">
        <f t="shared" si="72"/>
        <v>5502.834428</v>
      </c>
      <c r="EE16" s="38">
        <f t="shared" si="73"/>
        <v>410.2963592</v>
      </c>
      <c r="EF16" s="5"/>
      <c r="EG16" s="5"/>
      <c r="EH16" s="38">
        <f t="shared" si="74"/>
        <v>15088.8768685</v>
      </c>
      <c r="EI16" s="38">
        <f t="shared" si="75"/>
        <v>15088.8768685</v>
      </c>
      <c r="EJ16" s="38">
        <f t="shared" si="76"/>
        <v>1125.0404359</v>
      </c>
      <c r="EK16" s="5"/>
      <c r="EL16" s="38"/>
      <c r="EM16" s="38">
        <f t="shared" si="77"/>
        <v>106507.7660435</v>
      </c>
      <c r="EN16" s="5">
        <f t="shared" si="78"/>
        <v>106507.7660435</v>
      </c>
      <c r="EO16" s="38">
        <f t="shared" si="79"/>
        <v>7941.3162809</v>
      </c>
      <c r="EP16" s="5"/>
      <c r="EQ16" s="38"/>
      <c r="ER16" s="38">
        <f t="shared" si="80"/>
        <v>76953.185916</v>
      </c>
      <c r="ES16" s="5">
        <f t="shared" si="81"/>
        <v>76953.185916</v>
      </c>
      <c r="ET16" s="38">
        <f t="shared" si="82"/>
        <v>5737.6998023999995</v>
      </c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</row>
    <row r="17" spans="1:193" ht="12.75">
      <c r="A17" s="40">
        <v>45017</v>
      </c>
      <c r="B17" s="77">
        <v>6410000</v>
      </c>
      <c r="C17" s="77">
        <v>956815</v>
      </c>
      <c r="D17" s="37">
        <f t="shared" si="0"/>
        <v>7366815</v>
      </c>
      <c r="E17" s="37">
        <v>71341</v>
      </c>
      <c r="G17" s="38">
        <v>918635.6889999999</v>
      </c>
      <c r="H17" s="38">
        <v>137123.9324135</v>
      </c>
      <c r="I17" s="38">
        <f t="shared" si="1"/>
        <v>1055759.6214134998</v>
      </c>
      <c r="J17" s="76">
        <v>10224.0855989</v>
      </c>
      <c r="L17" s="38">
        <f>Q17+V17+AA17+AK17+AP17+AU17+BJ17+BO17+BT17+CD17+CN17+CS17+CX17+DC17+DH17+DM17+DR17+DW17+EB17+EG17+EL17+EQ17+EV17+AF17+AZ17+BY17+CI17+BE17</f>
        <v>5491364.311000001</v>
      </c>
      <c r="M17" s="37">
        <f t="shared" si="2"/>
        <v>819691.0675865002</v>
      </c>
      <c r="N17" s="5">
        <f t="shared" si="3"/>
        <v>6311055.378586501</v>
      </c>
      <c r="O17" s="37">
        <f t="shared" si="2"/>
        <v>61116.36507539999</v>
      </c>
      <c r="Q17" s="38">
        <f t="shared" si="83"/>
        <v>108848.20999999999</v>
      </c>
      <c r="R17" s="38">
        <f t="shared" si="4"/>
        <v>16247.675514999999</v>
      </c>
      <c r="S17" s="5">
        <f t="shared" si="5"/>
        <v>125095.88551499999</v>
      </c>
      <c r="T17" s="38">
        <f t="shared" si="6"/>
        <v>1211.441521</v>
      </c>
      <c r="V17" s="5">
        <f t="shared" si="84"/>
        <v>25924.604</v>
      </c>
      <c r="W17" s="38">
        <f t="shared" si="7"/>
        <v>3869.7425860000003</v>
      </c>
      <c r="X17" s="38">
        <f t="shared" si="8"/>
        <v>29794.346586</v>
      </c>
      <c r="Y17" s="38">
        <f t="shared" si="9"/>
        <v>288.5315404</v>
      </c>
      <c r="AA17" s="5">
        <f t="shared" si="85"/>
        <v>6385.642</v>
      </c>
      <c r="AB17" s="5">
        <f t="shared" si="10"/>
        <v>953.179103</v>
      </c>
      <c r="AC17" s="5">
        <f t="shared" si="11"/>
        <v>7338.821103</v>
      </c>
      <c r="AD17" s="38">
        <f t="shared" si="12"/>
        <v>71.0699042</v>
      </c>
      <c r="AF17" s="5">
        <f t="shared" si="86"/>
        <v>233.32399999999998</v>
      </c>
      <c r="AG17" s="5">
        <f t="shared" si="13"/>
        <v>34.828066</v>
      </c>
      <c r="AH17" s="5">
        <f t="shared" si="14"/>
        <v>268.152066</v>
      </c>
      <c r="AI17" s="38">
        <f t="shared" si="15"/>
        <v>2.5968123999999997</v>
      </c>
      <c r="AK17" s="38">
        <f t="shared" si="87"/>
        <v>25.64</v>
      </c>
      <c r="AL17" s="38">
        <f t="shared" si="16"/>
        <v>3.82726</v>
      </c>
      <c r="AM17" s="5">
        <f t="shared" si="17"/>
        <v>29.46726</v>
      </c>
      <c r="AN17" s="38"/>
      <c r="AP17" s="38">
        <f t="shared" si="88"/>
        <v>331336.74600000004</v>
      </c>
      <c r="AQ17" s="38">
        <f t="shared" si="18"/>
        <v>49458.341439</v>
      </c>
      <c r="AR17" s="5">
        <f t="shared" si="19"/>
        <v>380795.087439</v>
      </c>
      <c r="AS17" s="38">
        <f t="shared" si="20"/>
        <v>3687.6590946</v>
      </c>
      <c r="AT17" s="5"/>
      <c r="AU17" s="38">
        <f t="shared" si="89"/>
        <v>3980.61</v>
      </c>
      <c r="AV17" s="38">
        <f t="shared" si="21"/>
        <v>594.1821150000001</v>
      </c>
      <c r="AW17" s="5">
        <f t="shared" si="22"/>
        <v>4574.792115</v>
      </c>
      <c r="AX17" s="38">
        <f t="shared" si="23"/>
        <v>44.302761000000004</v>
      </c>
      <c r="AY17" s="5"/>
      <c r="AZ17" s="38">
        <f t="shared" si="90"/>
        <v>4645.327</v>
      </c>
      <c r="BA17" s="38">
        <f t="shared" si="24"/>
        <v>693.4038305</v>
      </c>
      <c r="BB17" s="5">
        <f t="shared" si="25"/>
        <v>5338.730830500001</v>
      </c>
      <c r="BC17" s="38">
        <f t="shared" si="26"/>
        <v>51.700822699999996</v>
      </c>
      <c r="BD17" s="5"/>
      <c r="BE17" s="38">
        <f>B17*$BF$6</f>
        <v>23.717000000000002</v>
      </c>
      <c r="BF17" s="38">
        <f t="shared" si="27"/>
        <v>3.5402155</v>
      </c>
      <c r="BG17" s="5">
        <f t="shared" si="28"/>
        <v>27.2572155</v>
      </c>
      <c r="BH17" s="38"/>
      <c r="BI17" s="5"/>
      <c r="BJ17" s="38">
        <f t="shared" si="91"/>
        <v>24591.965</v>
      </c>
      <c r="BK17" s="38">
        <f t="shared" si="29"/>
        <v>3670.8207475</v>
      </c>
      <c r="BL17" s="5">
        <f t="shared" si="30"/>
        <v>28262.7857475</v>
      </c>
      <c r="BM17" s="38">
        <f t="shared" si="31"/>
        <v>273.6997465</v>
      </c>
      <c r="BN17" s="5"/>
      <c r="BO17" s="5">
        <f t="shared" si="92"/>
        <v>14035.977</v>
      </c>
      <c r="BP17" s="5">
        <f t="shared" si="32"/>
        <v>2095.1378055</v>
      </c>
      <c r="BQ17" s="5">
        <f t="shared" si="33"/>
        <v>16131.114805500001</v>
      </c>
      <c r="BR17" s="38">
        <f t="shared" si="34"/>
        <v>156.2153877</v>
      </c>
      <c r="BS17" s="5"/>
      <c r="BT17" s="38">
        <f t="shared" si="93"/>
        <v>155180.331</v>
      </c>
      <c r="BU17" s="38">
        <f t="shared" si="35"/>
        <v>23163.6300165</v>
      </c>
      <c r="BV17" s="5">
        <f t="shared" si="36"/>
        <v>178343.96101650002</v>
      </c>
      <c r="BW17" s="38">
        <f t="shared" si="37"/>
        <v>1727.1014031</v>
      </c>
      <c r="BX17" s="5"/>
      <c r="BY17" s="38">
        <f t="shared" si="94"/>
        <v>1137.775</v>
      </c>
      <c r="BZ17" s="38">
        <f t="shared" si="38"/>
        <v>169.8346625</v>
      </c>
      <c r="CA17" s="5">
        <f t="shared" si="39"/>
        <v>1307.6096625</v>
      </c>
      <c r="CB17" s="38">
        <f t="shared" si="40"/>
        <v>12.6630275</v>
      </c>
      <c r="CC17" s="5"/>
      <c r="CD17" s="5">
        <f t="shared" si="95"/>
        <v>40684.270000000004</v>
      </c>
      <c r="CE17" s="38">
        <f t="shared" si="41"/>
        <v>6072.904805</v>
      </c>
      <c r="CF17" s="38">
        <f t="shared" si="42"/>
        <v>46757.174805</v>
      </c>
      <c r="CG17" s="38">
        <f t="shared" si="43"/>
        <v>452.801327</v>
      </c>
      <c r="CH17" s="5"/>
      <c r="CI17" s="5">
        <f t="shared" si="96"/>
        <v>95828.218</v>
      </c>
      <c r="CJ17" s="38">
        <f t="shared" si="44"/>
        <v>14304.192887</v>
      </c>
      <c r="CK17" s="38">
        <f t="shared" si="45"/>
        <v>110132.41088699999</v>
      </c>
      <c r="CL17" s="38">
        <f t="shared" si="46"/>
        <v>1066.5336817999998</v>
      </c>
      <c r="CM17" s="5"/>
      <c r="CN17" s="38">
        <f t="shared" si="97"/>
        <v>37510.679000000004</v>
      </c>
      <c r="CO17" s="38">
        <f t="shared" si="47"/>
        <v>5599.1856985</v>
      </c>
      <c r="CP17" s="5">
        <f t="shared" si="48"/>
        <v>43109.8646985</v>
      </c>
      <c r="CQ17" s="38">
        <f t="shared" si="49"/>
        <v>417.4803979</v>
      </c>
      <c r="CR17" s="5"/>
      <c r="CS17" s="5">
        <f t="shared" si="98"/>
        <v>46467.372</v>
      </c>
      <c r="CT17" s="38">
        <f t="shared" si="50"/>
        <v>6936.143298</v>
      </c>
      <c r="CU17" s="38">
        <f t="shared" si="51"/>
        <v>53403.515298000006</v>
      </c>
      <c r="CV17" s="38">
        <f t="shared" si="52"/>
        <v>517.1651772</v>
      </c>
      <c r="CW17" s="5"/>
      <c r="CX17" s="5">
        <f t="shared" si="99"/>
        <v>5374.785000000001</v>
      </c>
      <c r="CY17" s="5">
        <f t="shared" si="53"/>
        <v>802.2893775</v>
      </c>
      <c r="CZ17" s="5">
        <f t="shared" si="54"/>
        <v>6177.074377500001</v>
      </c>
      <c r="DA17" s="38">
        <f t="shared" si="55"/>
        <v>59.8194285</v>
      </c>
      <c r="DB17" s="5"/>
      <c r="DC17" s="38">
        <f t="shared" si="100"/>
        <v>568161.888</v>
      </c>
      <c r="DD17" s="38">
        <f t="shared" si="56"/>
        <v>84809.019792</v>
      </c>
      <c r="DE17" s="5">
        <f t="shared" si="57"/>
        <v>652970.9077920001</v>
      </c>
      <c r="DF17" s="38">
        <f t="shared" si="58"/>
        <v>6323.4379488</v>
      </c>
      <c r="DG17" s="5"/>
      <c r="DH17" s="38">
        <f t="shared" si="101"/>
        <v>540889.902</v>
      </c>
      <c r="DI17" s="38">
        <f t="shared" si="59"/>
        <v>80738.154693</v>
      </c>
      <c r="DJ17" s="5">
        <f t="shared" si="60"/>
        <v>621628.056693</v>
      </c>
      <c r="DK17" s="38">
        <f t="shared" si="61"/>
        <v>6019.910530200001</v>
      </c>
      <c r="DL17" s="5"/>
      <c r="DM17" s="38">
        <f t="shared" si="102"/>
        <v>12823.846</v>
      </c>
      <c r="DN17" s="38">
        <f t="shared" si="62"/>
        <v>1914.2040889999998</v>
      </c>
      <c r="DO17" s="5">
        <f t="shared" si="63"/>
        <v>14738.050089</v>
      </c>
      <c r="DP17" s="38">
        <f t="shared" si="64"/>
        <v>142.7248046</v>
      </c>
      <c r="DQ17" s="5"/>
      <c r="DR17" s="38">
        <f t="shared" si="103"/>
        <v>918783.7599999999</v>
      </c>
      <c r="DS17" s="38">
        <f t="shared" si="65"/>
        <v>137146.03483999998</v>
      </c>
      <c r="DT17" s="5">
        <f t="shared" si="66"/>
        <v>1055929.7948399999</v>
      </c>
      <c r="DU17" s="38">
        <f t="shared" si="67"/>
        <v>10225.733575999999</v>
      </c>
      <c r="DV17" s="5"/>
      <c r="DW17" s="38">
        <f t="shared" si="104"/>
        <v>1181477.739</v>
      </c>
      <c r="DX17" s="38">
        <f t="shared" si="68"/>
        <v>176358.13148850002</v>
      </c>
      <c r="DY17" s="5">
        <f t="shared" si="69"/>
        <v>1357835.8704885</v>
      </c>
      <c r="DZ17" s="38">
        <f t="shared" si="70"/>
        <v>13149.423303900001</v>
      </c>
      <c r="EA17" s="5"/>
      <c r="EB17" s="5">
        <f t="shared" si="105"/>
        <v>36865.191999999995</v>
      </c>
      <c r="EC17" s="38">
        <f t="shared" si="71"/>
        <v>5502.834428</v>
      </c>
      <c r="ED17" s="38">
        <f t="shared" si="72"/>
        <v>42368.026428</v>
      </c>
      <c r="EE17" s="38">
        <f t="shared" si="73"/>
        <v>410.2963592</v>
      </c>
      <c r="EF17" s="5"/>
      <c r="EG17" s="5">
        <f t="shared" si="106"/>
        <v>101085.059</v>
      </c>
      <c r="EH17" s="38">
        <f t="shared" si="74"/>
        <v>15088.8768685</v>
      </c>
      <c r="EI17" s="38">
        <f t="shared" si="75"/>
        <v>116173.93586849999</v>
      </c>
      <c r="EJ17" s="38">
        <f t="shared" si="76"/>
        <v>1125.0404359</v>
      </c>
      <c r="EK17" s="5"/>
      <c r="EL17" s="38">
        <f t="shared" si="107"/>
        <v>713528.509</v>
      </c>
      <c r="EM17" s="38">
        <f t="shared" si="77"/>
        <v>106507.7660435</v>
      </c>
      <c r="EN17" s="5">
        <f t="shared" si="78"/>
        <v>820036.2750435</v>
      </c>
      <c r="EO17" s="38">
        <f t="shared" si="79"/>
        <v>7941.3162809</v>
      </c>
      <c r="EP17" s="5"/>
      <c r="EQ17" s="38">
        <f t="shared" si="108"/>
        <v>515533.224</v>
      </c>
      <c r="ER17" s="38">
        <f t="shared" si="80"/>
        <v>76953.185916</v>
      </c>
      <c r="ES17" s="5">
        <f t="shared" si="81"/>
        <v>592486.409916</v>
      </c>
      <c r="ET17" s="38">
        <f t="shared" si="82"/>
        <v>5737.6998023999995</v>
      </c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ht="12.75">
      <c r="A18" s="40">
        <v>45200</v>
      </c>
      <c r="B18" s="77"/>
      <c r="C18" s="77">
        <v>855777</v>
      </c>
      <c r="D18" s="37">
        <f t="shared" si="0"/>
        <v>855777</v>
      </c>
      <c r="E18" s="37">
        <v>71341</v>
      </c>
      <c r="G18" s="38"/>
      <c r="H18" s="38">
        <v>122643.8836233</v>
      </c>
      <c r="I18" s="38">
        <f t="shared" si="1"/>
        <v>122643.8836233</v>
      </c>
      <c r="J18" s="76">
        <v>10224.0855989</v>
      </c>
      <c r="L18" s="38"/>
      <c r="M18" s="37">
        <f t="shared" si="2"/>
        <v>733133.1163766999</v>
      </c>
      <c r="N18" s="5">
        <f t="shared" si="3"/>
        <v>733133.1163766999</v>
      </c>
      <c r="O18" s="37">
        <f t="shared" si="2"/>
        <v>61116.36507539999</v>
      </c>
      <c r="Q18" s="38"/>
      <c r="R18" s="38">
        <f t="shared" si="4"/>
        <v>14531.949236999999</v>
      </c>
      <c r="S18" s="5">
        <f t="shared" si="5"/>
        <v>14531.949236999999</v>
      </c>
      <c r="T18" s="38">
        <f t="shared" si="6"/>
        <v>1211.441521</v>
      </c>
      <c r="W18" s="38">
        <f t="shared" si="7"/>
        <v>3461.1044988</v>
      </c>
      <c r="X18" s="38">
        <f t="shared" si="8"/>
        <v>3461.1044988</v>
      </c>
      <c r="Y18" s="38">
        <f t="shared" si="9"/>
        <v>288.5315404</v>
      </c>
      <c r="AB18" s="5">
        <f t="shared" si="10"/>
        <v>852.5250474000001</v>
      </c>
      <c r="AC18" s="5">
        <f t="shared" si="11"/>
        <v>852.5250474000001</v>
      </c>
      <c r="AD18" s="38">
        <f t="shared" si="12"/>
        <v>71.0699042</v>
      </c>
      <c r="AG18" s="5">
        <f t="shared" si="13"/>
        <v>31.150282799999996</v>
      </c>
      <c r="AH18" s="5">
        <f t="shared" si="14"/>
        <v>31.150282799999996</v>
      </c>
      <c r="AI18" s="38">
        <f t="shared" si="15"/>
        <v>2.5968123999999997</v>
      </c>
      <c r="AK18" s="38"/>
      <c r="AL18" s="38">
        <f t="shared" si="16"/>
        <v>3.423108</v>
      </c>
      <c r="AM18" s="5">
        <f t="shared" si="17"/>
        <v>3.423108</v>
      </c>
      <c r="AN18" s="38"/>
      <c r="AP18" s="38"/>
      <c r="AQ18" s="38">
        <f t="shared" si="18"/>
        <v>44235.6265962</v>
      </c>
      <c r="AR18" s="5">
        <f t="shared" si="19"/>
        <v>44235.6265962</v>
      </c>
      <c r="AS18" s="38">
        <f t="shared" si="20"/>
        <v>3687.6590946</v>
      </c>
      <c r="AT18" s="5"/>
      <c r="AU18" s="38"/>
      <c r="AV18" s="38">
        <f t="shared" si="21"/>
        <v>531.4375170000001</v>
      </c>
      <c r="AW18" s="5">
        <f t="shared" si="22"/>
        <v>531.4375170000001</v>
      </c>
      <c r="AX18" s="38">
        <f t="shared" si="23"/>
        <v>44.302761000000004</v>
      </c>
      <c r="AY18" s="5"/>
      <c r="AZ18" s="38"/>
      <c r="BA18" s="38">
        <f t="shared" si="24"/>
        <v>620.1815919</v>
      </c>
      <c r="BB18" s="5">
        <f t="shared" si="25"/>
        <v>620.1815919</v>
      </c>
      <c r="BC18" s="38">
        <f t="shared" si="26"/>
        <v>51.700822699999996</v>
      </c>
      <c r="BD18" s="5"/>
      <c r="BE18" s="38"/>
      <c r="BF18" s="38">
        <f t="shared" si="27"/>
        <v>3.1663749</v>
      </c>
      <c r="BG18" s="5">
        <f t="shared" si="28"/>
        <v>3.1663749</v>
      </c>
      <c r="BH18" s="38"/>
      <c r="BI18" s="5"/>
      <c r="BJ18" s="38"/>
      <c r="BK18" s="38">
        <f t="shared" si="29"/>
        <v>3283.1884605</v>
      </c>
      <c r="BL18" s="5">
        <f t="shared" si="30"/>
        <v>3283.1884605</v>
      </c>
      <c r="BM18" s="38">
        <f t="shared" si="31"/>
        <v>273.6997465</v>
      </c>
      <c r="BN18" s="5"/>
      <c r="BO18" s="5"/>
      <c r="BP18" s="5">
        <f t="shared" si="32"/>
        <v>1873.8948969</v>
      </c>
      <c r="BQ18" s="5">
        <f t="shared" si="33"/>
        <v>1873.8948969</v>
      </c>
      <c r="BR18" s="38">
        <f t="shared" si="34"/>
        <v>156.2153877</v>
      </c>
      <c r="BS18" s="5"/>
      <c r="BT18" s="38"/>
      <c r="BU18" s="38">
        <f t="shared" si="35"/>
        <v>20717.5909707</v>
      </c>
      <c r="BV18" s="5">
        <f t="shared" si="36"/>
        <v>20717.5909707</v>
      </c>
      <c r="BW18" s="38">
        <f t="shared" si="37"/>
        <v>1727.1014031</v>
      </c>
      <c r="BX18" s="5"/>
      <c r="BY18" s="38"/>
      <c r="BZ18" s="38">
        <f t="shared" si="38"/>
        <v>151.9004175</v>
      </c>
      <c r="CA18" s="5">
        <f t="shared" si="39"/>
        <v>151.9004175</v>
      </c>
      <c r="CB18" s="38">
        <f t="shared" si="40"/>
        <v>12.6630275</v>
      </c>
      <c r="CC18" s="5"/>
      <c r="CD18" s="5"/>
      <c r="CE18" s="38">
        <f t="shared" si="41"/>
        <v>5431.616619</v>
      </c>
      <c r="CF18" s="38">
        <f t="shared" si="42"/>
        <v>5431.616619</v>
      </c>
      <c r="CG18" s="38">
        <f t="shared" si="43"/>
        <v>452.801327</v>
      </c>
      <c r="CH18" s="5"/>
      <c r="CI18" s="5"/>
      <c r="CJ18" s="38">
        <f t="shared" si="44"/>
        <v>12793.694994599999</v>
      </c>
      <c r="CK18" s="38">
        <f t="shared" si="45"/>
        <v>12793.694994599999</v>
      </c>
      <c r="CL18" s="38">
        <f t="shared" si="46"/>
        <v>1066.5336817999998</v>
      </c>
      <c r="CM18" s="5"/>
      <c r="CN18" s="38"/>
      <c r="CO18" s="38">
        <f t="shared" si="47"/>
        <v>5007.9214263</v>
      </c>
      <c r="CP18" s="5">
        <f t="shared" si="48"/>
        <v>5007.9214263</v>
      </c>
      <c r="CQ18" s="38">
        <f t="shared" si="49"/>
        <v>417.4803979</v>
      </c>
      <c r="CR18" s="5"/>
      <c r="CS18" s="5"/>
      <c r="CT18" s="38">
        <f t="shared" si="50"/>
        <v>6203.6986283999995</v>
      </c>
      <c r="CU18" s="38">
        <f t="shared" si="51"/>
        <v>6203.6986283999995</v>
      </c>
      <c r="CV18" s="38">
        <f t="shared" si="52"/>
        <v>517.1651772</v>
      </c>
      <c r="CW18" s="5"/>
      <c r="CX18" s="5"/>
      <c r="CY18" s="5">
        <f t="shared" si="53"/>
        <v>717.5690145000001</v>
      </c>
      <c r="CZ18" s="5">
        <f t="shared" si="54"/>
        <v>717.5690145000001</v>
      </c>
      <c r="DA18" s="38">
        <f t="shared" si="55"/>
        <v>59.8194285</v>
      </c>
      <c r="DB18" s="5"/>
      <c r="DC18" s="38"/>
      <c r="DD18" s="38">
        <f t="shared" si="56"/>
        <v>75853.3347936</v>
      </c>
      <c r="DE18" s="5">
        <f t="shared" si="57"/>
        <v>75853.3347936</v>
      </c>
      <c r="DF18" s="38">
        <f t="shared" si="58"/>
        <v>6323.4379488</v>
      </c>
      <c r="DG18" s="5"/>
      <c r="DH18" s="38"/>
      <c r="DI18" s="38">
        <f t="shared" si="59"/>
        <v>72212.3459694</v>
      </c>
      <c r="DJ18" s="5">
        <f t="shared" si="60"/>
        <v>72212.3459694</v>
      </c>
      <c r="DK18" s="38">
        <f t="shared" si="61"/>
        <v>6019.910530200001</v>
      </c>
      <c r="DL18" s="5"/>
      <c r="DM18" s="38"/>
      <c r="DN18" s="38">
        <f t="shared" si="62"/>
        <v>1712.0674662</v>
      </c>
      <c r="DO18" s="5">
        <f t="shared" si="63"/>
        <v>1712.0674662</v>
      </c>
      <c r="DP18" s="38">
        <f t="shared" si="64"/>
        <v>142.7248046</v>
      </c>
      <c r="DQ18" s="5"/>
      <c r="DR18" s="38"/>
      <c r="DS18" s="38">
        <f t="shared" si="65"/>
        <v>122663.652072</v>
      </c>
      <c r="DT18" s="5">
        <f t="shared" si="66"/>
        <v>122663.652072</v>
      </c>
      <c r="DU18" s="38">
        <f t="shared" si="67"/>
        <v>10225.733575999999</v>
      </c>
      <c r="DV18" s="5"/>
      <c r="DW18" s="38"/>
      <c r="DX18" s="38">
        <f t="shared" si="68"/>
        <v>157735.0195083</v>
      </c>
      <c r="DY18" s="5">
        <f t="shared" si="69"/>
        <v>157735.0195083</v>
      </c>
      <c r="DZ18" s="38">
        <f t="shared" si="70"/>
        <v>13149.423303900001</v>
      </c>
      <c r="EA18" s="5"/>
      <c r="EB18" s="5"/>
      <c r="EC18" s="38">
        <f t="shared" si="71"/>
        <v>4921.7446824</v>
      </c>
      <c r="ED18" s="38">
        <f t="shared" si="72"/>
        <v>4921.7446824</v>
      </c>
      <c r="EE18" s="38">
        <f t="shared" si="73"/>
        <v>410.2963592</v>
      </c>
      <c r="EF18" s="5"/>
      <c r="EG18" s="5"/>
      <c r="EH18" s="38">
        <f t="shared" si="74"/>
        <v>13495.5177123</v>
      </c>
      <c r="EI18" s="38">
        <f t="shared" si="75"/>
        <v>13495.5177123</v>
      </c>
      <c r="EJ18" s="38">
        <f t="shared" si="76"/>
        <v>1125.0404359</v>
      </c>
      <c r="EK18" s="5"/>
      <c r="EL18" s="38"/>
      <c r="EM18" s="38">
        <f t="shared" si="77"/>
        <v>95260.7311773</v>
      </c>
      <c r="EN18" s="5">
        <f t="shared" si="78"/>
        <v>95260.7311773</v>
      </c>
      <c r="EO18" s="38">
        <f t="shared" si="79"/>
        <v>7941.3162809</v>
      </c>
      <c r="EP18" s="5"/>
      <c r="EQ18" s="38"/>
      <c r="ER18" s="38">
        <f t="shared" si="80"/>
        <v>68827.06331279999</v>
      </c>
      <c r="ES18" s="5">
        <f t="shared" si="81"/>
        <v>68827.06331279999</v>
      </c>
      <c r="ET18" s="38">
        <f t="shared" si="82"/>
        <v>5737.6998023999995</v>
      </c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</row>
    <row r="19" spans="1:193" ht="12.75">
      <c r="A19" s="40">
        <v>45383</v>
      </c>
      <c r="B19" s="77">
        <v>6615000</v>
      </c>
      <c r="C19" s="77">
        <v>855777</v>
      </c>
      <c r="D19" s="37">
        <f t="shared" si="0"/>
        <v>7470777</v>
      </c>
      <c r="E19" s="37">
        <v>71341</v>
      </c>
      <c r="G19" s="38">
        <v>948014.8334999998</v>
      </c>
      <c r="H19" s="38">
        <v>122643.8836233</v>
      </c>
      <c r="I19" s="38">
        <f t="shared" si="1"/>
        <v>1070658.7171232998</v>
      </c>
      <c r="J19" s="76">
        <v>10224.0855989</v>
      </c>
      <c r="L19" s="38">
        <f>Q19+V19+AA19+AK19+AP19+AU19+BJ19+BO19+BT19+CD19+CN19+CS19+CX19+DC19+DH19+DM19+DR19+DW19+EB19+EG19+EL19+EQ19+EV19+AF19+AZ19+BY19+CI19+BE19</f>
        <v>5666985.1665</v>
      </c>
      <c r="M19" s="37">
        <f t="shared" si="2"/>
        <v>733133.1163766999</v>
      </c>
      <c r="N19" s="5">
        <f t="shared" si="3"/>
        <v>6400118.2828767</v>
      </c>
      <c r="O19" s="37">
        <f t="shared" si="2"/>
        <v>61116.36507539999</v>
      </c>
      <c r="Q19" s="38">
        <f t="shared" si="83"/>
        <v>112329.315</v>
      </c>
      <c r="R19" s="38">
        <f t="shared" si="4"/>
        <v>14531.949236999999</v>
      </c>
      <c r="S19" s="5">
        <f t="shared" si="5"/>
        <v>126861.264237</v>
      </c>
      <c r="T19" s="38">
        <f t="shared" si="6"/>
        <v>1211.441521</v>
      </c>
      <c r="V19" s="5">
        <f t="shared" si="84"/>
        <v>26753.706000000002</v>
      </c>
      <c r="W19" s="38">
        <f t="shared" si="7"/>
        <v>3461.1044988</v>
      </c>
      <c r="X19" s="38">
        <f t="shared" si="8"/>
        <v>30214.8104988</v>
      </c>
      <c r="Y19" s="38">
        <f t="shared" si="9"/>
        <v>288.5315404</v>
      </c>
      <c r="AA19" s="5">
        <f t="shared" si="85"/>
        <v>6589.863</v>
      </c>
      <c r="AB19" s="5">
        <f t="shared" si="10"/>
        <v>852.5250474000001</v>
      </c>
      <c r="AC19" s="5">
        <f t="shared" si="11"/>
        <v>7442.388047400001</v>
      </c>
      <c r="AD19" s="38">
        <f t="shared" si="12"/>
        <v>71.0699042</v>
      </c>
      <c r="AF19" s="5">
        <f t="shared" si="86"/>
        <v>240.78599999999997</v>
      </c>
      <c r="AG19" s="5">
        <f t="shared" si="13"/>
        <v>31.150282799999996</v>
      </c>
      <c r="AH19" s="5">
        <f t="shared" si="14"/>
        <v>271.93628279999996</v>
      </c>
      <c r="AI19" s="38">
        <f t="shared" si="15"/>
        <v>2.5968123999999997</v>
      </c>
      <c r="AK19" s="38">
        <f t="shared" si="87"/>
        <v>26.459999999999997</v>
      </c>
      <c r="AL19" s="38">
        <f t="shared" si="16"/>
        <v>3.423108</v>
      </c>
      <c r="AM19" s="5">
        <f t="shared" si="17"/>
        <v>29.883107999999996</v>
      </c>
      <c r="AN19" s="38"/>
      <c r="AP19" s="38">
        <f t="shared" si="88"/>
        <v>341933.319</v>
      </c>
      <c r="AQ19" s="38">
        <f t="shared" si="18"/>
        <v>44235.6265962</v>
      </c>
      <c r="AR19" s="5">
        <f t="shared" si="19"/>
        <v>386168.9455962</v>
      </c>
      <c r="AS19" s="38">
        <f t="shared" si="20"/>
        <v>3687.6590946</v>
      </c>
      <c r="AT19" s="5"/>
      <c r="AU19" s="38">
        <f t="shared" si="89"/>
        <v>4107.915</v>
      </c>
      <c r="AV19" s="38">
        <f t="shared" si="21"/>
        <v>531.4375170000001</v>
      </c>
      <c r="AW19" s="5">
        <f t="shared" si="22"/>
        <v>4639.352517</v>
      </c>
      <c r="AX19" s="38">
        <f t="shared" si="23"/>
        <v>44.302761000000004</v>
      </c>
      <c r="AY19" s="5"/>
      <c r="AZ19" s="38">
        <f t="shared" si="90"/>
        <v>4793.8905</v>
      </c>
      <c r="BA19" s="38">
        <f t="shared" si="24"/>
        <v>620.1815919</v>
      </c>
      <c r="BB19" s="5">
        <f t="shared" si="25"/>
        <v>5414.0720919000005</v>
      </c>
      <c r="BC19" s="38">
        <f t="shared" si="26"/>
        <v>51.700822699999996</v>
      </c>
      <c r="BD19" s="5"/>
      <c r="BE19" s="38">
        <f>B19*$BF$6</f>
        <v>24.4755</v>
      </c>
      <c r="BF19" s="38">
        <f t="shared" si="27"/>
        <v>3.1663749</v>
      </c>
      <c r="BG19" s="5">
        <f t="shared" si="28"/>
        <v>27.6418749</v>
      </c>
      <c r="BH19" s="38"/>
      <c r="BI19" s="5"/>
      <c r="BJ19" s="38">
        <f t="shared" si="91"/>
        <v>25378.447500000002</v>
      </c>
      <c r="BK19" s="38">
        <f t="shared" si="29"/>
        <v>3283.1884605</v>
      </c>
      <c r="BL19" s="5">
        <f t="shared" si="30"/>
        <v>28661.635960500003</v>
      </c>
      <c r="BM19" s="38">
        <f t="shared" si="31"/>
        <v>273.6997465</v>
      </c>
      <c r="BN19" s="5"/>
      <c r="BO19" s="5">
        <f t="shared" si="92"/>
        <v>14484.865500000002</v>
      </c>
      <c r="BP19" s="5">
        <f t="shared" si="32"/>
        <v>1873.8948969</v>
      </c>
      <c r="BQ19" s="5">
        <f t="shared" si="33"/>
        <v>16358.760396900001</v>
      </c>
      <c r="BR19" s="38">
        <f t="shared" si="34"/>
        <v>156.2153877</v>
      </c>
      <c r="BS19" s="5"/>
      <c r="BT19" s="38">
        <f t="shared" si="93"/>
        <v>160143.1965</v>
      </c>
      <c r="BU19" s="38">
        <f t="shared" si="35"/>
        <v>20717.5909707</v>
      </c>
      <c r="BV19" s="5">
        <f t="shared" si="36"/>
        <v>180860.7874707</v>
      </c>
      <c r="BW19" s="38">
        <f t="shared" si="37"/>
        <v>1727.1014031</v>
      </c>
      <c r="BX19" s="5"/>
      <c r="BY19" s="38">
        <f t="shared" si="94"/>
        <v>1174.1625000000001</v>
      </c>
      <c r="BZ19" s="38">
        <f t="shared" si="38"/>
        <v>151.9004175</v>
      </c>
      <c r="CA19" s="5">
        <f t="shared" si="39"/>
        <v>1326.0629175000001</v>
      </c>
      <c r="CB19" s="38">
        <f t="shared" si="40"/>
        <v>12.6630275</v>
      </c>
      <c r="CC19" s="5"/>
      <c r="CD19" s="5">
        <f t="shared" si="95"/>
        <v>41985.405</v>
      </c>
      <c r="CE19" s="38">
        <f t="shared" si="41"/>
        <v>5431.616619</v>
      </c>
      <c r="CF19" s="38">
        <f t="shared" si="42"/>
        <v>47417.021619</v>
      </c>
      <c r="CG19" s="38">
        <f t="shared" si="43"/>
        <v>452.801327</v>
      </c>
      <c r="CH19" s="5"/>
      <c r="CI19" s="5">
        <f t="shared" si="96"/>
        <v>98892.927</v>
      </c>
      <c r="CJ19" s="38">
        <f t="shared" si="44"/>
        <v>12793.694994599999</v>
      </c>
      <c r="CK19" s="38">
        <f t="shared" si="45"/>
        <v>111686.62199459999</v>
      </c>
      <c r="CL19" s="38">
        <f t="shared" si="46"/>
        <v>1066.5336817999998</v>
      </c>
      <c r="CM19" s="5"/>
      <c r="CN19" s="38">
        <f t="shared" si="97"/>
        <v>38710.3185</v>
      </c>
      <c r="CO19" s="38">
        <f t="shared" si="47"/>
        <v>5007.9214263</v>
      </c>
      <c r="CP19" s="5">
        <f t="shared" si="48"/>
        <v>43718.239926300004</v>
      </c>
      <c r="CQ19" s="38">
        <f t="shared" si="49"/>
        <v>417.4803979</v>
      </c>
      <c r="CR19" s="5"/>
      <c r="CS19" s="5">
        <f t="shared" si="98"/>
        <v>47953.458</v>
      </c>
      <c r="CT19" s="38">
        <f t="shared" si="50"/>
        <v>6203.6986283999995</v>
      </c>
      <c r="CU19" s="38">
        <f t="shared" si="51"/>
        <v>54157.1566284</v>
      </c>
      <c r="CV19" s="38">
        <f t="shared" si="52"/>
        <v>517.1651772</v>
      </c>
      <c r="CW19" s="5"/>
      <c r="CX19" s="5">
        <f t="shared" si="99"/>
        <v>5546.677500000001</v>
      </c>
      <c r="CY19" s="5">
        <f t="shared" si="53"/>
        <v>717.5690145000001</v>
      </c>
      <c r="CZ19" s="5">
        <f t="shared" si="54"/>
        <v>6264.246514500001</v>
      </c>
      <c r="DA19" s="38">
        <f t="shared" si="55"/>
        <v>59.8194285</v>
      </c>
      <c r="DB19" s="5"/>
      <c r="DC19" s="38">
        <f t="shared" si="100"/>
        <v>586332.432</v>
      </c>
      <c r="DD19" s="38">
        <f t="shared" si="56"/>
        <v>75853.3347936</v>
      </c>
      <c r="DE19" s="5">
        <f t="shared" si="57"/>
        <v>662185.7667936</v>
      </c>
      <c r="DF19" s="38">
        <f t="shared" si="58"/>
        <v>6323.4379488</v>
      </c>
      <c r="DG19" s="5"/>
      <c r="DH19" s="38">
        <f t="shared" si="101"/>
        <v>558188.253</v>
      </c>
      <c r="DI19" s="38">
        <f t="shared" si="59"/>
        <v>72212.3459694</v>
      </c>
      <c r="DJ19" s="5">
        <f t="shared" si="60"/>
        <v>630400.5989694</v>
      </c>
      <c r="DK19" s="38">
        <f t="shared" si="61"/>
        <v>6019.910530200001</v>
      </c>
      <c r="DL19" s="5"/>
      <c r="DM19" s="38">
        <f t="shared" si="102"/>
        <v>13233.969</v>
      </c>
      <c r="DN19" s="38">
        <f t="shared" si="62"/>
        <v>1712.0674662</v>
      </c>
      <c r="DO19" s="5">
        <f t="shared" si="63"/>
        <v>14946.0364662</v>
      </c>
      <c r="DP19" s="38">
        <f t="shared" si="64"/>
        <v>142.7248046</v>
      </c>
      <c r="DQ19" s="5"/>
      <c r="DR19" s="38">
        <f t="shared" si="103"/>
        <v>948167.6399999999</v>
      </c>
      <c r="DS19" s="38">
        <f t="shared" si="65"/>
        <v>122663.652072</v>
      </c>
      <c r="DT19" s="5">
        <f t="shared" si="66"/>
        <v>1070831.292072</v>
      </c>
      <c r="DU19" s="38">
        <f t="shared" si="67"/>
        <v>10225.733575999999</v>
      </c>
      <c r="DV19" s="5"/>
      <c r="DW19" s="38">
        <f t="shared" si="104"/>
        <v>1219262.9085000001</v>
      </c>
      <c r="DX19" s="38">
        <f t="shared" si="68"/>
        <v>157735.0195083</v>
      </c>
      <c r="DY19" s="5">
        <f t="shared" si="69"/>
        <v>1376997.9280083003</v>
      </c>
      <c r="DZ19" s="38">
        <f t="shared" si="70"/>
        <v>13149.423303900001</v>
      </c>
      <c r="EA19" s="5"/>
      <c r="EB19" s="5">
        <f t="shared" si="105"/>
        <v>38044.187999999995</v>
      </c>
      <c r="EC19" s="38">
        <f t="shared" si="71"/>
        <v>4921.7446824</v>
      </c>
      <c r="ED19" s="38">
        <f t="shared" si="72"/>
        <v>42965.932682399995</v>
      </c>
      <c r="EE19" s="38">
        <f t="shared" si="73"/>
        <v>410.2963592</v>
      </c>
      <c r="EF19" s="5"/>
      <c r="EG19" s="5">
        <f t="shared" si="106"/>
        <v>104317.8885</v>
      </c>
      <c r="EH19" s="38">
        <f t="shared" si="74"/>
        <v>13495.5177123</v>
      </c>
      <c r="EI19" s="38">
        <f t="shared" si="75"/>
        <v>117813.4062123</v>
      </c>
      <c r="EJ19" s="38">
        <f t="shared" si="76"/>
        <v>1125.0404359</v>
      </c>
      <c r="EK19" s="5"/>
      <c r="EL19" s="38">
        <f t="shared" si="107"/>
        <v>736348.0634999999</v>
      </c>
      <c r="EM19" s="38">
        <f t="shared" si="77"/>
        <v>95260.7311773</v>
      </c>
      <c r="EN19" s="5">
        <f t="shared" si="78"/>
        <v>831608.7946772999</v>
      </c>
      <c r="EO19" s="38">
        <f t="shared" si="79"/>
        <v>7941.3162809</v>
      </c>
      <c r="EP19" s="5"/>
      <c r="EQ19" s="38">
        <f t="shared" si="108"/>
        <v>532020.6359999999</v>
      </c>
      <c r="ER19" s="38">
        <f t="shared" si="80"/>
        <v>68827.06331279999</v>
      </c>
      <c r="ES19" s="5">
        <f t="shared" si="81"/>
        <v>600847.6993128</v>
      </c>
      <c r="ET19" s="38">
        <f t="shared" si="82"/>
        <v>5737.6998023999995</v>
      </c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ht="12.75">
      <c r="A20" s="40">
        <v>45566</v>
      </c>
      <c r="B20" s="77"/>
      <c r="C20" s="77">
        <v>749358</v>
      </c>
      <c r="D20" s="37">
        <f t="shared" si="0"/>
        <v>749358</v>
      </c>
      <c r="E20" s="37">
        <v>71341</v>
      </c>
      <c r="G20" s="38"/>
      <c r="H20" s="38">
        <v>107392.66811819999</v>
      </c>
      <c r="I20" s="38">
        <f t="shared" si="1"/>
        <v>107392.66811819999</v>
      </c>
      <c r="J20" s="76">
        <v>10224.0855989</v>
      </c>
      <c r="L20" s="38"/>
      <c r="M20" s="37">
        <f t="shared" si="2"/>
        <v>641965.3318818001</v>
      </c>
      <c r="N20" s="5">
        <f t="shared" si="3"/>
        <v>641965.3318818001</v>
      </c>
      <c r="O20" s="37">
        <f t="shared" si="2"/>
        <v>61116.36507539999</v>
      </c>
      <c r="Q20" s="38"/>
      <c r="R20" s="38">
        <f t="shared" si="4"/>
        <v>12724.848198</v>
      </c>
      <c r="S20" s="5">
        <f t="shared" si="5"/>
        <v>12724.848198</v>
      </c>
      <c r="T20" s="38">
        <f t="shared" si="6"/>
        <v>1211.441521</v>
      </c>
      <c r="W20" s="38">
        <f t="shared" si="7"/>
        <v>3030.7034952</v>
      </c>
      <c r="X20" s="38">
        <f t="shared" si="8"/>
        <v>3030.7034952</v>
      </c>
      <c r="Y20" s="38">
        <f t="shared" si="9"/>
        <v>288.5315404</v>
      </c>
      <c r="AB20" s="5">
        <f t="shared" si="10"/>
        <v>746.5104396</v>
      </c>
      <c r="AC20" s="5">
        <f t="shared" si="11"/>
        <v>746.5104396</v>
      </c>
      <c r="AD20" s="38">
        <f t="shared" si="12"/>
        <v>71.0699042</v>
      </c>
      <c r="AG20" s="5">
        <f t="shared" si="13"/>
        <v>27.276631199999997</v>
      </c>
      <c r="AH20" s="5">
        <f t="shared" si="14"/>
        <v>27.276631199999997</v>
      </c>
      <c r="AI20" s="38">
        <f t="shared" si="15"/>
        <v>2.5968123999999997</v>
      </c>
      <c r="AK20" s="38"/>
      <c r="AL20" s="38">
        <f t="shared" si="16"/>
        <v>2.997432</v>
      </c>
      <c r="AM20" s="5">
        <f t="shared" si="17"/>
        <v>2.997432</v>
      </c>
      <c r="AN20" s="38"/>
      <c r="AP20" s="38"/>
      <c r="AQ20" s="38">
        <f t="shared" si="18"/>
        <v>38734.764634800005</v>
      </c>
      <c r="AR20" s="5">
        <f t="shared" si="19"/>
        <v>38734.764634800005</v>
      </c>
      <c r="AS20" s="38">
        <f t="shared" si="20"/>
        <v>3687.6590946</v>
      </c>
      <c r="AT20" s="5"/>
      <c r="AU20" s="38"/>
      <c r="AV20" s="38">
        <f t="shared" si="21"/>
        <v>465.351318</v>
      </c>
      <c r="AW20" s="5">
        <f t="shared" si="22"/>
        <v>465.351318</v>
      </c>
      <c r="AX20" s="38">
        <f t="shared" si="23"/>
        <v>44.302761000000004</v>
      </c>
      <c r="AY20" s="5"/>
      <c r="AZ20" s="38"/>
      <c r="BA20" s="38">
        <f t="shared" si="24"/>
        <v>543.0597426</v>
      </c>
      <c r="BB20" s="5">
        <f t="shared" si="25"/>
        <v>543.0597426</v>
      </c>
      <c r="BC20" s="38">
        <f t="shared" si="26"/>
        <v>51.700822699999996</v>
      </c>
      <c r="BD20" s="5"/>
      <c r="BE20" s="38"/>
      <c r="BF20" s="38">
        <f t="shared" si="27"/>
        <v>2.7726246000000003</v>
      </c>
      <c r="BG20" s="5">
        <f t="shared" si="28"/>
        <v>2.7726246000000003</v>
      </c>
      <c r="BH20" s="38"/>
      <c r="BI20" s="5"/>
      <c r="BJ20" s="38"/>
      <c r="BK20" s="38">
        <f t="shared" si="29"/>
        <v>2874.911967</v>
      </c>
      <c r="BL20" s="5">
        <f t="shared" si="30"/>
        <v>2874.911967</v>
      </c>
      <c r="BM20" s="38">
        <f t="shared" si="31"/>
        <v>273.6997465</v>
      </c>
      <c r="BN20" s="5"/>
      <c r="BO20" s="5"/>
      <c r="BP20" s="5">
        <f t="shared" si="32"/>
        <v>1640.8692126</v>
      </c>
      <c r="BQ20" s="5">
        <f t="shared" si="33"/>
        <v>1640.8692126</v>
      </c>
      <c r="BR20" s="38">
        <f t="shared" si="34"/>
        <v>156.2153877</v>
      </c>
      <c r="BS20" s="5"/>
      <c r="BT20" s="38"/>
      <c r="BU20" s="38">
        <f t="shared" si="35"/>
        <v>18141.2827578</v>
      </c>
      <c r="BV20" s="5">
        <f t="shared" si="36"/>
        <v>18141.2827578</v>
      </c>
      <c r="BW20" s="38">
        <f t="shared" si="37"/>
        <v>1727.1014031</v>
      </c>
      <c r="BX20" s="5"/>
      <c r="BY20" s="38"/>
      <c r="BZ20" s="38">
        <f t="shared" si="38"/>
        <v>133.011045</v>
      </c>
      <c r="CA20" s="5">
        <f t="shared" si="39"/>
        <v>133.011045</v>
      </c>
      <c r="CB20" s="38">
        <f t="shared" si="40"/>
        <v>12.6630275</v>
      </c>
      <c r="CC20" s="5"/>
      <c r="CD20" s="5"/>
      <c r="CE20" s="38">
        <f t="shared" si="41"/>
        <v>4756.175226</v>
      </c>
      <c r="CF20" s="38">
        <f t="shared" si="42"/>
        <v>4756.175226</v>
      </c>
      <c r="CG20" s="38">
        <f t="shared" si="43"/>
        <v>452.801327</v>
      </c>
      <c r="CH20" s="5"/>
      <c r="CI20" s="5"/>
      <c r="CJ20" s="38">
        <f t="shared" si="44"/>
        <v>11202.752228399999</v>
      </c>
      <c r="CK20" s="38">
        <f t="shared" si="45"/>
        <v>11202.752228399999</v>
      </c>
      <c r="CL20" s="38">
        <f t="shared" si="46"/>
        <v>1066.5336817999998</v>
      </c>
      <c r="CM20" s="5"/>
      <c r="CN20" s="38"/>
      <c r="CO20" s="38">
        <f t="shared" si="47"/>
        <v>4385.1680802</v>
      </c>
      <c r="CP20" s="5">
        <f t="shared" si="48"/>
        <v>4385.1680802</v>
      </c>
      <c r="CQ20" s="38">
        <f t="shared" si="49"/>
        <v>417.4803979</v>
      </c>
      <c r="CR20" s="5"/>
      <c r="CS20" s="5"/>
      <c r="CT20" s="38">
        <f t="shared" si="50"/>
        <v>5432.2460136</v>
      </c>
      <c r="CU20" s="38">
        <f t="shared" si="51"/>
        <v>5432.2460136</v>
      </c>
      <c r="CV20" s="38">
        <f t="shared" si="52"/>
        <v>517.1651772</v>
      </c>
      <c r="CW20" s="5"/>
      <c r="CX20" s="5"/>
      <c r="CY20" s="5">
        <f t="shared" si="53"/>
        <v>628.336683</v>
      </c>
      <c r="CZ20" s="5">
        <f t="shared" si="54"/>
        <v>628.336683</v>
      </c>
      <c r="DA20" s="38">
        <f t="shared" si="55"/>
        <v>59.8194285</v>
      </c>
      <c r="DB20" s="5"/>
      <c r="DC20" s="38"/>
      <c r="DD20" s="38">
        <f t="shared" si="56"/>
        <v>66420.6951744</v>
      </c>
      <c r="DE20" s="5">
        <f t="shared" si="57"/>
        <v>66420.6951744</v>
      </c>
      <c r="DF20" s="38">
        <f t="shared" si="58"/>
        <v>6323.4379488</v>
      </c>
      <c r="DG20" s="5"/>
      <c r="DH20" s="38"/>
      <c r="DI20" s="38">
        <f t="shared" si="59"/>
        <v>63232.4766276</v>
      </c>
      <c r="DJ20" s="5">
        <f t="shared" si="60"/>
        <v>63232.4766276</v>
      </c>
      <c r="DK20" s="38">
        <f t="shared" si="61"/>
        <v>6019.910530200001</v>
      </c>
      <c r="DL20" s="5"/>
      <c r="DM20" s="38"/>
      <c r="DN20" s="38">
        <f t="shared" si="62"/>
        <v>1499.1656148</v>
      </c>
      <c r="DO20" s="5">
        <f t="shared" si="63"/>
        <v>1499.1656148</v>
      </c>
      <c r="DP20" s="38">
        <f t="shared" si="64"/>
        <v>142.7248046</v>
      </c>
      <c r="DQ20" s="5"/>
      <c r="DR20" s="38"/>
      <c r="DS20" s="38">
        <f t="shared" si="65"/>
        <v>107409.978288</v>
      </c>
      <c r="DT20" s="5">
        <f t="shared" si="66"/>
        <v>107409.978288</v>
      </c>
      <c r="DU20" s="38">
        <f t="shared" si="67"/>
        <v>10225.733575999999</v>
      </c>
      <c r="DV20" s="5"/>
      <c r="DW20" s="38"/>
      <c r="DX20" s="38">
        <f t="shared" si="68"/>
        <v>138120.0929082</v>
      </c>
      <c r="DY20" s="5">
        <f t="shared" si="69"/>
        <v>138120.0929082</v>
      </c>
      <c r="DZ20" s="38">
        <f t="shared" si="70"/>
        <v>13149.423303900001</v>
      </c>
      <c r="EA20" s="5"/>
      <c r="EB20" s="5"/>
      <c r="EC20" s="38">
        <f t="shared" si="71"/>
        <v>4309.7077296</v>
      </c>
      <c r="ED20" s="38">
        <f t="shared" si="72"/>
        <v>4309.7077296</v>
      </c>
      <c r="EE20" s="38">
        <f t="shared" si="73"/>
        <v>410.2963592</v>
      </c>
      <c r="EF20" s="5"/>
      <c r="EG20" s="5"/>
      <c r="EH20" s="38">
        <f t="shared" si="74"/>
        <v>11817.3007242</v>
      </c>
      <c r="EI20" s="38">
        <f t="shared" si="75"/>
        <v>11817.3007242</v>
      </c>
      <c r="EJ20" s="38">
        <f t="shared" si="76"/>
        <v>1125.0404359</v>
      </c>
      <c r="EK20" s="5"/>
      <c r="EL20" s="38"/>
      <c r="EM20" s="38">
        <f t="shared" si="77"/>
        <v>83414.7108342</v>
      </c>
      <c r="EN20" s="5">
        <f t="shared" si="78"/>
        <v>83414.7108342</v>
      </c>
      <c r="EO20" s="38">
        <f t="shared" si="79"/>
        <v>7941.3162809</v>
      </c>
      <c r="EP20" s="5"/>
      <c r="EQ20" s="38"/>
      <c r="ER20" s="38">
        <f t="shared" si="80"/>
        <v>60268.1662512</v>
      </c>
      <c r="ES20" s="5">
        <f t="shared" si="81"/>
        <v>60268.1662512</v>
      </c>
      <c r="ET20" s="38">
        <f t="shared" si="82"/>
        <v>5737.6998023999995</v>
      </c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</row>
    <row r="21" spans="1:193" ht="12.75">
      <c r="A21" s="40">
        <v>45748</v>
      </c>
      <c r="B21" s="77">
        <v>6825000</v>
      </c>
      <c r="C21" s="77">
        <v>749358</v>
      </c>
      <c r="D21" s="37">
        <f t="shared" si="0"/>
        <v>7574358</v>
      </c>
      <c r="E21" s="37">
        <v>71341</v>
      </c>
      <c r="G21" s="38">
        <v>978110.5425000002</v>
      </c>
      <c r="H21" s="38">
        <v>107392.66811819999</v>
      </c>
      <c r="I21" s="38">
        <f t="shared" si="1"/>
        <v>1085503.2106182002</v>
      </c>
      <c r="J21" s="76">
        <v>10224.0855989</v>
      </c>
      <c r="L21" s="38">
        <f>Q21+V21+AA21+AK21+AP21+AU21+BJ21+BO21+BT21+CD21+CN21+CS21+CX21+DC21+DH21+DM21+DR21+DW21+EB21+EG21+EL21+EQ21+EV21+AF21+AZ21+BY21+CI21+BE21</f>
        <v>5846889.4575</v>
      </c>
      <c r="M21" s="37">
        <f t="shared" si="2"/>
        <v>641965.3318818001</v>
      </c>
      <c r="N21" s="5">
        <f t="shared" si="3"/>
        <v>6488854.789381799</v>
      </c>
      <c r="O21" s="37">
        <f t="shared" si="2"/>
        <v>61116.36507539999</v>
      </c>
      <c r="Q21" s="38">
        <f t="shared" si="83"/>
        <v>115895.325</v>
      </c>
      <c r="R21" s="38">
        <f t="shared" si="4"/>
        <v>12724.848198</v>
      </c>
      <c r="S21" s="5">
        <f t="shared" si="5"/>
        <v>128620.173198</v>
      </c>
      <c r="T21" s="38">
        <f t="shared" si="6"/>
        <v>1211.441521</v>
      </c>
      <c r="V21" s="5">
        <f t="shared" si="84"/>
        <v>27603.03</v>
      </c>
      <c r="W21" s="38">
        <f t="shared" si="7"/>
        <v>3030.7034952</v>
      </c>
      <c r="X21" s="38">
        <f t="shared" si="8"/>
        <v>30633.7334952</v>
      </c>
      <c r="Y21" s="38">
        <f t="shared" si="9"/>
        <v>288.5315404</v>
      </c>
      <c r="AA21" s="5">
        <f t="shared" si="85"/>
        <v>6799.0650000000005</v>
      </c>
      <c r="AB21" s="5">
        <f t="shared" si="10"/>
        <v>746.5104396</v>
      </c>
      <c r="AC21" s="5">
        <f t="shared" si="11"/>
        <v>7545.5754396</v>
      </c>
      <c r="AD21" s="38">
        <f t="shared" si="12"/>
        <v>71.0699042</v>
      </c>
      <c r="AF21" s="5">
        <f t="shared" si="86"/>
        <v>248.42999999999998</v>
      </c>
      <c r="AG21" s="5">
        <f t="shared" si="13"/>
        <v>27.276631199999997</v>
      </c>
      <c r="AH21" s="5">
        <f t="shared" si="14"/>
        <v>275.70663119999995</v>
      </c>
      <c r="AI21" s="38">
        <f t="shared" si="15"/>
        <v>2.5968123999999997</v>
      </c>
      <c r="AK21" s="38">
        <f t="shared" si="87"/>
        <v>27.299999999999997</v>
      </c>
      <c r="AL21" s="38">
        <f t="shared" si="16"/>
        <v>2.997432</v>
      </c>
      <c r="AM21" s="5">
        <f t="shared" si="17"/>
        <v>30.297431999999997</v>
      </c>
      <c r="AN21" s="38"/>
      <c r="AP21" s="38">
        <f t="shared" si="88"/>
        <v>352788.34500000003</v>
      </c>
      <c r="AQ21" s="38">
        <f t="shared" si="18"/>
        <v>38734.764634800005</v>
      </c>
      <c r="AR21" s="5">
        <f t="shared" si="19"/>
        <v>391523.10963480006</v>
      </c>
      <c r="AS21" s="38">
        <f t="shared" si="20"/>
        <v>3687.6590946</v>
      </c>
      <c r="AT21" s="5"/>
      <c r="AU21" s="38">
        <f t="shared" si="89"/>
        <v>4238.325</v>
      </c>
      <c r="AV21" s="38">
        <f t="shared" si="21"/>
        <v>465.351318</v>
      </c>
      <c r="AW21" s="5">
        <f t="shared" si="22"/>
        <v>4703.676318</v>
      </c>
      <c r="AX21" s="38">
        <f t="shared" si="23"/>
        <v>44.302761000000004</v>
      </c>
      <c r="AY21" s="5"/>
      <c r="AZ21" s="38">
        <f t="shared" si="90"/>
        <v>4946.0775</v>
      </c>
      <c r="BA21" s="38">
        <f t="shared" si="24"/>
        <v>543.0597426</v>
      </c>
      <c r="BB21" s="5">
        <f t="shared" si="25"/>
        <v>5489.137242600001</v>
      </c>
      <c r="BC21" s="38">
        <f t="shared" si="26"/>
        <v>51.700822699999996</v>
      </c>
      <c r="BD21" s="5"/>
      <c r="BE21" s="38">
        <f>B21*$BF$6</f>
        <v>25.2525</v>
      </c>
      <c r="BF21" s="38">
        <f t="shared" si="27"/>
        <v>2.7726246000000003</v>
      </c>
      <c r="BG21" s="5">
        <f t="shared" si="28"/>
        <v>28.0251246</v>
      </c>
      <c r="BH21" s="38"/>
      <c r="BI21" s="5"/>
      <c r="BJ21" s="38">
        <f t="shared" si="91"/>
        <v>26184.1125</v>
      </c>
      <c r="BK21" s="38">
        <f t="shared" si="29"/>
        <v>2874.911967</v>
      </c>
      <c r="BL21" s="5">
        <f t="shared" si="30"/>
        <v>29059.024467</v>
      </c>
      <c r="BM21" s="38">
        <f t="shared" si="31"/>
        <v>273.6997465</v>
      </c>
      <c r="BN21" s="5"/>
      <c r="BO21" s="5">
        <f t="shared" si="92"/>
        <v>14944.702500000001</v>
      </c>
      <c r="BP21" s="5">
        <f t="shared" si="32"/>
        <v>1640.8692126</v>
      </c>
      <c r="BQ21" s="5">
        <f t="shared" si="33"/>
        <v>16585.5717126</v>
      </c>
      <c r="BR21" s="38">
        <f t="shared" si="34"/>
        <v>156.2153877</v>
      </c>
      <c r="BS21" s="5"/>
      <c r="BT21" s="38">
        <f t="shared" si="93"/>
        <v>165227.1075</v>
      </c>
      <c r="BU21" s="38">
        <f t="shared" si="35"/>
        <v>18141.2827578</v>
      </c>
      <c r="BV21" s="5">
        <f t="shared" si="36"/>
        <v>183368.3902578</v>
      </c>
      <c r="BW21" s="38">
        <f t="shared" si="37"/>
        <v>1727.1014031</v>
      </c>
      <c r="BX21" s="5"/>
      <c r="BY21" s="38">
        <f t="shared" si="94"/>
        <v>1211.4375</v>
      </c>
      <c r="BZ21" s="38">
        <f t="shared" si="38"/>
        <v>133.011045</v>
      </c>
      <c r="CA21" s="5">
        <f t="shared" si="39"/>
        <v>1344.448545</v>
      </c>
      <c r="CB21" s="38">
        <f t="shared" si="40"/>
        <v>12.6630275</v>
      </c>
      <c r="CC21" s="5"/>
      <c r="CD21" s="5">
        <f t="shared" si="95"/>
        <v>43318.275</v>
      </c>
      <c r="CE21" s="38">
        <f t="shared" si="41"/>
        <v>4756.175226</v>
      </c>
      <c r="CF21" s="38">
        <f t="shared" si="42"/>
        <v>48074.450226</v>
      </c>
      <c r="CG21" s="38">
        <f t="shared" si="43"/>
        <v>452.801327</v>
      </c>
      <c r="CH21" s="5"/>
      <c r="CI21" s="5">
        <f t="shared" si="96"/>
        <v>102032.385</v>
      </c>
      <c r="CJ21" s="38">
        <f t="shared" si="44"/>
        <v>11202.752228399999</v>
      </c>
      <c r="CK21" s="38">
        <f t="shared" si="45"/>
        <v>113235.1372284</v>
      </c>
      <c r="CL21" s="38">
        <f t="shared" si="46"/>
        <v>1066.5336817999998</v>
      </c>
      <c r="CM21" s="5"/>
      <c r="CN21" s="38">
        <f t="shared" si="97"/>
        <v>39939.2175</v>
      </c>
      <c r="CO21" s="38">
        <f t="shared" si="47"/>
        <v>4385.1680802</v>
      </c>
      <c r="CP21" s="5">
        <f t="shared" si="48"/>
        <v>44324.385580199996</v>
      </c>
      <c r="CQ21" s="38">
        <f t="shared" si="49"/>
        <v>417.4803979</v>
      </c>
      <c r="CR21" s="5"/>
      <c r="CS21" s="5">
        <f t="shared" si="98"/>
        <v>49475.79</v>
      </c>
      <c r="CT21" s="38">
        <f t="shared" si="50"/>
        <v>5432.2460136</v>
      </c>
      <c r="CU21" s="38">
        <f t="shared" si="51"/>
        <v>54908.0360136</v>
      </c>
      <c r="CV21" s="38">
        <f t="shared" si="52"/>
        <v>517.1651772</v>
      </c>
      <c r="CW21" s="5"/>
      <c r="CX21" s="5">
        <f t="shared" si="99"/>
        <v>5722.762500000001</v>
      </c>
      <c r="CY21" s="5">
        <f t="shared" si="53"/>
        <v>628.336683</v>
      </c>
      <c r="CZ21" s="5">
        <f t="shared" si="54"/>
        <v>6351.099183</v>
      </c>
      <c r="DA21" s="38">
        <f t="shared" si="55"/>
        <v>59.8194285</v>
      </c>
      <c r="DB21" s="5"/>
      <c r="DC21" s="38">
        <f t="shared" si="100"/>
        <v>604946.16</v>
      </c>
      <c r="DD21" s="38">
        <f t="shared" si="56"/>
        <v>66420.6951744</v>
      </c>
      <c r="DE21" s="5">
        <f t="shared" si="57"/>
        <v>671366.8551744</v>
      </c>
      <c r="DF21" s="38">
        <f t="shared" si="58"/>
        <v>6323.4379488</v>
      </c>
      <c r="DG21" s="5"/>
      <c r="DH21" s="38">
        <f t="shared" si="101"/>
        <v>575908.515</v>
      </c>
      <c r="DI21" s="38">
        <f t="shared" si="59"/>
        <v>63232.4766276</v>
      </c>
      <c r="DJ21" s="5">
        <f t="shared" si="60"/>
        <v>639140.9916276</v>
      </c>
      <c r="DK21" s="38">
        <f t="shared" si="61"/>
        <v>6019.910530200001</v>
      </c>
      <c r="DL21" s="5"/>
      <c r="DM21" s="38">
        <f t="shared" si="102"/>
        <v>13654.095</v>
      </c>
      <c r="DN21" s="38">
        <f t="shared" si="62"/>
        <v>1499.1656148</v>
      </c>
      <c r="DO21" s="5">
        <f t="shared" si="63"/>
        <v>15153.2606148</v>
      </c>
      <c r="DP21" s="38">
        <f t="shared" si="64"/>
        <v>142.7248046</v>
      </c>
      <c r="DQ21" s="5"/>
      <c r="DR21" s="38">
        <f t="shared" si="103"/>
        <v>978268.2</v>
      </c>
      <c r="DS21" s="38">
        <f t="shared" si="65"/>
        <v>107409.978288</v>
      </c>
      <c r="DT21" s="5">
        <f t="shared" si="66"/>
        <v>1085678.178288</v>
      </c>
      <c r="DU21" s="38">
        <f t="shared" si="67"/>
        <v>10225.733575999999</v>
      </c>
      <c r="DV21" s="5"/>
      <c r="DW21" s="38">
        <f t="shared" si="104"/>
        <v>1257969.6675</v>
      </c>
      <c r="DX21" s="38">
        <f t="shared" si="68"/>
        <v>138120.0929082</v>
      </c>
      <c r="DY21" s="5">
        <f t="shared" si="69"/>
        <v>1396089.7604081999</v>
      </c>
      <c r="DZ21" s="38">
        <f t="shared" si="70"/>
        <v>13149.423303900001</v>
      </c>
      <c r="EA21" s="5"/>
      <c r="EB21" s="5">
        <f t="shared" si="105"/>
        <v>39251.939999999995</v>
      </c>
      <c r="EC21" s="38">
        <f t="shared" si="71"/>
        <v>4309.7077296</v>
      </c>
      <c r="ED21" s="38">
        <f t="shared" si="72"/>
        <v>43561.647729599994</v>
      </c>
      <c r="EE21" s="38">
        <f t="shared" si="73"/>
        <v>410.2963592</v>
      </c>
      <c r="EF21" s="5"/>
      <c r="EG21" s="5">
        <f t="shared" si="106"/>
        <v>107629.5675</v>
      </c>
      <c r="EH21" s="38">
        <f t="shared" si="74"/>
        <v>11817.3007242</v>
      </c>
      <c r="EI21" s="38">
        <f t="shared" si="75"/>
        <v>119446.8682242</v>
      </c>
      <c r="EJ21" s="38">
        <f t="shared" si="76"/>
        <v>1125.0404359</v>
      </c>
      <c r="EK21" s="5"/>
      <c r="EL21" s="38">
        <f t="shared" si="107"/>
        <v>759724.1925</v>
      </c>
      <c r="EM21" s="38">
        <f t="shared" si="77"/>
        <v>83414.7108342</v>
      </c>
      <c r="EN21" s="5">
        <f t="shared" si="78"/>
        <v>843138.9033342</v>
      </c>
      <c r="EO21" s="38">
        <f t="shared" si="79"/>
        <v>7941.3162809</v>
      </c>
      <c r="EP21" s="5"/>
      <c r="EQ21" s="38">
        <f t="shared" si="108"/>
        <v>548910.1799999999</v>
      </c>
      <c r="ER21" s="38">
        <f t="shared" si="80"/>
        <v>60268.1662512</v>
      </c>
      <c r="ES21" s="5">
        <f t="shared" si="81"/>
        <v>609178.3462512</v>
      </c>
      <c r="ET21" s="38">
        <f t="shared" si="82"/>
        <v>5737.6998023999995</v>
      </c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ht="12.75">
      <c r="A22" s="40">
        <v>45931</v>
      </c>
      <c r="B22" s="77"/>
      <c r="C22" s="77">
        <v>637343</v>
      </c>
      <c r="D22" s="37">
        <f t="shared" si="0"/>
        <v>637343</v>
      </c>
      <c r="E22" s="37">
        <v>71341</v>
      </c>
      <c r="G22" s="38"/>
      <c r="H22" s="38">
        <v>91339.47362469998</v>
      </c>
      <c r="I22" s="38">
        <f t="shared" si="1"/>
        <v>91339.47362469998</v>
      </c>
      <c r="J22" s="76">
        <v>10224.0855989</v>
      </c>
      <c r="L22" s="38"/>
      <c r="M22" s="37">
        <f t="shared" si="2"/>
        <v>546003.5263753</v>
      </c>
      <c r="N22" s="5">
        <f t="shared" si="3"/>
        <v>546003.5263753</v>
      </c>
      <c r="O22" s="37">
        <f t="shared" si="2"/>
        <v>61116.36507539999</v>
      </c>
      <c r="Q22" s="38"/>
      <c r="R22" s="38">
        <f t="shared" si="4"/>
        <v>10822.721483</v>
      </c>
      <c r="S22" s="5">
        <f t="shared" si="5"/>
        <v>10822.721483</v>
      </c>
      <c r="T22" s="38">
        <f t="shared" si="6"/>
        <v>1211.441521</v>
      </c>
      <c r="W22" s="38">
        <f t="shared" si="7"/>
        <v>2577.6700292</v>
      </c>
      <c r="X22" s="38">
        <f t="shared" si="8"/>
        <v>2577.6700292</v>
      </c>
      <c r="Y22" s="38">
        <f t="shared" si="9"/>
        <v>288.5315404</v>
      </c>
      <c r="AB22" s="5">
        <f t="shared" si="10"/>
        <v>634.9210966</v>
      </c>
      <c r="AC22" s="5">
        <f t="shared" si="11"/>
        <v>634.9210966</v>
      </c>
      <c r="AD22" s="38">
        <f t="shared" si="12"/>
        <v>71.0699042</v>
      </c>
      <c r="AG22" s="5">
        <f t="shared" si="13"/>
        <v>23.1992852</v>
      </c>
      <c r="AH22" s="5">
        <f t="shared" si="14"/>
        <v>23.1992852</v>
      </c>
      <c r="AI22" s="38">
        <f t="shared" si="15"/>
        <v>2.5968123999999997</v>
      </c>
      <c r="AK22" s="38"/>
      <c r="AL22" s="38">
        <f t="shared" si="16"/>
        <v>2.549372</v>
      </c>
      <c r="AM22" s="5">
        <f t="shared" si="17"/>
        <v>2.549372</v>
      </c>
      <c r="AN22" s="38"/>
      <c r="AP22" s="38"/>
      <c r="AQ22" s="38">
        <f t="shared" si="18"/>
        <v>32944.6420758</v>
      </c>
      <c r="AR22" s="5">
        <f t="shared" si="19"/>
        <v>32944.6420758</v>
      </c>
      <c r="AS22" s="38">
        <f t="shared" si="20"/>
        <v>3687.6590946</v>
      </c>
      <c r="AT22" s="5"/>
      <c r="AU22" s="38"/>
      <c r="AV22" s="38">
        <f t="shared" si="21"/>
        <v>395.790003</v>
      </c>
      <c r="AW22" s="5">
        <f t="shared" si="22"/>
        <v>395.790003</v>
      </c>
      <c r="AX22" s="38">
        <f t="shared" si="23"/>
        <v>44.302761000000004</v>
      </c>
      <c r="AY22" s="5"/>
      <c r="AZ22" s="38"/>
      <c r="BA22" s="38">
        <f t="shared" si="24"/>
        <v>461.8824721</v>
      </c>
      <c r="BB22" s="5">
        <f t="shared" si="25"/>
        <v>461.8824721</v>
      </c>
      <c r="BC22" s="38">
        <f t="shared" si="26"/>
        <v>51.700822699999996</v>
      </c>
      <c r="BD22" s="5"/>
      <c r="BE22" s="38"/>
      <c r="BF22" s="38">
        <f t="shared" si="27"/>
        <v>2.3581691</v>
      </c>
      <c r="BG22" s="5">
        <f t="shared" si="28"/>
        <v>2.3581691</v>
      </c>
      <c r="BH22" s="38"/>
      <c r="BI22" s="5"/>
      <c r="BJ22" s="38"/>
      <c r="BK22" s="38">
        <f t="shared" si="29"/>
        <v>2445.1664195</v>
      </c>
      <c r="BL22" s="5">
        <f t="shared" si="30"/>
        <v>2445.1664195</v>
      </c>
      <c r="BM22" s="38">
        <f t="shared" si="31"/>
        <v>273.6997465</v>
      </c>
      <c r="BN22" s="5"/>
      <c r="BO22" s="5"/>
      <c r="BP22" s="5">
        <f t="shared" si="32"/>
        <v>1395.5899671000002</v>
      </c>
      <c r="BQ22" s="5">
        <f t="shared" si="33"/>
        <v>1395.5899671000002</v>
      </c>
      <c r="BR22" s="38">
        <f t="shared" si="34"/>
        <v>156.2153877</v>
      </c>
      <c r="BS22" s="5"/>
      <c r="BT22" s="38"/>
      <c r="BU22" s="38">
        <f t="shared" si="35"/>
        <v>15429.500421300001</v>
      </c>
      <c r="BV22" s="5">
        <f t="shared" si="36"/>
        <v>15429.500421300001</v>
      </c>
      <c r="BW22" s="38">
        <f t="shared" si="37"/>
        <v>1727.1014031</v>
      </c>
      <c r="BX22" s="5"/>
      <c r="BY22" s="38"/>
      <c r="BZ22" s="38">
        <f t="shared" si="38"/>
        <v>113.1283825</v>
      </c>
      <c r="CA22" s="5">
        <f t="shared" si="39"/>
        <v>113.1283825</v>
      </c>
      <c r="CB22" s="38">
        <f t="shared" si="40"/>
        <v>12.6630275</v>
      </c>
      <c r="CC22" s="5"/>
      <c r="CD22" s="5"/>
      <c r="CE22" s="38">
        <f t="shared" si="41"/>
        <v>4045.216021</v>
      </c>
      <c r="CF22" s="38">
        <f t="shared" si="42"/>
        <v>4045.216021</v>
      </c>
      <c r="CG22" s="38">
        <f t="shared" si="43"/>
        <v>452.801327</v>
      </c>
      <c r="CH22" s="5"/>
      <c r="CI22" s="5"/>
      <c r="CJ22" s="38">
        <f t="shared" si="44"/>
        <v>9528.150381399999</v>
      </c>
      <c r="CK22" s="38">
        <f t="shared" si="45"/>
        <v>9528.150381399999</v>
      </c>
      <c r="CL22" s="38">
        <f t="shared" si="46"/>
        <v>1066.5336817999998</v>
      </c>
      <c r="CM22" s="5"/>
      <c r="CN22" s="38"/>
      <c r="CO22" s="38">
        <f t="shared" si="47"/>
        <v>3729.6675017000002</v>
      </c>
      <c r="CP22" s="5">
        <f t="shared" si="48"/>
        <v>3729.6675017000002</v>
      </c>
      <c r="CQ22" s="38">
        <f t="shared" si="49"/>
        <v>417.4803979</v>
      </c>
      <c r="CR22" s="5"/>
      <c r="CS22" s="5"/>
      <c r="CT22" s="38">
        <f t="shared" si="50"/>
        <v>4620.2268756</v>
      </c>
      <c r="CU22" s="38">
        <f t="shared" si="51"/>
        <v>4620.2268756</v>
      </c>
      <c r="CV22" s="38">
        <f t="shared" si="52"/>
        <v>517.1651772</v>
      </c>
      <c r="CW22" s="5"/>
      <c r="CX22" s="5"/>
      <c r="CY22" s="5">
        <f t="shared" si="53"/>
        <v>534.4121055</v>
      </c>
      <c r="CZ22" s="5">
        <f t="shared" si="54"/>
        <v>534.4121055</v>
      </c>
      <c r="DA22" s="38">
        <f t="shared" si="55"/>
        <v>59.8194285</v>
      </c>
      <c r="DB22" s="5"/>
      <c r="DC22" s="38"/>
      <c r="DD22" s="38">
        <f t="shared" si="56"/>
        <v>56492.0440224</v>
      </c>
      <c r="DE22" s="5">
        <f t="shared" si="57"/>
        <v>56492.0440224</v>
      </c>
      <c r="DF22" s="38">
        <f t="shared" si="58"/>
        <v>6323.4379488</v>
      </c>
      <c r="DG22" s="5"/>
      <c r="DH22" s="38"/>
      <c r="DI22" s="38">
        <f t="shared" si="59"/>
        <v>53780.4044946</v>
      </c>
      <c r="DJ22" s="5">
        <f t="shared" si="60"/>
        <v>53780.4044946</v>
      </c>
      <c r="DK22" s="38">
        <f t="shared" si="61"/>
        <v>6019.910530200001</v>
      </c>
      <c r="DL22" s="5"/>
      <c r="DM22" s="38"/>
      <c r="DN22" s="38">
        <f t="shared" si="62"/>
        <v>1275.0684058</v>
      </c>
      <c r="DO22" s="5">
        <f t="shared" si="63"/>
        <v>1275.0684058</v>
      </c>
      <c r="DP22" s="38">
        <f t="shared" si="64"/>
        <v>142.7248046</v>
      </c>
      <c r="DQ22" s="5"/>
      <c r="DR22" s="38"/>
      <c r="DS22" s="38">
        <f t="shared" si="65"/>
        <v>91354.196248</v>
      </c>
      <c r="DT22" s="5">
        <f t="shared" si="66"/>
        <v>91354.196248</v>
      </c>
      <c r="DU22" s="38">
        <f t="shared" si="67"/>
        <v>10225.733575999999</v>
      </c>
      <c r="DV22" s="5"/>
      <c r="DW22" s="38"/>
      <c r="DX22" s="38">
        <f t="shared" si="68"/>
        <v>117473.72333970001</v>
      </c>
      <c r="DY22" s="5">
        <f t="shared" si="69"/>
        <v>117473.72333970001</v>
      </c>
      <c r="DZ22" s="38">
        <f t="shared" si="70"/>
        <v>13149.423303900001</v>
      </c>
      <c r="EA22" s="5"/>
      <c r="EB22" s="5"/>
      <c r="EC22" s="38">
        <f t="shared" si="71"/>
        <v>3665.4870616</v>
      </c>
      <c r="ED22" s="38">
        <f t="shared" si="72"/>
        <v>3665.4870616</v>
      </c>
      <c r="EE22" s="38">
        <f t="shared" si="73"/>
        <v>410.2963592</v>
      </c>
      <c r="EF22" s="5"/>
      <c r="EG22" s="5"/>
      <c r="EH22" s="38">
        <f t="shared" si="74"/>
        <v>10050.8353757</v>
      </c>
      <c r="EI22" s="38">
        <f t="shared" si="75"/>
        <v>10050.8353757</v>
      </c>
      <c r="EJ22" s="38">
        <f t="shared" si="76"/>
        <v>1125.0404359</v>
      </c>
      <c r="EK22" s="5"/>
      <c r="EL22" s="38"/>
      <c r="EM22" s="38">
        <f t="shared" si="77"/>
        <v>70945.77231069999</v>
      </c>
      <c r="EN22" s="5">
        <f t="shared" si="78"/>
        <v>70945.77231069999</v>
      </c>
      <c r="EO22" s="38">
        <f t="shared" si="79"/>
        <v>7941.3162809</v>
      </c>
      <c r="EP22" s="5"/>
      <c r="EQ22" s="38"/>
      <c r="ER22" s="38">
        <f t="shared" si="80"/>
        <v>51259.2030552</v>
      </c>
      <c r="ES22" s="5">
        <f t="shared" si="81"/>
        <v>51259.2030552</v>
      </c>
      <c r="ET22" s="38">
        <f t="shared" si="82"/>
        <v>5737.6998023999995</v>
      </c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</row>
    <row r="23" spans="1:193" ht="12.75">
      <c r="A23" s="40">
        <v>46113</v>
      </c>
      <c r="B23" s="77">
        <v>7050000</v>
      </c>
      <c r="C23" s="77">
        <v>637343</v>
      </c>
      <c r="D23" s="37">
        <f t="shared" si="0"/>
        <v>7687343</v>
      </c>
      <c r="E23" s="37">
        <v>71341</v>
      </c>
      <c r="G23" s="38">
        <v>1010355.9450000001</v>
      </c>
      <c r="H23" s="38">
        <v>91339.47362469998</v>
      </c>
      <c r="I23" s="38">
        <f t="shared" si="1"/>
        <v>1101695.4186247</v>
      </c>
      <c r="J23" s="76">
        <v>10224.0855989</v>
      </c>
      <c r="L23" s="38">
        <f>Q23+V23+AA23+AK23+AP23+AU23+BJ23+BO23+BT23+CD23+CN23+CS23+CX23+DC23+DH23+DM23+DR23+DW23+EB23+EG23+EL23+EQ23+EV23+AF23+AZ23+BY23+CI23+BE23</f>
        <v>6039644.055</v>
      </c>
      <c r="M23" s="37">
        <f t="shared" si="2"/>
        <v>546003.5263753</v>
      </c>
      <c r="N23" s="5">
        <f t="shared" si="3"/>
        <v>6585647.5813753</v>
      </c>
      <c r="O23" s="37">
        <f t="shared" si="2"/>
        <v>61116.36507539999</v>
      </c>
      <c r="Q23" s="38">
        <f t="shared" si="83"/>
        <v>119716.05</v>
      </c>
      <c r="R23" s="38">
        <f t="shared" si="4"/>
        <v>10822.721483</v>
      </c>
      <c r="S23" s="5">
        <f t="shared" si="5"/>
        <v>130538.771483</v>
      </c>
      <c r="T23" s="38">
        <f t="shared" si="6"/>
        <v>1211.441521</v>
      </c>
      <c r="V23" s="5">
        <f t="shared" si="84"/>
        <v>28513.02</v>
      </c>
      <c r="W23" s="38">
        <f t="shared" si="7"/>
        <v>2577.6700292</v>
      </c>
      <c r="X23" s="38">
        <f t="shared" si="8"/>
        <v>31090.6900292</v>
      </c>
      <c r="Y23" s="38">
        <f t="shared" si="9"/>
        <v>288.5315404</v>
      </c>
      <c r="AA23" s="5">
        <f t="shared" si="85"/>
        <v>7023.21</v>
      </c>
      <c r="AB23" s="5">
        <f t="shared" si="10"/>
        <v>634.9210966</v>
      </c>
      <c r="AC23" s="5">
        <f t="shared" si="11"/>
        <v>7658.1310966</v>
      </c>
      <c r="AD23" s="38">
        <f t="shared" si="12"/>
        <v>71.0699042</v>
      </c>
      <c r="AF23" s="5">
        <f t="shared" si="86"/>
        <v>256.62</v>
      </c>
      <c r="AG23" s="5">
        <f t="shared" si="13"/>
        <v>23.1992852</v>
      </c>
      <c r="AH23" s="5">
        <f t="shared" si="14"/>
        <v>279.8192852</v>
      </c>
      <c r="AI23" s="38">
        <f t="shared" si="15"/>
        <v>2.5968123999999997</v>
      </c>
      <c r="AK23" s="38">
        <f t="shared" si="87"/>
        <v>28.2</v>
      </c>
      <c r="AL23" s="38">
        <f t="shared" si="16"/>
        <v>2.549372</v>
      </c>
      <c r="AM23" s="5">
        <f t="shared" si="17"/>
        <v>30.749372</v>
      </c>
      <c r="AN23" s="38"/>
      <c r="AP23" s="38">
        <f t="shared" si="88"/>
        <v>364418.73000000004</v>
      </c>
      <c r="AQ23" s="38">
        <f t="shared" si="18"/>
        <v>32944.6420758</v>
      </c>
      <c r="AR23" s="5">
        <f t="shared" si="19"/>
        <v>397363.3720758</v>
      </c>
      <c r="AS23" s="38">
        <f t="shared" si="20"/>
        <v>3687.6590946</v>
      </c>
      <c r="AT23" s="5"/>
      <c r="AU23" s="38">
        <f t="shared" si="89"/>
        <v>4378.05</v>
      </c>
      <c r="AV23" s="38">
        <f t="shared" si="21"/>
        <v>395.790003</v>
      </c>
      <c r="AW23" s="5">
        <f t="shared" si="22"/>
        <v>4773.840003</v>
      </c>
      <c r="AX23" s="38">
        <f t="shared" si="23"/>
        <v>44.302761000000004</v>
      </c>
      <c r="AY23" s="5"/>
      <c r="AZ23" s="38">
        <f t="shared" si="90"/>
        <v>5109.135</v>
      </c>
      <c r="BA23" s="38">
        <f t="shared" si="24"/>
        <v>461.8824721</v>
      </c>
      <c r="BB23" s="5">
        <f t="shared" si="25"/>
        <v>5571.0174721</v>
      </c>
      <c r="BC23" s="38">
        <f t="shared" si="26"/>
        <v>51.700822699999996</v>
      </c>
      <c r="BD23" s="5"/>
      <c r="BE23" s="38">
        <f>B23*$BF$6</f>
        <v>26.085</v>
      </c>
      <c r="BF23" s="38">
        <f t="shared" si="27"/>
        <v>2.3581691</v>
      </c>
      <c r="BG23" s="5">
        <f t="shared" si="28"/>
        <v>28.443169100000002</v>
      </c>
      <c r="BH23" s="38"/>
      <c r="BI23" s="5"/>
      <c r="BJ23" s="38">
        <f t="shared" si="91"/>
        <v>27047.325</v>
      </c>
      <c r="BK23" s="38">
        <f t="shared" si="29"/>
        <v>2445.1664195</v>
      </c>
      <c r="BL23" s="5">
        <f t="shared" si="30"/>
        <v>29492.491419500002</v>
      </c>
      <c r="BM23" s="38">
        <f t="shared" si="31"/>
        <v>273.6997465</v>
      </c>
      <c r="BN23" s="5"/>
      <c r="BO23" s="5">
        <f t="shared" si="92"/>
        <v>15437.385</v>
      </c>
      <c r="BP23" s="5">
        <f t="shared" si="32"/>
        <v>1395.5899671000002</v>
      </c>
      <c r="BQ23" s="5">
        <f t="shared" si="33"/>
        <v>16832.9749671</v>
      </c>
      <c r="BR23" s="38">
        <f t="shared" si="34"/>
        <v>156.2153877</v>
      </c>
      <c r="BS23" s="5"/>
      <c r="BT23" s="38">
        <f t="shared" si="93"/>
        <v>170674.155</v>
      </c>
      <c r="BU23" s="38">
        <f t="shared" si="35"/>
        <v>15429.500421300001</v>
      </c>
      <c r="BV23" s="5">
        <f t="shared" si="36"/>
        <v>186103.6554213</v>
      </c>
      <c r="BW23" s="38">
        <f t="shared" si="37"/>
        <v>1727.1014031</v>
      </c>
      <c r="BX23" s="5"/>
      <c r="BY23" s="38">
        <f t="shared" si="94"/>
        <v>1251.375</v>
      </c>
      <c r="BZ23" s="38">
        <f t="shared" si="38"/>
        <v>113.1283825</v>
      </c>
      <c r="CA23" s="5">
        <f t="shared" si="39"/>
        <v>1364.5033825</v>
      </c>
      <c r="CB23" s="38">
        <f t="shared" si="40"/>
        <v>12.6630275</v>
      </c>
      <c r="CC23" s="5"/>
      <c r="CD23" s="5">
        <f t="shared" si="95"/>
        <v>44746.35</v>
      </c>
      <c r="CE23" s="38">
        <f t="shared" si="41"/>
        <v>4045.216021</v>
      </c>
      <c r="CF23" s="38">
        <f t="shared" si="42"/>
        <v>48791.566021</v>
      </c>
      <c r="CG23" s="38">
        <f t="shared" si="43"/>
        <v>452.801327</v>
      </c>
      <c r="CH23" s="5"/>
      <c r="CI23" s="5">
        <f t="shared" si="96"/>
        <v>105396.09</v>
      </c>
      <c r="CJ23" s="38">
        <f t="shared" si="44"/>
        <v>9528.150381399999</v>
      </c>
      <c r="CK23" s="38">
        <f t="shared" si="45"/>
        <v>114924.2403814</v>
      </c>
      <c r="CL23" s="38">
        <f t="shared" si="46"/>
        <v>1066.5336817999998</v>
      </c>
      <c r="CM23" s="5"/>
      <c r="CN23" s="38">
        <f t="shared" si="97"/>
        <v>41255.895000000004</v>
      </c>
      <c r="CO23" s="38">
        <f t="shared" si="47"/>
        <v>3729.6675017000002</v>
      </c>
      <c r="CP23" s="5">
        <f t="shared" si="48"/>
        <v>44985.562501700006</v>
      </c>
      <c r="CQ23" s="38">
        <f t="shared" si="49"/>
        <v>417.4803979</v>
      </c>
      <c r="CR23" s="5"/>
      <c r="CS23" s="5">
        <f t="shared" si="98"/>
        <v>51106.86</v>
      </c>
      <c r="CT23" s="38">
        <f t="shared" si="50"/>
        <v>4620.2268756</v>
      </c>
      <c r="CU23" s="38">
        <f t="shared" si="51"/>
        <v>55727.0868756</v>
      </c>
      <c r="CV23" s="38">
        <f t="shared" si="52"/>
        <v>517.1651772</v>
      </c>
      <c r="CW23" s="5"/>
      <c r="CX23" s="5">
        <f t="shared" si="99"/>
        <v>5911.425</v>
      </c>
      <c r="CY23" s="5">
        <f t="shared" si="53"/>
        <v>534.4121055</v>
      </c>
      <c r="CZ23" s="5">
        <f t="shared" si="54"/>
        <v>6445.837105500001</v>
      </c>
      <c r="DA23" s="38">
        <f t="shared" si="55"/>
        <v>59.8194285</v>
      </c>
      <c r="DB23" s="5"/>
      <c r="DC23" s="38">
        <f t="shared" si="100"/>
        <v>624889.4400000001</v>
      </c>
      <c r="DD23" s="38">
        <f t="shared" si="56"/>
        <v>56492.0440224</v>
      </c>
      <c r="DE23" s="5">
        <f t="shared" si="57"/>
        <v>681381.4840224001</v>
      </c>
      <c r="DF23" s="38">
        <f t="shared" si="58"/>
        <v>6323.4379488</v>
      </c>
      <c r="DG23" s="5"/>
      <c r="DH23" s="38">
        <f t="shared" si="101"/>
        <v>594894.51</v>
      </c>
      <c r="DI23" s="38">
        <f t="shared" si="59"/>
        <v>53780.4044946</v>
      </c>
      <c r="DJ23" s="5">
        <f t="shared" si="60"/>
        <v>648674.9144946</v>
      </c>
      <c r="DK23" s="38">
        <f t="shared" si="61"/>
        <v>6019.910530200001</v>
      </c>
      <c r="DL23" s="5"/>
      <c r="DM23" s="38">
        <f t="shared" si="102"/>
        <v>14104.23</v>
      </c>
      <c r="DN23" s="38">
        <f t="shared" si="62"/>
        <v>1275.0684058</v>
      </c>
      <c r="DO23" s="5">
        <f t="shared" si="63"/>
        <v>15379.2984058</v>
      </c>
      <c r="DP23" s="38">
        <f t="shared" si="64"/>
        <v>142.7248046</v>
      </c>
      <c r="DQ23" s="5"/>
      <c r="DR23" s="38">
        <f t="shared" si="103"/>
        <v>1010518.7999999999</v>
      </c>
      <c r="DS23" s="38">
        <f t="shared" si="65"/>
        <v>91354.196248</v>
      </c>
      <c r="DT23" s="5">
        <f t="shared" si="66"/>
        <v>1101872.9962479998</v>
      </c>
      <c r="DU23" s="38">
        <f t="shared" si="67"/>
        <v>10225.733575999999</v>
      </c>
      <c r="DV23" s="5"/>
      <c r="DW23" s="38">
        <f t="shared" si="104"/>
        <v>1299441.195</v>
      </c>
      <c r="DX23" s="38">
        <f t="shared" si="68"/>
        <v>117473.72333970001</v>
      </c>
      <c r="DY23" s="5">
        <f t="shared" si="69"/>
        <v>1416914.9183397</v>
      </c>
      <c r="DZ23" s="38">
        <f t="shared" si="70"/>
        <v>13149.423303900001</v>
      </c>
      <c r="EA23" s="5"/>
      <c r="EB23" s="5">
        <f t="shared" si="105"/>
        <v>40545.96</v>
      </c>
      <c r="EC23" s="38">
        <f t="shared" si="71"/>
        <v>3665.4870616</v>
      </c>
      <c r="ED23" s="38">
        <f t="shared" si="72"/>
        <v>44211.447061599996</v>
      </c>
      <c r="EE23" s="38">
        <f t="shared" si="73"/>
        <v>410.2963592</v>
      </c>
      <c r="EF23" s="5"/>
      <c r="EG23" s="5">
        <f t="shared" si="106"/>
        <v>111177.795</v>
      </c>
      <c r="EH23" s="38">
        <f t="shared" si="74"/>
        <v>10050.8353757</v>
      </c>
      <c r="EI23" s="38">
        <f t="shared" si="75"/>
        <v>121228.6303757</v>
      </c>
      <c r="EJ23" s="38">
        <f t="shared" si="76"/>
        <v>1125.0404359</v>
      </c>
      <c r="EK23" s="5"/>
      <c r="EL23" s="38">
        <f t="shared" si="107"/>
        <v>784770.0449999999</v>
      </c>
      <c r="EM23" s="38">
        <f t="shared" si="77"/>
        <v>70945.77231069999</v>
      </c>
      <c r="EN23" s="5">
        <f t="shared" si="78"/>
        <v>855715.8173107</v>
      </c>
      <c r="EO23" s="38">
        <f t="shared" si="79"/>
        <v>7941.3162809</v>
      </c>
      <c r="EP23" s="5"/>
      <c r="EQ23" s="38">
        <f t="shared" si="108"/>
        <v>567006.12</v>
      </c>
      <c r="ER23" s="38">
        <f t="shared" si="80"/>
        <v>51259.2030552</v>
      </c>
      <c r="ES23" s="5">
        <f t="shared" si="81"/>
        <v>618265.3230552</v>
      </c>
      <c r="ET23" s="38">
        <f t="shared" si="82"/>
        <v>5737.6998023999995</v>
      </c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ht="12.75">
      <c r="A24" s="40">
        <v>46296</v>
      </c>
      <c r="B24" s="77"/>
      <c r="C24" s="77">
        <v>522781</v>
      </c>
      <c r="D24" s="37">
        <f t="shared" si="0"/>
        <v>522781</v>
      </c>
      <c r="E24" s="37">
        <v>71341</v>
      </c>
      <c r="G24" s="38"/>
      <c r="H24" s="38">
        <v>74921.2611749</v>
      </c>
      <c r="I24" s="38">
        <f t="shared" si="1"/>
        <v>74921.2611749</v>
      </c>
      <c r="J24" s="76">
        <v>10224.0855989</v>
      </c>
      <c r="L24" s="38"/>
      <c r="M24" s="37">
        <f t="shared" si="2"/>
        <v>447859.73882509995</v>
      </c>
      <c r="N24" s="5">
        <f t="shared" si="3"/>
        <v>447859.73882509995</v>
      </c>
      <c r="O24" s="37">
        <f t="shared" si="2"/>
        <v>61116.36507539999</v>
      </c>
      <c r="Q24" s="38"/>
      <c r="R24" s="38">
        <f t="shared" si="4"/>
        <v>8877.344160999999</v>
      </c>
      <c r="S24" s="5">
        <f t="shared" si="5"/>
        <v>8877.344160999999</v>
      </c>
      <c r="T24" s="38">
        <f t="shared" si="6"/>
        <v>1211.441521</v>
      </c>
      <c r="W24" s="38">
        <f t="shared" si="7"/>
        <v>2114.3354764</v>
      </c>
      <c r="X24" s="38">
        <f t="shared" si="8"/>
        <v>2114.3354764</v>
      </c>
      <c r="Y24" s="38">
        <f t="shared" si="9"/>
        <v>288.5315404</v>
      </c>
      <c r="AB24" s="5">
        <f t="shared" si="10"/>
        <v>520.7944322000001</v>
      </c>
      <c r="AC24" s="5">
        <f t="shared" si="11"/>
        <v>520.7944322000001</v>
      </c>
      <c r="AD24" s="38">
        <f t="shared" si="12"/>
        <v>71.0699042</v>
      </c>
      <c r="AG24" s="5">
        <f t="shared" si="13"/>
        <v>19.029228399999997</v>
      </c>
      <c r="AH24" s="5">
        <f t="shared" si="14"/>
        <v>19.029228399999997</v>
      </c>
      <c r="AI24" s="38">
        <f t="shared" si="15"/>
        <v>2.5968123999999997</v>
      </c>
      <c r="AK24" s="38"/>
      <c r="AL24" s="38">
        <f t="shared" si="16"/>
        <v>2.0911239999999998</v>
      </c>
      <c r="AM24" s="5">
        <f t="shared" si="17"/>
        <v>2.0911239999999998</v>
      </c>
      <c r="AN24" s="38"/>
      <c r="AP24" s="38"/>
      <c r="AQ24" s="38">
        <f t="shared" si="18"/>
        <v>27022.863558600002</v>
      </c>
      <c r="AR24" s="5">
        <f t="shared" si="19"/>
        <v>27022.863558600002</v>
      </c>
      <c r="AS24" s="38">
        <f t="shared" si="20"/>
        <v>3687.6590946</v>
      </c>
      <c r="AT24" s="5"/>
      <c r="AU24" s="38"/>
      <c r="AV24" s="38">
        <f t="shared" si="21"/>
        <v>324.647001</v>
      </c>
      <c r="AW24" s="5">
        <f t="shared" si="22"/>
        <v>324.647001</v>
      </c>
      <c r="AX24" s="38">
        <f t="shared" si="23"/>
        <v>44.302761000000004</v>
      </c>
      <c r="AY24" s="5"/>
      <c r="AZ24" s="38"/>
      <c r="BA24" s="38">
        <f t="shared" si="24"/>
        <v>378.8593907</v>
      </c>
      <c r="BB24" s="5">
        <f t="shared" si="25"/>
        <v>378.8593907</v>
      </c>
      <c r="BC24" s="38">
        <f t="shared" si="26"/>
        <v>51.700822699999996</v>
      </c>
      <c r="BD24" s="5"/>
      <c r="BE24" s="38"/>
      <c r="BF24" s="38">
        <f t="shared" si="27"/>
        <v>1.9342897000000001</v>
      </c>
      <c r="BG24" s="5">
        <f t="shared" si="28"/>
        <v>1.9342897000000001</v>
      </c>
      <c r="BH24" s="38"/>
      <c r="BI24" s="5"/>
      <c r="BJ24" s="38"/>
      <c r="BK24" s="38">
        <f t="shared" si="29"/>
        <v>2005.6493065</v>
      </c>
      <c r="BL24" s="5">
        <f t="shared" si="30"/>
        <v>2005.6493065</v>
      </c>
      <c r="BM24" s="38">
        <f t="shared" si="31"/>
        <v>273.6997465</v>
      </c>
      <c r="BN24" s="5"/>
      <c r="BO24" s="5"/>
      <c r="BP24" s="5">
        <f t="shared" si="32"/>
        <v>1144.7335557000001</v>
      </c>
      <c r="BQ24" s="5">
        <f t="shared" si="33"/>
        <v>1144.7335557000001</v>
      </c>
      <c r="BR24" s="38">
        <f t="shared" si="34"/>
        <v>156.2153877</v>
      </c>
      <c r="BS24" s="5"/>
      <c r="BT24" s="38"/>
      <c r="BU24" s="38">
        <f t="shared" si="35"/>
        <v>12656.0575071</v>
      </c>
      <c r="BV24" s="5">
        <f t="shared" si="36"/>
        <v>12656.0575071</v>
      </c>
      <c r="BW24" s="38">
        <f t="shared" si="37"/>
        <v>1727.1014031</v>
      </c>
      <c r="BX24" s="5"/>
      <c r="BY24" s="38"/>
      <c r="BZ24" s="38">
        <f t="shared" si="38"/>
        <v>92.7936275</v>
      </c>
      <c r="CA24" s="5">
        <f t="shared" si="39"/>
        <v>92.7936275</v>
      </c>
      <c r="CB24" s="38">
        <f t="shared" si="40"/>
        <v>12.6630275</v>
      </c>
      <c r="CC24" s="5"/>
      <c r="CD24" s="5"/>
      <c r="CE24" s="38">
        <f t="shared" si="41"/>
        <v>3318.091007</v>
      </c>
      <c r="CF24" s="38">
        <f t="shared" si="42"/>
        <v>3318.091007</v>
      </c>
      <c r="CG24" s="38">
        <f t="shared" si="43"/>
        <v>452.801327</v>
      </c>
      <c r="CH24" s="5"/>
      <c r="CI24" s="5"/>
      <c r="CJ24" s="38">
        <f t="shared" si="44"/>
        <v>7815.4713937999995</v>
      </c>
      <c r="CK24" s="38">
        <f t="shared" si="45"/>
        <v>7815.4713937999995</v>
      </c>
      <c r="CL24" s="38">
        <f t="shared" si="46"/>
        <v>1066.5336817999998</v>
      </c>
      <c r="CM24" s="5"/>
      <c r="CN24" s="38"/>
      <c r="CO24" s="38">
        <f t="shared" si="47"/>
        <v>3059.2621339</v>
      </c>
      <c r="CP24" s="5">
        <f t="shared" si="48"/>
        <v>3059.2621339</v>
      </c>
      <c r="CQ24" s="38">
        <f t="shared" si="49"/>
        <v>417.4803979</v>
      </c>
      <c r="CR24" s="5"/>
      <c r="CS24" s="5"/>
      <c r="CT24" s="38">
        <f t="shared" si="50"/>
        <v>3789.7440252</v>
      </c>
      <c r="CU24" s="38">
        <f t="shared" si="51"/>
        <v>3789.7440252</v>
      </c>
      <c r="CV24" s="38">
        <f t="shared" si="52"/>
        <v>517.1651772</v>
      </c>
      <c r="CW24" s="5"/>
      <c r="CX24" s="5"/>
      <c r="CY24" s="5">
        <f t="shared" si="53"/>
        <v>438.3518685</v>
      </c>
      <c r="CZ24" s="5">
        <f t="shared" si="54"/>
        <v>438.3518685</v>
      </c>
      <c r="DA24" s="38">
        <f t="shared" si="55"/>
        <v>59.8194285</v>
      </c>
      <c r="DB24" s="5"/>
      <c r="DC24" s="38"/>
      <c r="DD24" s="38">
        <f t="shared" si="56"/>
        <v>46337.6349408</v>
      </c>
      <c r="DE24" s="5">
        <f t="shared" si="57"/>
        <v>46337.6349408</v>
      </c>
      <c r="DF24" s="38">
        <f t="shared" si="58"/>
        <v>6323.4379488</v>
      </c>
      <c r="DG24" s="5"/>
      <c r="DH24" s="38"/>
      <c r="DI24" s="38">
        <f t="shared" si="59"/>
        <v>44113.4108982</v>
      </c>
      <c r="DJ24" s="5">
        <f t="shared" si="60"/>
        <v>44113.4108982</v>
      </c>
      <c r="DK24" s="38">
        <f t="shared" si="61"/>
        <v>6019.910530200001</v>
      </c>
      <c r="DL24" s="5"/>
      <c r="DM24" s="38"/>
      <c r="DN24" s="38">
        <f t="shared" si="62"/>
        <v>1045.8756686</v>
      </c>
      <c r="DO24" s="5">
        <f t="shared" si="63"/>
        <v>1045.8756686</v>
      </c>
      <c r="DP24" s="38">
        <f t="shared" si="64"/>
        <v>142.7248046</v>
      </c>
      <c r="DQ24" s="5"/>
      <c r="DR24" s="38"/>
      <c r="DS24" s="38">
        <f t="shared" si="65"/>
        <v>74933.337416</v>
      </c>
      <c r="DT24" s="5">
        <f t="shared" si="66"/>
        <v>74933.337416</v>
      </c>
      <c r="DU24" s="38">
        <f t="shared" si="67"/>
        <v>10225.733575999999</v>
      </c>
      <c r="DV24" s="5"/>
      <c r="DW24" s="38"/>
      <c r="DX24" s="38">
        <f t="shared" si="68"/>
        <v>96357.8960799</v>
      </c>
      <c r="DY24" s="5">
        <f t="shared" si="69"/>
        <v>96357.8960799</v>
      </c>
      <c r="DZ24" s="38">
        <f t="shared" si="70"/>
        <v>13149.423303900001</v>
      </c>
      <c r="EA24" s="5"/>
      <c r="EB24" s="5"/>
      <c r="EC24" s="38">
        <f t="shared" si="71"/>
        <v>3006.6180872</v>
      </c>
      <c r="ED24" s="38">
        <f t="shared" si="72"/>
        <v>3006.6180872</v>
      </c>
      <c r="EE24" s="38">
        <f t="shared" si="73"/>
        <v>410.2963592</v>
      </c>
      <c r="EF24" s="5"/>
      <c r="EG24" s="5"/>
      <c r="EH24" s="38">
        <f t="shared" si="74"/>
        <v>8244.2040919</v>
      </c>
      <c r="EI24" s="38">
        <f t="shared" si="75"/>
        <v>8244.2040919</v>
      </c>
      <c r="EJ24" s="38">
        <f t="shared" si="76"/>
        <v>1125.0404359</v>
      </c>
      <c r="EK24" s="5"/>
      <c r="EL24" s="38"/>
      <c r="EM24" s="38">
        <f t="shared" si="77"/>
        <v>58193.3147369</v>
      </c>
      <c r="EN24" s="5">
        <f t="shared" si="78"/>
        <v>58193.3147369</v>
      </c>
      <c r="EO24" s="38">
        <f t="shared" si="79"/>
        <v>7941.3162809</v>
      </c>
      <c r="EP24" s="5"/>
      <c r="EQ24" s="38"/>
      <c r="ER24" s="38">
        <f t="shared" si="80"/>
        <v>42045.3938184</v>
      </c>
      <c r="ES24" s="5">
        <f t="shared" si="81"/>
        <v>42045.3938184</v>
      </c>
      <c r="ET24" s="38">
        <f t="shared" si="82"/>
        <v>5737.6998023999995</v>
      </c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</row>
    <row r="25" spans="1:193" ht="12.75">
      <c r="A25" s="40">
        <v>46478</v>
      </c>
      <c r="B25" s="77">
        <v>7280000</v>
      </c>
      <c r="C25" s="77">
        <v>522781</v>
      </c>
      <c r="D25" s="37">
        <f t="shared" si="0"/>
        <v>7802781</v>
      </c>
      <c r="E25" s="37">
        <v>71341</v>
      </c>
      <c r="G25" s="38">
        <v>1043317.9119999998</v>
      </c>
      <c r="H25" s="38">
        <v>74921.2611749</v>
      </c>
      <c r="I25" s="38">
        <f t="shared" si="1"/>
        <v>1118239.1731748998</v>
      </c>
      <c r="J25" s="76">
        <v>10224.0855989</v>
      </c>
      <c r="L25" s="38">
        <f>Q25+V25+AA25+AK25+AP25+AU25+BJ25+BO25+BT25+CD25+CN25+CS25+CX25+DC25+DH25+DM25+DR25+DW25+EB25+EG25+EL25+EQ25+EV25+AF25+AZ25+BY25+CI25+BE25</f>
        <v>6236682.087999999</v>
      </c>
      <c r="M25" s="37">
        <f t="shared" si="2"/>
        <v>447859.73882509995</v>
      </c>
      <c r="N25" s="5">
        <f t="shared" si="3"/>
        <v>6684541.826825098</v>
      </c>
      <c r="O25" s="37">
        <f t="shared" si="2"/>
        <v>61116.36507539999</v>
      </c>
      <c r="Q25" s="38">
        <f t="shared" si="83"/>
        <v>123621.68</v>
      </c>
      <c r="R25" s="38">
        <f t="shared" si="4"/>
        <v>8877.344160999999</v>
      </c>
      <c r="S25" s="5">
        <f t="shared" si="5"/>
        <v>132499.02416099998</v>
      </c>
      <c r="T25" s="38">
        <f t="shared" si="6"/>
        <v>1211.441521</v>
      </c>
      <c r="V25" s="5">
        <f t="shared" si="84"/>
        <v>29443.232</v>
      </c>
      <c r="W25" s="38">
        <f t="shared" si="7"/>
        <v>2114.3354764</v>
      </c>
      <c r="X25" s="38">
        <f t="shared" si="8"/>
        <v>31557.5674764</v>
      </c>
      <c r="Y25" s="38">
        <f t="shared" si="9"/>
        <v>288.5315404</v>
      </c>
      <c r="AA25" s="5">
        <f t="shared" si="85"/>
        <v>7252.336</v>
      </c>
      <c r="AB25" s="5">
        <f t="shared" si="10"/>
        <v>520.7944322000001</v>
      </c>
      <c r="AC25" s="5">
        <f t="shared" si="11"/>
        <v>7773.1304322000005</v>
      </c>
      <c r="AD25" s="38">
        <f t="shared" si="12"/>
        <v>71.0699042</v>
      </c>
      <c r="AF25" s="5">
        <f t="shared" si="86"/>
        <v>264.99199999999996</v>
      </c>
      <c r="AG25" s="5">
        <f t="shared" si="13"/>
        <v>19.029228399999997</v>
      </c>
      <c r="AH25" s="5">
        <f t="shared" si="14"/>
        <v>284.0212284</v>
      </c>
      <c r="AI25" s="38">
        <f t="shared" si="15"/>
        <v>2.5968123999999997</v>
      </c>
      <c r="AK25" s="38">
        <f t="shared" si="87"/>
        <v>29.119999999999997</v>
      </c>
      <c r="AL25" s="38">
        <f t="shared" si="16"/>
        <v>2.0911239999999998</v>
      </c>
      <c r="AM25" s="5">
        <f t="shared" si="17"/>
        <v>31.211123999999998</v>
      </c>
      <c r="AN25" s="38"/>
      <c r="AP25" s="38">
        <f t="shared" si="88"/>
        <v>376307.568</v>
      </c>
      <c r="AQ25" s="38">
        <f t="shared" si="18"/>
        <v>27022.863558600002</v>
      </c>
      <c r="AR25" s="5">
        <f t="shared" si="19"/>
        <v>403330.43155860004</v>
      </c>
      <c r="AS25" s="38">
        <f t="shared" si="20"/>
        <v>3687.6590946</v>
      </c>
      <c r="AT25" s="5"/>
      <c r="AU25" s="38">
        <f t="shared" si="89"/>
        <v>4520.88</v>
      </c>
      <c r="AV25" s="38">
        <f t="shared" si="21"/>
        <v>324.647001</v>
      </c>
      <c r="AW25" s="5">
        <f t="shared" si="22"/>
        <v>4845.527001</v>
      </c>
      <c r="AX25" s="38">
        <f t="shared" si="23"/>
        <v>44.302761000000004</v>
      </c>
      <c r="AY25" s="5"/>
      <c r="AZ25" s="38">
        <f t="shared" si="90"/>
        <v>5275.816</v>
      </c>
      <c r="BA25" s="38">
        <f t="shared" si="24"/>
        <v>378.8593907</v>
      </c>
      <c r="BB25" s="5">
        <f t="shared" si="25"/>
        <v>5654.6753907</v>
      </c>
      <c r="BC25" s="38">
        <f t="shared" si="26"/>
        <v>51.700822699999996</v>
      </c>
      <c r="BD25" s="5"/>
      <c r="BE25" s="38">
        <f>B25*$BF$6</f>
        <v>26.936</v>
      </c>
      <c r="BF25" s="38">
        <f t="shared" si="27"/>
        <v>1.9342897000000001</v>
      </c>
      <c r="BG25" s="5">
        <f t="shared" si="28"/>
        <v>28.8702897</v>
      </c>
      <c r="BH25" s="38"/>
      <c r="BI25" s="5"/>
      <c r="BJ25" s="38">
        <f t="shared" si="91"/>
        <v>27929.72</v>
      </c>
      <c r="BK25" s="38">
        <f t="shared" si="29"/>
        <v>2005.6493065</v>
      </c>
      <c r="BL25" s="5">
        <f t="shared" si="30"/>
        <v>29935.3693065</v>
      </c>
      <c r="BM25" s="38">
        <f t="shared" si="31"/>
        <v>273.6997465</v>
      </c>
      <c r="BN25" s="5"/>
      <c r="BO25" s="5">
        <f t="shared" si="92"/>
        <v>15941.016000000001</v>
      </c>
      <c r="BP25" s="5">
        <f t="shared" si="32"/>
        <v>1144.7335557000001</v>
      </c>
      <c r="BQ25" s="5">
        <f t="shared" si="33"/>
        <v>17085.7495557</v>
      </c>
      <c r="BR25" s="38">
        <f t="shared" si="34"/>
        <v>156.2153877</v>
      </c>
      <c r="BS25" s="5"/>
      <c r="BT25" s="38">
        <f t="shared" si="93"/>
        <v>176242.248</v>
      </c>
      <c r="BU25" s="38">
        <f t="shared" si="35"/>
        <v>12656.0575071</v>
      </c>
      <c r="BV25" s="5">
        <f t="shared" si="36"/>
        <v>188898.30550709998</v>
      </c>
      <c r="BW25" s="38">
        <f t="shared" si="37"/>
        <v>1727.1014031</v>
      </c>
      <c r="BX25" s="5"/>
      <c r="BY25" s="38">
        <f t="shared" si="94"/>
        <v>1292.2</v>
      </c>
      <c r="BZ25" s="38">
        <f t="shared" si="38"/>
        <v>92.7936275</v>
      </c>
      <c r="CA25" s="5">
        <f t="shared" si="39"/>
        <v>1384.9936275</v>
      </c>
      <c r="CB25" s="38">
        <f t="shared" si="40"/>
        <v>12.6630275</v>
      </c>
      <c r="CC25" s="5"/>
      <c r="CD25" s="5">
        <f t="shared" si="95"/>
        <v>46206.16</v>
      </c>
      <c r="CE25" s="38">
        <f t="shared" si="41"/>
        <v>3318.091007</v>
      </c>
      <c r="CF25" s="38">
        <f t="shared" si="42"/>
        <v>49524.251007000006</v>
      </c>
      <c r="CG25" s="38">
        <f t="shared" si="43"/>
        <v>452.801327</v>
      </c>
      <c r="CH25" s="5"/>
      <c r="CI25" s="5">
        <f t="shared" si="96"/>
        <v>108834.544</v>
      </c>
      <c r="CJ25" s="38">
        <f t="shared" si="44"/>
        <v>7815.4713937999995</v>
      </c>
      <c r="CK25" s="38">
        <f t="shared" si="45"/>
        <v>116650.0153938</v>
      </c>
      <c r="CL25" s="38">
        <f t="shared" si="46"/>
        <v>1066.5336817999998</v>
      </c>
      <c r="CM25" s="5"/>
      <c r="CN25" s="38">
        <f t="shared" si="97"/>
        <v>42601.832</v>
      </c>
      <c r="CO25" s="38">
        <f t="shared" si="47"/>
        <v>3059.2621339</v>
      </c>
      <c r="CP25" s="5">
        <f t="shared" si="48"/>
        <v>45661.094133900006</v>
      </c>
      <c r="CQ25" s="38">
        <f t="shared" si="49"/>
        <v>417.4803979</v>
      </c>
      <c r="CR25" s="5"/>
      <c r="CS25" s="5">
        <f t="shared" si="98"/>
        <v>52774.176</v>
      </c>
      <c r="CT25" s="38">
        <f t="shared" si="50"/>
        <v>3789.7440252</v>
      </c>
      <c r="CU25" s="38">
        <f t="shared" si="51"/>
        <v>56563.9200252</v>
      </c>
      <c r="CV25" s="38">
        <f t="shared" si="52"/>
        <v>517.1651772</v>
      </c>
      <c r="CW25" s="5"/>
      <c r="CX25" s="5">
        <f t="shared" si="99"/>
        <v>6104.280000000001</v>
      </c>
      <c r="CY25" s="5">
        <f t="shared" si="53"/>
        <v>438.3518685</v>
      </c>
      <c r="CZ25" s="5">
        <f t="shared" si="54"/>
        <v>6542.631868500001</v>
      </c>
      <c r="DA25" s="38">
        <f t="shared" si="55"/>
        <v>59.8194285</v>
      </c>
      <c r="DB25" s="5"/>
      <c r="DC25" s="38">
        <f t="shared" si="100"/>
        <v>645275.904</v>
      </c>
      <c r="DD25" s="38">
        <f t="shared" si="56"/>
        <v>46337.6349408</v>
      </c>
      <c r="DE25" s="5">
        <f t="shared" si="57"/>
        <v>691613.5389408</v>
      </c>
      <c r="DF25" s="38">
        <f t="shared" si="58"/>
        <v>6323.4379488</v>
      </c>
      <c r="DG25" s="5"/>
      <c r="DH25" s="38">
        <f t="shared" si="101"/>
        <v>614302.4160000001</v>
      </c>
      <c r="DI25" s="38">
        <f t="shared" si="59"/>
        <v>44113.4108982</v>
      </c>
      <c r="DJ25" s="5">
        <f t="shared" si="60"/>
        <v>658415.8268982001</v>
      </c>
      <c r="DK25" s="38">
        <f t="shared" si="61"/>
        <v>6019.910530200001</v>
      </c>
      <c r="DL25" s="5"/>
      <c r="DM25" s="38">
        <f t="shared" si="102"/>
        <v>14564.368</v>
      </c>
      <c r="DN25" s="38">
        <f t="shared" si="62"/>
        <v>1045.8756686</v>
      </c>
      <c r="DO25" s="5">
        <f t="shared" si="63"/>
        <v>15610.2436686</v>
      </c>
      <c r="DP25" s="38">
        <f t="shared" si="64"/>
        <v>142.7248046</v>
      </c>
      <c r="DQ25" s="5"/>
      <c r="DR25" s="38">
        <f t="shared" si="103"/>
        <v>1043486.08</v>
      </c>
      <c r="DS25" s="38">
        <f t="shared" si="65"/>
        <v>74933.337416</v>
      </c>
      <c r="DT25" s="5">
        <f t="shared" si="66"/>
        <v>1118419.417416</v>
      </c>
      <c r="DU25" s="38">
        <f t="shared" si="67"/>
        <v>10225.733575999999</v>
      </c>
      <c r="DV25" s="5"/>
      <c r="DW25" s="38">
        <f t="shared" si="104"/>
        <v>1341834.3120000002</v>
      </c>
      <c r="DX25" s="38">
        <f t="shared" si="68"/>
        <v>96357.8960799</v>
      </c>
      <c r="DY25" s="5">
        <f t="shared" si="69"/>
        <v>1438192.2080799001</v>
      </c>
      <c r="DZ25" s="38">
        <f t="shared" si="70"/>
        <v>13149.423303900001</v>
      </c>
      <c r="EA25" s="5"/>
      <c r="EB25" s="5">
        <f t="shared" si="105"/>
        <v>41868.736</v>
      </c>
      <c r="EC25" s="38">
        <f t="shared" si="71"/>
        <v>3006.6180872</v>
      </c>
      <c r="ED25" s="38">
        <f t="shared" si="72"/>
        <v>44875.354087199994</v>
      </c>
      <c r="EE25" s="38">
        <f t="shared" si="73"/>
        <v>410.2963592</v>
      </c>
      <c r="EF25" s="5"/>
      <c r="EG25" s="5">
        <f t="shared" si="106"/>
        <v>114804.872</v>
      </c>
      <c r="EH25" s="38">
        <f t="shared" si="74"/>
        <v>8244.2040919</v>
      </c>
      <c r="EI25" s="38">
        <f t="shared" si="75"/>
        <v>123049.0760919</v>
      </c>
      <c r="EJ25" s="38">
        <f t="shared" si="76"/>
        <v>1125.0404359</v>
      </c>
      <c r="EK25" s="5"/>
      <c r="EL25" s="38">
        <f t="shared" si="107"/>
        <v>810372.472</v>
      </c>
      <c r="EM25" s="38">
        <f t="shared" si="77"/>
        <v>58193.3147369</v>
      </c>
      <c r="EN25" s="5">
        <f t="shared" si="78"/>
        <v>868565.7867369</v>
      </c>
      <c r="EO25" s="38">
        <f t="shared" si="79"/>
        <v>7941.3162809</v>
      </c>
      <c r="EP25" s="5"/>
      <c r="EQ25" s="38">
        <f t="shared" si="108"/>
        <v>585504.1919999999</v>
      </c>
      <c r="ER25" s="38">
        <f t="shared" si="80"/>
        <v>42045.3938184</v>
      </c>
      <c r="ES25" s="5">
        <f t="shared" si="81"/>
        <v>627549.5858183999</v>
      </c>
      <c r="ET25" s="38">
        <f t="shared" si="82"/>
        <v>5737.6998023999995</v>
      </c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ht="12.75">
      <c r="A26" s="40">
        <v>46661</v>
      </c>
      <c r="B26" s="77"/>
      <c r="C26" s="77">
        <v>402115</v>
      </c>
      <c r="D26" s="37">
        <f t="shared" si="0"/>
        <v>402115</v>
      </c>
      <c r="E26" s="37">
        <v>71341</v>
      </c>
      <c r="G26" s="38"/>
      <c r="H26" s="38">
        <v>57628.26678350001</v>
      </c>
      <c r="I26" s="38">
        <f t="shared" si="1"/>
        <v>57628.26678350001</v>
      </c>
      <c r="J26" s="76">
        <v>10224.0855989</v>
      </c>
      <c r="L26" s="38"/>
      <c r="M26" s="37">
        <f t="shared" si="2"/>
        <v>344486.7332165</v>
      </c>
      <c r="N26" s="5">
        <f t="shared" si="3"/>
        <v>344486.7332165</v>
      </c>
      <c r="O26" s="37">
        <f t="shared" si="2"/>
        <v>61116.36507539999</v>
      </c>
      <c r="Q26" s="38"/>
      <c r="R26" s="38">
        <f t="shared" si="4"/>
        <v>6828.314815</v>
      </c>
      <c r="S26" s="5">
        <f t="shared" si="5"/>
        <v>6828.314815</v>
      </c>
      <c r="T26" s="38">
        <f t="shared" si="6"/>
        <v>1211.441521</v>
      </c>
      <c r="W26" s="38">
        <f t="shared" si="7"/>
        <v>1626.313906</v>
      </c>
      <c r="X26" s="38">
        <f t="shared" si="8"/>
        <v>1626.313906</v>
      </c>
      <c r="Y26" s="38">
        <f t="shared" si="9"/>
        <v>288.5315404</v>
      </c>
      <c r="AB26" s="5">
        <f t="shared" si="10"/>
        <v>400.586963</v>
      </c>
      <c r="AC26" s="5">
        <f t="shared" si="11"/>
        <v>400.586963</v>
      </c>
      <c r="AD26" s="38">
        <f t="shared" si="12"/>
        <v>71.0699042</v>
      </c>
      <c r="AG26" s="5">
        <f t="shared" si="13"/>
        <v>14.636985999999998</v>
      </c>
      <c r="AH26" s="5">
        <f t="shared" si="14"/>
        <v>14.636985999999998</v>
      </c>
      <c r="AI26" s="38">
        <f t="shared" si="15"/>
        <v>2.5968123999999997</v>
      </c>
      <c r="AK26" s="38"/>
      <c r="AL26" s="38">
        <f t="shared" si="16"/>
        <v>1.60846</v>
      </c>
      <c r="AM26" s="5">
        <f t="shared" si="17"/>
        <v>1.60846</v>
      </c>
      <c r="AN26" s="38"/>
      <c r="AP26" s="38"/>
      <c r="AQ26" s="38">
        <f t="shared" si="18"/>
        <v>20785.565619</v>
      </c>
      <c r="AR26" s="5">
        <f t="shared" si="19"/>
        <v>20785.565619</v>
      </c>
      <c r="AS26" s="38">
        <f t="shared" si="20"/>
        <v>3687.6590946</v>
      </c>
      <c r="AT26" s="5"/>
      <c r="AU26" s="38"/>
      <c r="AV26" s="38">
        <f t="shared" si="21"/>
        <v>249.713415</v>
      </c>
      <c r="AW26" s="5">
        <f t="shared" si="22"/>
        <v>249.713415</v>
      </c>
      <c r="AX26" s="38">
        <f t="shared" si="23"/>
        <v>44.302761000000004</v>
      </c>
      <c r="AY26" s="5"/>
      <c r="AZ26" s="38"/>
      <c r="BA26" s="38">
        <f t="shared" si="24"/>
        <v>291.4127405</v>
      </c>
      <c r="BB26" s="5">
        <f t="shared" si="25"/>
        <v>291.4127405</v>
      </c>
      <c r="BC26" s="38">
        <f t="shared" si="26"/>
        <v>51.700822699999996</v>
      </c>
      <c r="BD26" s="5"/>
      <c r="BE26" s="38"/>
      <c r="BF26" s="38">
        <f t="shared" si="27"/>
        <v>1.4878255</v>
      </c>
      <c r="BG26" s="5">
        <f t="shared" si="28"/>
        <v>1.4878255</v>
      </c>
      <c r="BH26" s="38"/>
      <c r="BI26" s="5"/>
      <c r="BJ26" s="38"/>
      <c r="BK26" s="38">
        <f t="shared" si="29"/>
        <v>1542.7141975</v>
      </c>
      <c r="BL26" s="5">
        <f t="shared" si="30"/>
        <v>1542.7141975</v>
      </c>
      <c r="BM26" s="38">
        <f t="shared" si="31"/>
        <v>273.6997465</v>
      </c>
      <c r="BN26" s="5"/>
      <c r="BO26" s="5"/>
      <c r="BP26" s="5">
        <f t="shared" si="32"/>
        <v>880.5112155</v>
      </c>
      <c r="BQ26" s="5">
        <f t="shared" si="33"/>
        <v>880.5112155</v>
      </c>
      <c r="BR26" s="38">
        <f t="shared" si="34"/>
        <v>156.2153877</v>
      </c>
      <c r="BS26" s="5"/>
      <c r="BT26" s="38"/>
      <c r="BU26" s="38">
        <f t="shared" si="35"/>
        <v>9734.8422465</v>
      </c>
      <c r="BV26" s="5">
        <f t="shared" si="36"/>
        <v>9734.8422465</v>
      </c>
      <c r="BW26" s="38">
        <f t="shared" si="37"/>
        <v>1727.1014031</v>
      </c>
      <c r="BX26" s="5"/>
      <c r="BY26" s="38"/>
      <c r="BZ26" s="38">
        <f t="shared" si="38"/>
        <v>71.3754125</v>
      </c>
      <c r="CA26" s="5">
        <f t="shared" si="39"/>
        <v>71.3754125</v>
      </c>
      <c r="CB26" s="38">
        <f t="shared" si="40"/>
        <v>12.6630275</v>
      </c>
      <c r="CC26" s="5"/>
      <c r="CD26" s="5"/>
      <c r="CE26" s="38">
        <f t="shared" si="41"/>
        <v>2552.2239050000003</v>
      </c>
      <c r="CF26" s="38">
        <f t="shared" si="42"/>
        <v>2552.2239050000003</v>
      </c>
      <c r="CG26" s="38">
        <f t="shared" si="43"/>
        <v>452.801327</v>
      </c>
      <c r="CH26" s="5"/>
      <c r="CI26" s="5"/>
      <c r="CJ26" s="38">
        <f t="shared" si="44"/>
        <v>6011.538826999999</v>
      </c>
      <c r="CK26" s="38">
        <f t="shared" si="45"/>
        <v>6011.538826999999</v>
      </c>
      <c r="CL26" s="38">
        <f t="shared" si="46"/>
        <v>1066.5336817999998</v>
      </c>
      <c r="CM26" s="5"/>
      <c r="CN26" s="38"/>
      <c r="CO26" s="38">
        <f t="shared" si="47"/>
        <v>2353.1367685</v>
      </c>
      <c r="CP26" s="5">
        <f t="shared" si="48"/>
        <v>2353.1367685</v>
      </c>
      <c r="CQ26" s="38">
        <f t="shared" si="49"/>
        <v>417.4803979</v>
      </c>
      <c r="CR26" s="5"/>
      <c r="CS26" s="5"/>
      <c r="CT26" s="38">
        <f t="shared" si="50"/>
        <v>2915.012058</v>
      </c>
      <c r="CU26" s="38">
        <f t="shared" si="51"/>
        <v>2915.012058</v>
      </c>
      <c r="CV26" s="38">
        <f t="shared" si="52"/>
        <v>517.1651772</v>
      </c>
      <c r="CW26" s="5"/>
      <c r="CX26" s="5"/>
      <c r="CY26" s="5">
        <f t="shared" si="53"/>
        <v>337.1734275</v>
      </c>
      <c r="CZ26" s="5">
        <f t="shared" si="54"/>
        <v>337.1734275</v>
      </c>
      <c r="DA26" s="38">
        <f t="shared" si="55"/>
        <v>59.8194285</v>
      </c>
      <c r="DB26" s="5"/>
      <c r="DC26" s="38"/>
      <c r="DD26" s="38">
        <f t="shared" si="56"/>
        <v>35642.186832</v>
      </c>
      <c r="DE26" s="5">
        <f t="shared" si="57"/>
        <v>35642.186832</v>
      </c>
      <c r="DF26" s="38">
        <f t="shared" si="58"/>
        <v>6323.4379488</v>
      </c>
      <c r="DG26" s="5"/>
      <c r="DH26" s="38"/>
      <c r="DI26" s="38">
        <f t="shared" si="59"/>
        <v>33931.348353</v>
      </c>
      <c r="DJ26" s="5">
        <f t="shared" si="60"/>
        <v>33931.348353</v>
      </c>
      <c r="DK26" s="38">
        <f t="shared" si="61"/>
        <v>6019.910530200001</v>
      </c>
      <c r="DL26" s="5"/>
      <c r="DM26" s="38"/>
      <c r="DN26" s="38">
        <f t="shared" si="62"/>
        <v>804.471269</v>
      </c>
      <c r="DO26" s="5">
        <f t="shared" si="63"/>
        <v>804.471269</v>
      </c>
      <c r="DP26" s="38">
        <f t="shared" si="64"/>
        <v>142.7248046</v>
      </c>
      <c r="DQ26" s="5"/>
      <c r="DR26" s="38"/>
      <c r="DS26" s="38">
        <f t="shared" si="65"/>
        <v>57637.55564</v>
      </c>
      <c r="DT26" s="5">
        <f t="shared" si="66"/>
        <v>57637.55564</v>
      </c>
      <c r="DU26" s="38">
        <f t="shared" si="67"/>
        <v>10225.733575999999</v>
      </c>
      <c r="DV26" s="5"/>
      <c r="DW26" s="38"/>
      <c r="DX26" s="38">
        <f t="shared" si="68"/>
        <v>74116.9923585</v>
      </c>
      <c r="DY26" s="5">
        <f t="shared" si="69"/>
        <v>74116.9923585</v>
      </c>
      <c r="DZ26" s="38">
        <f t="shared" si="70"/>
        <v>13149.423303900001</v>
      </c>
      <c r="EA26" s="5"/>
      <c r="EB26" s="5"/>
      <c r="EC26" s="38">
        <f t="shared" si="71"/>
        <v>2312.643788</v>
      </c>
      <c r="ED26" s="38">
        <f t="shared" si="72"/>
        <v>2312.643788</v>
      </c>
      <c r="EE26" s="38">
        <f t="shared" si="73"/>
        <v>410.2963592</v>
      </c>
      <c r="EF26" s="5"/>
      <c r="EG26" s="5"/>
      <c r="EH26" s="38">
        <f t="shared" si="74"/>
        <v>6341.3133385</v>
      </c>
      <c r="EI26" s="38">
        <f t="shared" si="75"/>
        <v>6341.3133385</v>
      </c>
      <c r="EJ26" s="38">
        <f t="shared" si="76"/>
        <v>1125.0404359</v>
      </c>
      <c r="EK26" s="5"/>
      <c r="EL26" s="38"/>
      <c r="EM26" s="38">
        <f t="shared" si="77"/>
        <v>44761.3910135</v>
      </c>
      <c r="EN26" s="5">
        <f t="shared" si="78"/>
        <v>44761.3910135</v>
      </c>
      <c r="EO26" s="38">
        <f t="shared" si="79"/>
        <v>7941.3162809</v>
      </c>
      <c r="EP26" s="5"/>
      <c r="EQ26" s="38"/>
      <c r="ER26" s="38">
        <f t="shared" si="80"/>
        <v>32340.661836</v>
      </c>
      <c r="ES26" s="5">
        <f t="shared" si="81"/>
        <v>32340.661836</v>
      </c>
      <c r="ET26" s="38">
        <f t="shared" si="82"/>
        <v>5737.6998023999995</v>
      </c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</row>
    <row r="27" spans="1:193" ht="12.75">
      <c r="A27" s="40">
        <v>46844</v>
      </c>
      <c r="B27" s="77">
        <v>7520000</v>
      </c>
      <c r="C27" s="77">
        <v>402115</v>
      </c>
      <c r="D27" s="37">
        <f t="shared" si="0"/>
        <v>7922115</v>
      </c>
      <c r="E27" s="37">
        <v>71341</v>
      </c>
      <c r="G27" s="38">
        <v>1077713.008</v>
      </c>
      <c r="H27" s="38">
        <v>57628.26678350001</v>
      </c>
      <c r="I27" s="38">
        <f t="shared" si="1"/>
        <v>1135341.2747835</v>
      </c>
      <c r="J27" s="76">
        <v>10224.0855989</v>
      </c>
      <c r="L27" s="38">
        <f>Q27+V27+AA27+AK27+AP27+AU27+BJ27+BO27+BT27+CD27+CN27+CS27+CX27+DC27+DH27+DM27+DR27+DW27+EB27+EG27+EL27+EQ27+EV27+AF27+AZ27+BY27+CI27+BE27</f>
        <v>6442286.992</v>
      </c>
      <c r="M27" s="37">
        <f t="shared" si="2"/>
        <v>344486.7332165</v>
      </c>
      <c r="N27" s="5">
        <f t="shared" si="3"/>
        <v>6786773.7252164995</v>
      </c>
      <c r="O27" s="37">
        <f t="shared" si="2"/>
        <v>61116.36507539999</v>
      </c>
      <c r="Q27" s="38">
        <f t="shared" si="83"/>
        <v>127697.12</v>
      </c>
      <c r="R27" s="38">
        <f t="shared" si="4"/>
        <v>6828.314815</v>
      </c>
      <c r="S27" s="5">
        <f t="shared" si="5"/>
        <v>134525.434815</v>
      </c>
      <c r="T27" s="38">
        <f t="shared" si="6"/>
        <v>1211.441521</v>
      </c>
      <c r="V27" s="5">
        <f t="shared" si="84"/>
        <v>30413.888</v>
      </c>
      <c r="W27" s="38">
        <f t="shared" si="7"/>
        <v>1626.313906</v>
      </c>
      <c r="X27" s="38">
        <f t="shared" si="8"/>
        <v>32040.201906</v>
      </c>
      <c r="Y27" s="38">
        <f t="shared" si="9"/>
        <v>288.5315404</v>
      </c>
      <c r="AA27" s="5">
        <f t="shared" si="85"/>
        <v>7491.424</v>
      </c>
      <c r="AB27" s="5">
        <f t="shared" si="10"/>
        <v>400.586963</v>
      </c>
      <c r="AC27" s="5">
        <f t="shared" si="11"/>
        <v>7892.010963</v>
      </c>
      <c r="AD27" s="38">
        <f t="shared" si="12"/>
        <v>71.0699042</v>
      </c>
      <c r="AF27" s="5">
        <f t="shared" si="86"/>
        <v>273.72799999999995</v>
      </c>
      <c r="AG27" s="5">
        <f t="shared" si="13"/>
        <v>14.636985999999998</v>
      </c>
      <c r="AH27" s="5">
        <f t="shared" si="14"/>
        <v>288.36498599999993</v>
      </c>
      <c r="AI27" s="38">
        <f t="shared" si="15"/>
        <v>2.5968123999999997</v>
      </c>
      <c r="AK27" s="38">
        <f t="shared" si="87"/>
        <v>30.08</v>
      </c>
      <c r="AL27" s="38">
        <f t="shared" si="16"/>
        <v>1.60846</v>
      </c>
      <c r="AM27" s="5">
        <f t="shared" si="17"/>
        <v>31.68846</v>
      </c>
      <c r="AN27" s="38"/>
      <c r="AP27" s="38">
        <f t="shared" si="88"/>
        <v>388713.31200000003</v>
      </c>
      <c r="AQ27" s="38">
        <f t="shared" si="18"/>
        <v>20785.565619</v>
      </c>
      <c r="AR27" s="5">
        <f t="shared" si="19"/>
        <v>409498.87761900004</v>
      </c>
      <c r="AS27" s="38">
        <f t="shared" si="20"/>
        <v>3687.6590946</v>
      </c>
      <c r="AT27" s="5"/>
      <c r="AU27" s="38">
        <f t="shared" si="89"/>
        <v>4669.92</v>
      </c>
      <c r="AV27" s="38">
        <f t="shared" si="21"/>
        <v>249.713415</v>
      </c>
      <c r="AW27" s="5">
        <f t="shared" si="22"/>
        <v>4919.633415</v>
      </c>
      <c r="AX27" s="38">
        <f t="shared" si="23"/>
        <v>44.302761000000004</v>
      </c>
      <c r="AY27" s="5"/>
      <c r="AZ27" s="38">
        <f t="shared" si="90"/>
        <v>5449.744</v>
      </c>
      <c r="BA27" s="38">
        <f t="shared" si="24"/>
        <v>291.4127405</v>
      </c>
      <c r="BB27" s="5">
        <f t="shared" si="25"/>
        <v>5741.1567405</v>
      </c>
      <c r="BC27" s="38">
        <f t="shared" si="26"/>
        <v>51.700822699999996</v>
      </c>
      <c r="BD27" s="5"/>
      <c r="BE27" s="38">
        <f>B27*$BF$6</f>
        <v>27.824</v>
      </c>
      <c r="BF27" s="38">
        <f t="shared" si="27"/>
        <v>1.4878255</v>
      </c>
      <c r="BG27" s="5">
        <f t="shared" si="28"/>
        <v>29.3118255</v>
      </c>
      <c r="BH27" s="38"/>
      <c r="BI27" s="5"/>
      <c r="BJ27" s="38">
        <f t="shared" si="91"/>
        <v>28850.48</v>
      </c>
      <c r="BK27" s="38">
        <f t="shared" si="29"/>
        <v>1542.7141975</v>
      </c>
      <c r="BL27" s="5">
        <f t="shared" si="30"/>
        <v>30393.1941975</v>
      </c>
      <c r="BM27" s="38">
        <f t="shared" si="31"/>
        <v>273.6997465</v>
      </c>
      <c r="BN27" s="5"/>
      <c r="BO27" s="5">
        <f t="shared" si="92"/>
        <v>16466.544</v>
      </c>
      <c r="BP27" s="5">
        <f t="shared" si="32"/>
        <v>880.5112155</v>
      </c>
      <c r="BQ27" s="5">
        <f t="shared" si="33"/>
        <v>17347.0552155</v>
      </c>
      <c r="BR27" s="38">
        <f t="shared" si="34"/>
        <v>156.2153877</v>
      </c>
      <c r="BS27" s="5"/>
      <c r="BT27" s="38">
        <f t="shared" si="93"/>
        <v>182052.432</v>
      </c>
      <c r="BU27" s="38">
        <f t="shared" si="35"/>
        <v>9734.8422465</v>
      </c>
      <c r="BV27" s="5">
        <f t="shared" si="36"/>
        <v>191787.2742465</v>
      </c>
      <c r="BW27" s="38">
        <f t="shared" si="37"/>
        <v>1727.1014031</v>
      </c>
      <c r="BX27" s="5"/>
      <c r="BY27" s="38">
        <f t="shared" si="94"/>
        <v>1334.8</v>
      </c>
      <c r="BZ27" s="38">
        <f t="shared" si="38"/>
        <v>71.3754125</v>
      </c>
      <c r="CA27" s="5">
        <f t="shared" si="39"/>
        <v>1406.1754125</v>
      </c>
      <c r="CB27" s="38">
        <f t="shared" si="40"/>
        <v>12.6630275</v>
      </c>
      <c r="CC27" s="5"/>
      <c r="CD27" s="5">
        <f t="shared" si="95"/>
        <v>47729.44</v>
      </c>
      <c r="CE27" s="38">
        <f t="shared" si="41"/>
        <v>2552.2239050000003</v>
      </c>
      <c r="CF27" s="38">
        <f t="shared" si="42"/>
        <v>50281.663905</v>
      </c>
      <c r="CG27" s="38">
        <f t="shared" si="43"/>
        <v>452.801327</v>
      </c>
      <c r="CH27" s="5"/>
      <c r="CI27" s="5">
        <f t="shared" si="96"/>
        <v>112422.496</v>
      </c>
      <c r="CJ27" s="38">
        <f t="shared" si="44"/>
        <v>6011.538826999999</v>
      </c>
      <c r="CK27" s="38">
        <f t="shared" si="45"/>
        <v>118434.034827</v>
      </c>
      <c r="CL27" s="38">
        <f t="shared" si="46"/>
        <v>1066.5336817999998</v>
      </c>
      <c r="CM27" s="5"/>
      <c r="CN27" s="38">
        <f t="shared" si="97"/>
        <v>44006.288</v>
      </c>
      <c r="CO27" s="38">
        <f t="shared" si="47"/>
        <v>2353.1367685</v>
      </c>
      <c r="CP27" s="5">
        <f t="shared" si="48"/>
        <v>46359.4247685</v>
      </c>
      <c r="CQ27" s="38">
        <f t="shared" si="49"/>
        <v>417.4803979</v>
      </c>
      <c r="CR27" s="5"/>
      <c r="CS27" s="5">
        <f t="shared" si="98"/>
        <v>54513.984</v>
      </c>
      <c r="CT27" s="38">
        <f t="shared" si="50"/>
        <v>2915.012058</v>
      </c>
      <c r="CU27" s="38">
        <f t="shared" si="51"/>
        <v>57428.996058</v>
      </c>
      <c r="CV27" s="38">
        <f t="shared" si="52"/>
        <v>517.1651772</v>
      </c>
      <c r="CW27" s="5"/>
      <c r="CX27" s="5">
        <f t="shared" si="99"/>
        <v>6305.52</v>
      </c>
      <c r="CY27" s="5">
        <f t="shared" si="53"/>
        <v>337.1734275</v>
      </c>
      <c r="CZ27" s="5">
        <f t="shared" si="54"/>
        <v>6642.6934275</v>
      </c>
      <c r="DA27" s="38">
        <f t="shared" si="55"/>
        <v>59.8194285</v>
      </c>
      <c r="DB27" s="5"/>
      <c r="DC27" s="38">
        <f t="shared" si="100"/>
        <v>666548.736</v>
      </c>
      <c r="DD27" s="38">
        <f t="shared" si="56"/>
        <v>35642.186832</v>
      </c>
      <c r="DE27" s="5">
        <f t="shared" si="57"/>
        <v>702190.9228320001</v>
      </c>
      <c r="DF27" s="38">
        <f t="shared" si="58"/>
        <v>6323.4379488</v>
      </c>
      <c r="DG27" s="5"/>
      <c r="DH27" s="38">
        <f t="shared" si="101"/>
        <v>634554.1440000001</v>
      </c>
      <c r="DI27" s="38">
        <f t="shared" si="59"/>
        <v>33931.348353</v>
      </c>
      <c r="DJ27" s="5">
        <f t="shared" si="60"/>
        <v>668485.4923530001</v>
      </c>
      <c r="DK27" s="38">
        <f t="shared" si="61"/>
        <v>6019.910530200001</v>
      </c>
      <c r="DL27" s="5"/>
      <c r="DM27" s="38">
        <f t="shared" si="102"/>
        <v>15044.511999999999</v>
      </c>
      <c r="DN27" s="38">
        <f t="shared" si="62"/>
        <v>804.471269</v>
      </c>
      <c r="DO27" s="5">
        <f t="shared" si="63"/>
        <v>15848.983268999998</v>
      </c>
      <c r="DP27" s="38">
        <f t="shared" si="64"/>
        <v>142.7248046</v>
      </c>
      <c r="DQ27" s="5"/>
      <c r="DR27" s="38">
        <f t="shared" si="103"/>
        <v>1077886.72</v>
      </c>
      <c r="DS27" s="38">
        <f t="shared" si="65"/>
        <v>57637.55564</v>
      </c>
      <c r="DT27" s="5">
        <f t="shared" si="66"/>
        <v>1135524.27564</v>
      </c>
      <c r="DU27" s="38">
        <f t="shared" si="67"/>
        <v>10225.733575999999</v>
      </c>
      <c r="DV27" s="5"/>
      <c r="DW27" s="38">
        <f t="shared" si="104"/>
        <v>1386070.608</v>
      </c>
      <c r="DX27" s="38">
        <f t="shared" si="68"/>
        <v>74116.9923585</v>
      </c>
      <c r="DY27" s="5">
        <f t="shared" si="69"/>
        <v>1460187.6003585</v>
      </c>
      <c r="DZ27" s="38">
        <f t="shared" si="70"/>
        <v>13149.423303900001</v>
      </c>
      <c r="EA27" s="5"/>
      <c r="EB27" s="5">
        <f t="shared" si="105"/>
        <v>43249.024</v>
      </c>
      <c r="EC27" s="38">
        <f t="shared" si="71"/>
        <v>2312.643788</v>
      </c>
      <c r="ED27" s="38">
        <f t="shared" si="72"/>
        <v>45561.667788</v>
      </c>
      <c r="EE27" s="38">
        <f t="shared" si="73"/>
        <v>410.2963592</v>
      </c>
      <c r="EF27" s="5"/>
      <c r="EG27" s="5">
        <f t="shared" si="106"/>
        <v>118589.648</v>
      </c>
      <c r="EH27" s="38">
        <f t="shared" si="74"/>
        <v>6341.3133385</v>
      </c>
      <c r="EI27" s="38">
        <f t="shared" si="75"/>
        <v>124930.9613385</v>
      </c>
      <c r="EJ27" s="38">
        <f t="shared" si="76"/>
        <v>1125.0404359</v>
      </c>
      <c r="EK27" s="5"/>
      <c r="EL27" s="38">
        <f t="shared" si="107"/>
        <v>837088.048</v>
      </c>
      <c r="EM27" s="38">
        <f t="shared" si="77"/>
        <v>44761.3910135</v>
      </c>
      <c r="EN27" s="5">
        <f t="shared" si="78"/>
        <v>881849.4390135</v>
      </c>
      <c r="EO27" s="38">
        <f t="shared" si="79"/>
        <v>7941.3162809</v>
      </c>
      <c r="EP27" s="5"/>
      <c r="EQ27" s="38">
        <f t="shared" si="108"/>
        <v>604806.5279999999</v>
      </c>
      <c r="ER27" s="38">
        <f t="shared" si="80"/>
        <v>32340.661836</v>
      </c>
      <c r="ES27" s="5">
        <f t="shared" si="81"/>
        <v>637147.189836</v>
      </c>
      <c r="ET27" s="38">
        <f t="shared" si="82"/>
        <v>5737.6998023999995</v>
      </c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ht="12.75">
      <c r="A28" s="40">
        <v>47027</v>
      </c>
      <c r="B28" s="77"/>
      <c r="C28" s="77">
        <v>275027</v>
      </c>
      <c r="D28" s="37">
        <f t="shared" si="0"/>
        <v>275027</v>
      </c>
      <c r="E28" s="37">
        <v>71341</v>
      </c>
      <c r="G28" s="38"/>
      <c r="H28" s="38">
        <v>39414.916948300015</v>
      </c>
      <c r="I28" s="38">
        <f t="shared" si="1"/>
        <v>39414.916948300015</v>
      </c>
      <c r="J28" s="76">
        <v>10224.0855989</v>
      </c>
      <c r="L28" s="38"/>
      <c r="M28" s="37">
        <f t="shared" si="2"/>
        <v>235612.08305169994</v>
      </c>
      <c r="N28" s="5">
        <f t="shared" si="3"/>
        <v>235612.08305169994</v>
      </c>
      <c r="O28" s="37">
        <f t="shared" si="2"/>
        <v>61116.36507539999</v>
      </c>
      <c r="Q28" s="38"/>
      <c r="R28" s="38">
        <f t="shared" si="4"/>
        <v>4670.2334869999995</v>
      </c>
      <c r="S28" s="5">
        <f t="shared" si="5"/>
        <v>4670.2334869999995</v>
      </c>
      <c r="T28" s="38">
        <f t="shared" si="6"/>
        <v>1211.441521</v>
      </c>
      <c r="W28" s="38">
        <f t="shared" si="7"/>
        <v>1112.3191988</v>
      </c>
      <c r="X28" s="38">
        <f t="shared" si="8"/>
        <v>1112.3191988</v>
      </c>
      <c r="Y28" s="38">
        <f t="shared" si="9"/>
        <v>288.5315404</v>
      </c>
      <c r="AB28" s="5">
        <f t="shared" si="10"/>
        <v>273.98189740000004</v>
      </c>
      <c r="AC28" s="5">
        <f t="shared" si="11"/>
        <v>273.98189740000004</v>
      </c>
      <c r="AD28" s="38">
        <f t="shared" si="12"/>
        <v>71.0699042</v>
      </c>
      <c r="AG28" s="5">
        <f t="shared" si="13"/>
        <v>10.010982799999999</v>
      </c>
      <c r="AH28" s="5">
        <f t="shared" si="14"/>
        <v>10.010982799999999</v>
      </c>
      <c r="AI28" s="38">
        <f t="shared" si="15"/>
        <v>2.5968123999999997</v>
      </c>
      <c r="AK28" s="38"/>
      <c r="AL28" s="38">
        <f t="shared" si="16"/>
        <v>1.1001079999999999</v>
      </c>
      <c r="AM28" s="5">
        <f t="shared" si="17"/>
        <v>1.1001079999999999</v>
      </c>
      <c r="AN28" s="38"/>
      <c r="AP28" s="38"/>
      <c r="AQ28" s="38">
        <f t="shared" si="18"/>
        <v>14216.310646200001</v>
      </c>
      <c r="AR28" s="5">
        <f t="shared" si="19"/>
        <v>14216.310646200001</v>
      </c>
      <c r="AS28" s="38">
        <f t="shared" si="20"/>
        <v>3687.6590946</v>
      </c>
      <c r="AT28" s="5"/>
      <c r="AU28" s="38"/>
      <c r="AV28" s="38">
        <f t="shared" si="21"/>
        <v>170.791767</v>
      </c>
      <c r="AW28" s="5">
        <f t="shared" si="22"/>
        <v>170.791767</v>
      </c>
      <c r="AX28" s="38">
        <f t="shared" si="23"/>
        <v>44.302761000000004</v>
      </c>
      <c r="AY28" s="5"/>
      <c r="AZ28" s="38"/>
      <c r="BA28" s="38">
        <f t="shared" si="24"/>
        <v>199.3120669</v>
      </c>
      <c r="BB28" s="5">
        <f t="shared" si="25"/>
        <v>199.3120669</v>
      </c>
      <c r="BC28" s="38">
        <f t="shared" si="26"/>
        <v>51.700822699999996</v>
      </c>
      <c r="BD28" s="5"/>
      <c r="BE28" s="38"/>
      <c r="BF28" s="38">
        <f t="shared" si="27"/>
        <v>1.0175999</v>
      </c>
      <c r="BG28" s="5">
        <f t="shared" si="28"/>
        <v>1.0175999</v>
      </c>
      <c r="BH28" s="38"/>
      <c r="BI28" s="5"/>
      <c r="BJ28" s="38"/>
      <c r="BK28" s="38">
        <f t="shared" si="29"/>
        <v>1055.1410855</v>
      </c>
      <c r="BL28" s="5">
        <f t="shared" si="30"/>
        <v>1055.1410855</v>
      </c>
      <c r="BM28" s="38">
        <f t="shared" si="31"/>
        <v>273.6997465</v>
      </c>
      <c r="BN28" s="5"/>
      <c r="BO28" s="5"/>
      <c r="BP28" s="5">
        <f t="shared" si="32"/>
        <v>602.2266219</v>
      </c>
      <c r="BQ28" s="5">
        <f t="shared" si="33"/>
        <v>602.2266219</v>
      </c>
      <c r="BR28" s="38">
        <f t="shared" si="34"/>
        <v>156.2153877</v>
      </c>
      <c r="BS28" s="5"/>
      <c r="BT28" s="38"/>
      <c r="BU28" s="38">
        <f t="shared" si="35"/>
        <v>6658.1561457</v>
      </c>
      <c r="BV28" s="5">
        <f t="shared" si="36"/>
        <v>6658.1561457</v>
      </c>
      <c r="BW28" s="38">
        <f t="shared" si="37"/>
        <v>1727.1014031</v>
      </c>
      <c r="BX28" s="5"/>
      <c r="BY28" s="38"/>
      <c r="BZ28" s="38">
        <f t="shared" si="38"/>
        <v>48.8172925</v>
      </c>
      <c r="CA28" s="5">
        <f t="shared" si="39"/>
        <v>48.8172925</v>
      </c>
      <c r="CB28" s="38">
        <f t="shared" si="40"/>
        <v>12.6630275</v>
      </c>
      <c r="CC28" s="5"/>
      <c r="CD28" s="5"/>
      <c r="CE28" s="38">
        <f t="shared" si="41"/>
        <v>1745.596369</v>
      </c>
      <c r="CF28" s="38">
        <f t="shared" si="42"/>
        <v>1745.596369</v>
      </c>
      <c r="CG28" s="38">
        <f t="shared" si="43"/>
        <v>452.801327</v>
      </c>
      <c r="CH28" s="5"/>
      <c r="CI28" s="5"/>
      <c r="CJ28" s="38">
        <f t="shared" si="44"/>
        <v>4111.5986446</v>
      </c>
      <c r="CK28" s="38">
        <f t="shared" si="45"/>
        <v>4111.5986446</v>
      </c>
      <c r="CL28" s="38">
        <f t="shared" si="46"/>
        <v>1066.5336817999998</v>
      </c>
      <c r="CM28" s="5"/>
      <c r="CN28" s="38"/>
      <c r="CO28" s="38">
        <f t="shared" si="47"/>
        <v>1609.4305013</v>
      </c>
      <c r="CP28" s="5">
        <f t="shared" si="48"/>
        <v>1609.4305013</v>
      </c>
      <c r="CQ28" s="38">
        <f t="shared" si="49"/>
        <v>417.4803979</v>
      </c>
      <c r="CR28" s="5"/>
      <c r="CS28" s="5"/>
      <c r="CT28" s="38">
        <f t="shared" si="50"/>
        <v>1993.7257284</v>
      </c>
      <c r="CU28" s="38">
        <f t="shared" si="51"/>
        <v>1993.7257284</v>
      </c>
      <c r="CV28" s="38">
        <f t="shared" si="52"/>
        <v>517.1651772</v>
      </c>
      <c r="CW28" s="5"/>
      <c r="CX28" s="5"/>
      <c r="CY28" s="5">
        <f t="shared" si="53"/>
        <v>230.6101395</v>
      </c>
      <c r="CZ28" s="5">
        <f t="shared" si="54"/>
        <v>230.6101395</v>
      </c>
      <c r="DA28" s="38">
        <f t="shared" si="55"/>
        <v>59.8194285</v>
      </c>
      <c r="DB28" s="5"/>
      <c r="DC28" s="38"/>
      <c r="DD28" s="38">
        <f t="shared" si="56"/>
        <v>24377.5131936</v>
      </c>
      <c r="DE28" s="5">
        <f t="shared" si="57"/>
        <v>24377.5131936</v>
      </c>
      <c r="DF28" s="38">
        <f t="shared" si="58"/>
        <v>6323.4379488</v>
      </c>
      <c r="DG28" s="5"/>
      <c r="DH28" s="38"/>
      <c r="DI28" s="38">
        <f t="shared" si="59"/>
        <v>23207.3833194</v>
      </c>
      <c r="DJ28" s="5">
        <f t="shared" si="60"/>
        <v>23207.3833194</v>
      </c>
      <c r="DK28" s="38">
        <f t="shared" si="61"/>
        <v>6019.910530200001</v>
      </c>
      <c r="DL28" s="5"/>
      <c r="DM28" s="38"/>
      <c r="DN28" s="38">
        <f t="shared" si="62"/>
        <v>550.2190161999999</v>
      </c>
      <c r="DO28" s="5">
        <f t="shared" si="63"/>
        <v>550.2190161999999</v>
      </c>
      <c r="DP28" s="38">
        <f t="shared" si="64"/>
        <v>142.7248046</v>
      </c>
      <c r="DQ28" s="5"/>
      <c r="DR28" s="38"/>
      <c r="DS28" s="38">
        <f t="shared" si="65"/>
        <v>39421.270072</v>
      </c>
      <c r="DT28" s="5">
        <f t="shared" si="66"/>
        <v>39421.270072</v>
      </c>
      <c r="DU28" s="38">
        <f t="shared" si="67"/>
        <v>10225.733575999999</v>
      </c>
      <c r="DV28" s="5"/>
      <c r="DW28" s="38"/>
      <c r="DX28" s="38">
        <f t="shared" si="68"/>
        <v>50692.3990833</v>
      </c>
      <c r="DY28" s="5">
        <f t="shared" si="69"/>
        <v>50692.3990833</v>
      </c>
      <c r="DZ28" s="38">
        <f t="shared" si="70"/>
        <v>13149.423303900001</v>
      </c>
      <c r="EA28" s="5"/>
      <c r="EB28" s="5"/>
      <c r="EC28" s="38">
        <f t="shared" si="71"/>
        <v>1581.7352824</v>
      </c>
      <c r="ED28" s="38">
        <f t="shared" si="72"/>
        <v>1581.7352824</v>
      </c>
      <c r="EE28" s="38">
        <f t="shared" si="73"/>
        <v>410.2963592</v>
      </c>
      <c r="EF28" s="5"/>
      <c r="EG28" s="5"/>
      <c r="EH28" s="38">
        <f t="shared" si="74"/>
        <v>4337.1482872999995</v>
      </c>
      <c r="EI28" s="38">
        <f t="shared" si="75"/>
        <v>4337.1482872999995</v>
      </c>
      <c r="EJ28" s="38">
        <f t="shared" si="76"/>
        <v>1125.0404359</v>
      </c>
      <c r="EK28" s="5"/>
      <c r="EL28" s="38"/>
      <c r="EM28" s="38">
        <f t="shared" si="77"/>
        <v>30614.6030023</v>
      </c>
      <c r="EN28" s="5">
        <f t="shared" si="78"/>
        <v>30614.6030023</v>
      </c>
      <c r="EO28" s="38">
        <f t="shared" si="79"/>
        <v>7941.3162809</v>
      </c>
      <c r="EP28" s="5"/>
      <c r="EQ28" s="38"/>
      <c r="ER28" s="38">
        <f t="shared" si="80"/>
        <v>22119.431512799998</v>
      </c>
      <c r="ES28" s="5">
        <f t="shared" si="81"/>
        <v>22119.431512799998</v>
      </c>
      <c r="ET28" s="38">
        <f t="shared" si="82"/>
        <v>5737.6998023999995</v>
      </c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</row>
    <row r="29" spans="1:193" ht="12.75">
      <c r="A29" s="40">
        <v>47209</v>
      </c>
      <c r="B29" s="77">
        <v>7775000</v>
      </c>
      <c r="C29" s="77">
        <v>275027</v>
      </c>
      <c r="D29" s="37">
        <f t="shared" si="0"/>
        <v>8050027</v>
      </c>
      <c r="E29" s="37">
        <v>71341</v>
      </c>
      <c r="G29" s="38">
        <v>1114257.7975</v>
      </c>
      <c r="H29" s="38">
        <v>39414.916948300015</v>
      </c>
      <c r="I29" s="38">
        <f t="shared" si="1"/>
        <v>1153672.7144483002</v>
      </c>
      <c r="J29" s="76">
        <v>10224.0855989</v>
      </c>
      <c r="L29" s="38">
        <f>Q29+V29+AA29+AK29+AP29+AU29+BJ29+BO29+BT29+CD29+CN29+CS29+CX29+DC29+DH29+DM29+DR29+DW29+EB29+EG29+EL29+EQ29+EV29+AF29+AZ29+BY29+CI29+BE29</f>
        <v>6660742.202500001</v>
      </c>
      <c r="M29" s="37">
        <f t="shared" si="2"/>
        <v>235612.08305169994</v>
      </c>
      <c r="N29" s="5">
        <f t="shared" si="3"/>
        <v>6896354.285551701</v>
      </c>
      <c r="O29" s="37">
        <f t="shared" si="2"/>
        <v>61116.36507539999</v>
      </c>
      <c r="Q29" s="38">
        <f t="shared" si="83"/>
        <v>132027.275</v>
      </c>
      <c r="R29" s="38">
        <f t="shared" si="4"/>
        <v>4670.2334869999995</v>
      </c>
      <c r="S29" s="5">
        <f t="shared" si="5"/>
        <v>136697.50848699998</v>
      </c>
      <c r="T29" s="38">
        <f t="shared" si="6"/>
        <v>1211.441521</v>
      </c>
      <c r="V29" s="5">
        <f t="shared" si="84"/>
        <v>31445.21</v>
      </c>
      <c r="W29" s="38">
        <f t="shared" si="7"/>
        <v>1112.3191988</v>
      </c>
      <c r="X29" s="38">
        <f t="shared" si="8"/>
        <v>32557.5291988</v>
      </c>
      <c r="Y29" s="38">
        <f t="shared" si="9"/>
        <v>288.5315404</v>
      </c>
      <c r="AA29" s="5">
        <f t="shared" si="85"/>
        <v>7745.455</v>
      </c>
      <c r="AB29" s="5">
        <f t="shared" si="10"/>
        <v>273.98189740000004</v>
      </c>
      <c r="AC29" s="5">
        <f t="shared" si="11"/>
        <v>8019.4368974</v>
      </c>
      <c r="AD29" s="38">
        <f t="shared" si="12"/>
        <v>71.0699042</v>
      </c>
      <c r="AF29" s="5">
        <f t="shared" si="86"/>
        <v>283.01</v>
      </c>
      <c r="AG29" s="5">
        <f t="shared" si="13"/>
        <v>10.010982799999999</v>
      </c>
      <c r="AH29" s="5">
        <f t="shared" si="14"/>
        <v>293.0209828</v>
      </c>
      <c r="AI29" s="38">
        <f t="shared" si="15"/>
        <v>2.5968123999999997</v>
      </c>
      <c r="AK29" s="38">
        <f t="shared" si="87"/>
        <v>31.099999999999998</v>
      </c>
      <c r="AL29" s="38">
        <f t="shared" si="16"/>
        <v>1.1001079999999999</v>
      </c>
      <c r="AM29" s="5">
        <f t="shared" si="17"/>
        <v>32.200108</v>
      </c>
      <c r="AN29" s="38"/>
      <c r="AP29" s="38">
        <f t="shared" si="88"/>
        <v>401894.41500000004</v>
      </c>
      <c r="AQ29" s="38">
        <f t="shared" si="18"/>
        <v>14216.310646200001</v>
      </c>
      <c r="AR29" s="5">
        <f t="shared" si="19"/>
        <v>416110.72564620007</v>
      </c>
      <c r="AS29" s="38">
        <f t="shared" si="20"/>
        <v>3687.6590946</v>
      </c>
      <c r="AT29" s="5"/>
      <c r="AU29" s="38">
        <f t="shared" si="89"/>
        <v>4828.275000000001</v>
      </c>
      <c r="AV29" s="38">
        <f t="shared" si="21"/>
        <v>170.791767</v>
      </c>
      <c r="AW29" s="5">
        <f t="shared" si="22"/>
        <v>4999.066767</v>
      </c>
      <c r="AX29" s="38">
        <f t="shared" si="23"/>
        <v>44.302761000000004</v>
      </c>
      <c r="AY29" s="5"/>
      <c r="AZ29" s="38">
        <f t="shared" si="90"/>
        <v>5634.5425</v>
      </c>
      <c r="BA29" s="38">
        <f t="shared" si="24"/>
        <v>199.3120669</v>
      </c>
      <c r="BB29" s="5">
        <f t="shared" si="25"/>
        <v>5833.8545669</v>
      </c>
      <c r="BC29" s="38">
        <f t="shared" si="26"/>
        <v>51.700822699999996</v>
      </c>
      <c r="BD29" s="5"/>
      <c r="BE29" s="38">
        <f>B29*$BF$6</f>
        <v>28.767500000000002</v>
      </c>
      <c r="BF29" s="38">
        <f t="shared" si="27"/>
        <v>1.0175999</v>
      </c>
      <c r="BG29" s="5">
        <f t="shared" si="28"/>
        <v>29.785099900000002</v>
      </c>
      <c r="BH29" s="38"/>
      <c r="BI29" s="5"/>
      <c r="BJ29" s="38">
        <f t="shared" si="91"/>
        <v>29828.787500000002</v>
      </c>
      <c r="BK29" s="38">
        <f t="shared" si="29"/>
        <v>1055.1410855</v>
      </c>
      <c r="BL29" s="5">
        <f t="shared" si="30"/>
        <v>30883.9285855</v>
      </c>
      <c r="BM29" s="38">
        <f t="shared" si="31"/>
        <v>273.6997465</v>
      </c>
      <c r="BN29" s="5"/>
      <c r="BO29" s="5">
        <f t="shared" si="92"/>
        <v>17024.9175</v>
      </c>
      <c r="BP29" s="5">
        <f t="shared" si="32"/>
        <v>602.2266219</v>
      </c>
      <c r="BQ29" s="5">
        <f t="shared" si="33"/>
        <v>17627.1441219</v>
      </c>
      <c r="BR29" s="38">
        <f t="shared" si="34"/>
        <v>156.2153877</v>
      </c>
      <c r="BS29" s="5"/>
      <c r="BT29" s="38">
        <f t="shared" si="93"/>
        <v>188225.7525</v>
      </c>
      <c r="BU29" s="38">
        <f t="shared" si="35"/>
        <v>6658.1561457</v>
      </c>
      <c r="BV29" s="5">
        <f t="shared" si="36"/>
        <v>194883.9086457</v>
      </c>
      <c r="BW29" s="38">
        <f t="shared" si="37"/>
        <v>1727.1014031</v>
      </c>
      <c r="BX29" s="5"/>
      <c r="BY29" s="38">
        <f t="shared" si="94"/>
        <v>1380.0625</v>
      </c>
      <c r="BZ29" s="38">
        <f t="shared" si="38"/>
        <v>48.8172925</v>
      </c>
      <c r="CA29" s="5">
        <f t="shared" si="39"/>
        <v>1428.8797925</v>
      </c>
      <c r="CB29" s="38">
        <f t="shared" si="40"/>
        <v>12.6630275</v>
      </c>
      <c r="CC29" s="5"/>
      <c r="CD29" s="5">
        <f t="shared" si="95"/>
        <v>49347.925</v>
      </c>
      <c r="CE29" s="38">
        <f t="shared" si="41"/>
        <v>1745.596369</v>
      </c>
      <c r="CF29" s="38">
        <f t="shared" si="42"/>
        <v>51093.521369</v>
      </c>
      <c r="CG29" s="38">
        <f t="shared" si="43"/>
        <v>452.801327</v>
      </c>
      <c r="CH29" s="5"/>
      <c r="CI29" s="5">
        <f t="shared" si="96"/>
        <v>116234.69499999999</v>
      </c>
      <c r="CJ29" s="38">
        <f t="shared" si="44"/>
        <v>4111.5986446</v>
      </c>
      <c r="CK29" s="38">
        <f t="shared" si="45"/>
        <v>120346.2936446</v>
      </c>
      <c r="CL29" s="38">
        <f t="shared" si="46"/>
        <v>1066.5336817999998</v>
      </c>
      <c r="CM29" s="5"/>
      <c r="CN29" s="38">
        <f t="shared" si="97"/>
        <v>45498.5225</v>
      </c>
      <c r="CO29" s="38">
        <f t="shared" si="47"/>
        <v>1609.4305013</v>
      </c>
      <c r="CP29" s="5">
        <f t="shared" si="48"/>
        <v>47107.9530013</v>
      </c>
      <c r="CQ29" s="38">
        <f t="shared" si="49"/>
        <v>417.4803979</v>
      </c>
      <c r="CR29" s="5"/>
      <c r="CS29" s="5">
        <f t="shared" si="98"/>
        <v>56362.53</v>
      </c>
      <c r="CT29" s="38">
        <f t="shared" si="50"/>
        <v>1993.7257284</v>
      </c>
      <c r="CU29" s="38">
        <f t="shared" si="51"/>
        <v>58356.2557284</v>
      </c>
      <c r="CV29" s="38">
        <f t="shared" si="52"/>
        <v>517.1651772</v>
      </c>
      <c r="CW29" s="5"/>
      <c r="CX29" s="5">
        <f t="shared" si="99"/>
        <v>6519.337500000001</v>
      </c>
      <c r="CY29" s="5">
        <f t="shared" si="53"/>
        <v>230.6101395</v>
      </c>
      <c r="CZ29" s="5">
        <f t="shared" si="54"/>
        <v>6749.9476395</v>
      </c>
      <c r="DA29" s="38">
        <f t="shared" si="55"/>
        <v>59.8194285</v>
      </c>
      <c r="DB29" s="5"/>
      <c r="DC29" s="38">
        <f t="shared" si="100"/>
        <v>689151.12</v>
      </c>
      <c r="DD29" s="38">
        <f t="shared" si="56"/>
        <v>24377.5131936</v>
      </c>
      <c r="DE29" s="5">
        <f t="shared" si="57"/>
        <v>713528.6331936</v>
      </c>
      <c r="DF29" s="38">
        <f t="shared" si="58"/>
        <v>6323.4379488</v>
      </c>
      <c r="DG29" s="5"/>
      <c r="DH29" s="38">
        <f t="shared" si="101"/>
        <v>656071.605</v>
      </c>
      <c r="DI29" s="38">
        <f t="shared" si="59"/>
        <v>23207.3833194</v>
      </c>
      <c r="DJ29" s="5">
        <f t="shared" si="60"/>
        <v>679278.9883194</v>
      </c>
      <c r="DK29" s="38">
        <f t="shared" si="61"/>
        <v>6019.910530200001</v>
      </c>
      <c r="DL29" s="5"/>
      <c r="DM29" s="38">
        <f t="shared" si="102"/>
        <v>15554.664999999999</v>
      </c>
      <c r="DN29" s="38">
        <f t="shared" si="62"/>
        <v>550.2190161999999</v>
      </c>
      <c r="DO29" s="5">
        <f t="shared" si="63"/>
        <v>16104.8840162</v>
      </c>
      <c r="DP29" s="38">
        <f t="shared" si="64"/>
        <v>142.7248046</v>
      </c>
      <c r="DQ29" s="5"/>
      <c r="DR29" s="38">
        <f t="shared" si="103"/>
        <v>1114437.4</v>
      </c>
      <c r="DS29" s="38">
        <f t="shared" si="65"/>
        <v>39421.270072</v>
      </c>
      <c r="DT29" s="5">
        <f t="shared" si="66"/>
        <v>1153858.670072</v>
      </c>
      <c r="DU29" s="38">
        <f t="shared" si="67"/>
        <v>10225.733575999999</v>
      </c>
      <c r="DV29" s="5"/>
      <c r="DW29" s="38">
        <f t="shared" si="104"/>
        <v>1433071.6725</v>
      </c>
      <c r="DX29" s="38">
        <f t="shared" si="68"/>
        <v>50692.3990833</v>
      </c>
      <c r="DY29" s="5">
        <f t="shared" si="69"/>
        <v>1483764.0715833001</v>
      </c>
      <c r="DZ29" s="38">
        <f t="shared" si="70"/>
        <v>13149.423303900001</v>
      </c>
      <c r="EA29" s="5"/>
      <c r="EB29" s="5">
        <f t="shared" si="105"/>
        <v>44715.579999999994</v>
      </c>
      <c r="EC29" s="38">
        <f t="shared" si="71"/>
        <v>1581.7352824</v>
      </c>
      <c r="ED29" s="38">
        <f t="shared" si="72"/>
        <v>46297.31528239999</v>
      </c>
      <c r="EE29" s="38">
        <f t="shared" si="73"/>
        <v>410.2963592</v>
      </c>
      <c r="EF29" s="5"/>
      <c r="EG29" s="5">
        <f t="shared" si="106"/>
        <v>122610.9725</v>
      </c>
      <c r="EH29" s="38">
        <f t="shared" si="74"/>
        <v>4337.1482872999995</v>
      </c>
      <c r="EI29" s="38">
        <f t="shared" si="75"/>
        <v>126948.12078730001</v>
      </c>
      <c r="EJ29" s="38">
        <f t="shared" si="76"/>
        <v>1125.0404359</v>
      </c>
      <c r="EK29" s="5"/>
      <c r="EL29" s="38">
        <f t="shared" si="107"/>
        <v>865473.3474999999</v>
      </c>
      <c r="EM29" s="38">
        <f t="shared" si="77"/>
        <v>30614.6030023</v>
      </c>
      <c r="EN29" s="5">
        <f t="shared" si="78"/>
        <v>896087.9505022999</v>
      </c>
      <c r="EO29" s="38">
        <f t="shared" si="79"/>
        <v>7941.3162809</v>
      </c>
      <c r="EP29" s="5"/>
      <c r="EQ29" s="38">
        <f t="shared" si="108"/>
        <v>625315.26</v>
      </c>
      <c r="ER29" s="38">
        <f t="shared" si="80"/>
        <v>22119.431512799998</v>
      </c>
      <c r="ES29" s="5">
        <f t="shared" si="81"/>
        <v>647434.6915128</v>
      </c>
      <c r="ET29" s="38">
        <f t="shared" si="82"/>
        <v>5737.6998023999995</v>
      </c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:193" ht="12.75">
      <c r="A30" s="40">
        <v>47392</v>
      </c>
      <c r="B30" s="77"/>
      <c r="C30" s="77">
        <v>141102</v>
      </c>
      <c r="D30" s="37">
        <f t="shared" si="0"/>
        <v>141102</v>
      </c>
      <c r="E30" s="37">
        <v>71341</v>
      </c>
      <c r="G30" s="38"/>
      <c r="H30" s="38">
        <v>20221.736815800006</v>
      </c>
      <c r="I30" s="38">
        <f t="shared" si="1"/>
        <v>20221.736815800006</v>
      </c>
      <c r="J30" s="76">
        <v>10224.0855989</v>
      </c>
      <c r="L30" s="38"/>
      <c r="M30" s="37">
        <f t="shared" si="2"/>
        <v>120880.26318420001</v>
      </c>
      <c r="N30" s="5">
        <f t="shared" si="3"/>
        <v>120880.26318420001</v>
      </c>
      <c r="O30" s="37">
        <f t="shared" si="2"/>
        <v>61116.36507539999</v>
      </c>
      <c r="Q30" s="38"/>
      <c r="R30" s="38">
        <f t="shared" si="4"/>
        <v>2396.053062</v>
      </c>
      <c r="S30" s="5">
        <f t="shared" si="5"/>
        <v>2396.053062</v>
      </c>
      <c r="T30" s="38">
        <f t="shared" si="6"/>
        <v>1211.441521</v>
      </c>
      <c r="W30" s="38">
        <f t="shared" si="7"/>
        <v>570.6729288</v>
      </c>
      <c r="X30" s="38">
        <f t="shared" si="8"/>
        <v>570.6729288</v>
      </c>
      <c r="Y30" s="38">
        <f t="shared" si="9"/>
        <v>288.5315404</v>
      </c>
      <c r="AB30" s="5">
        <f t="shared" si="10"/>
        <v>140.5658124</v>
      </c>
      <c r="AC30" s="5">
        <f t="shared" si="11"/>
        <v>140.5658124</v>
      </c>
      <c r="AD30" s="38">
        <f t="shared" si="12"/>
        <v>71.0699042</v>
      </c>
      <c r="AG30" s="5">
        <f t="shared" si="13"/>
        <v>5.136112799999999</v>
      </c>
      <c r="AH30" s="5">
        <f t="shared" si="14"/>
        <v>5.136112799999999</v>
      </c>
      <c r="AI30" s="38">
        <f t="shared" si="15"/>
        <v>2.5968123999999997</v>
      </c>
      <c r="AK30" s="38"/>
      <c r="AL30" s="38">
        <f t="shared" si="16"/>
        <v>0.564408</v>
      </c>
      <c r="AM30" s="5">
        <f t="shared" si="17"/>
        <v>0.564408</v>
      </c>
      <c r="AN30" s="38"/>
      <c r="AP30" s="38"/>
      <c r="AQ30" s="38">
        <f t="shared" si="18"/>
        <v>7293.647041200001</v>
      </c>
      <c r="AR30" s="5">
        <f t="shared" si="19"/>
        <v>7293.647041200001</v>
      </c>
      <c r="AS30" s="38">
        <f t="shared" si="20"/>
        <v>3687.6590946</v>
      </c>
      <c r="AT30" s="5"/>
      <c r="AU30" s="38"/>
      <c r="AV30" s="38">
        <f t="shared" si="21"/>
        <v>87.624342</v>
      </c>
      <c r="AW30" s="5">
        <f t="shared" si="22"/>
        <v>87.624342</v>
      </c>
      <c r="AX30" s="38">
        <f t="shared" si="23"/>
        <v>44.302761000000004</v>
      </c>
      <c r="AY30" s="5"/>
      <c r="AZ30" s="38"/>
      <c r="BA30" s="38">
        <f t="shared" si="24"/>
        <v>102.2566194</v>
      </c>
      <c r="BB30" s="5">
        <f t="shared" si="25"/>
        <v>102.2566194</v>
      </c>
      <c r="BC30" s="38">
        <f t="shared" si="26"/>
        <v>51.700822699999996</v>
      </c>
      <c r="BD30" s="5"/>
      <c r="BE30" s="38"/>
      <c r="BF30" s="38">
        <f t="shared" si="27"/>
        <v>0.5220774</v>
      </c>
      <c r="BG30" s="5">
        <f t="shared" si="28"/>
        <v>0.5220774</v>
      </c>
      <c r="BH30" s="38"/>
      <c r="BI30" s="5"/>
      <c r="BJ30" s="38"/>
      <c r="BK30" s="38">
        <f t="shared" si="29"/>
        <v>541.337823</v>
      </c>
      <c r="BL30" s="5">
        <f t="shared" si="30"/>
        <v>541.337823</v>
      </c>
      <c r="BM30" s="38">
        <f t="shared" si="31"/>
        <v>273.6997465</v>
      </c>
      <c r="BN30" s="5"/>
      <c r="BO30" s="5"/>
      <c r="BP30" s="5">
        <f t="shared" si="32"/>
        <v>308.9710494</v>
      </c>
      <c r="BQ30" s="5">
        <f t="shared" si="33"/>
        <v>308.9710494</v>
      </c>
      <c r="BR30" s="38">
        <f t="shared" si="34"/>
        <v>156.2153877</v>
      </c>
      <c r="BS30" s="5"/>
      <c r="BT30" s="38"/>
      <c r="BU30" s="38">
        <f t="shared" si="35"/>
        <v>3415.9524282</v>
      </c>
      <c r="BV30" s="5">
        <f t="shared" si="36"/>
        <v>3415.9524282</v>
      </c>
      <c r="BW30" s="38">
        <f t="shared" si="37"/>
        <v>1727.1014031</v>
      </c>
      <c r="BX30" s="5"/>
      <c r="BY30" s="38"/>
      <c r="BZ30" s="38">
        <f t="shared" si="38"/>
        <v>25.045605000000002</v>
      </c>
      <c r="CA30" s="5">
        <f t="shared" si="39"/>
        <v>25.045605000000002</v>
      </c>
      <c r="CB30" s="38">
        <f t="shared" si="40"/>
        <v>12.6630275</v>
      </c>
      <c r="CC30" s="5"/>
      <c r="CD30" s="5"/>
      <c r="CE30" s="38">
        <f t="shared" si="41"/>
        <v>895.574394</v>
      </c>
      <c r="CF30" s="38">
        <f t="shared" si="42"/>
        <v>895.574394</v>
      </c>
      <c r="CG30" s="38">
        <f t="shared" si="43"/>
        <v>452.801327</v>
      </c>
      <c r="CH30" s="5"/>
      <c r="CI30" s="5"/>
      <c r="CJ30" s="38">
        <f t="shared" si="44"/>
        <v>2109.4466795999997</v>
      </c>
      <c r="CK30" s="38">
        <f t="shared" si="45"/>
        <v>2109.4466795999997</v>
      </c>
      <c r="CL30" s="38">
        <f t="shared" si="46"/>
        <v>1066.5336817999998</v>
      </c>
      <c r="CM30" s="5"/>
      <c r="CN30" s="38"/>
      <c r="CO30" s="38">
        <f t="shared" si="47"/>
        <v>825.7147938</v>
      </c>
      <c r="CP30" s="5">
        <f t="shared" si="48"/>
        <v>825.7147938</v>
      </c>
      <c r="CQ30" s="38">
        <f t="shared" si="49"/>
        <v>417.4803979</v>
      </c>
      <c r="CR30" s="5"/>
      <c r="CS30" s="5"/>
      <c r="CT30" s="38">
        <f t="shared" si="50"/>
        <v>1022.8766184</v>
      </c>
      <c r="CU30" s="38">
        <f t="shared" si="51"/>
        <v>1022.8766184</v>
      </c>
      <c r="CV30" s="38">
        <f t="shared" si="52"/>
        <v>517.1651772</v>
      </c>
      <c r="CW30" s="5"/>
      <c r="CX30" s="5"/>
      <c r="CY30" s="5">
        <f t="shared" si="53"/>
        <v>118.31402700000001</v>
      </c>
      <c r="CZ30" s="5">
        <f t="shared" si="54"/>
        <v>118.31402700000001</v>
      </c>
      <c r="DA30" s="38">
        <f t="shared" si="55"/>
        <v>59.8194285</v>
      </c>
      <c r="DB30" s="5"/>
      <c r="DC30" s="38"/>
      <c r="DD30" s="38">
        <f t="shared" si="56"/>
        <v>12506.829753600001</v>
      </c>
      <c r="DE30" s="5">
        <f t="shared" si="57"/>
        <v>12506.829753600001</v>
      </c>
      <c r="DF30" s="38">
        <f t="shared" si="58"/>
        <v>6323.4379488</v>
      </c>
      <c r="DG30" s="5"/>
      <c r="DH30" s="38"/>
      <c r="DI30" s="38">
        <f t="shared" si="59"/>
        <v>11906.497184400001</v>
      </c>
      <c r="DJ30" s="5">
        <f t="shared" si="60"/>
        <v>11906.497184400001</v>
      </c>
      <c r="DK30" s="38">
        <f t="shared" si="61"/>
        <v>6019.910530200001</v>
      </c>
      <c r="DL30" s="5"/>
      <c r="DM30" s="38"/>
      <c r="DN30" s="38">
        <f t="shared" si="62"/>
        <v>282.2886612</v>
      </c>
      <c r="DO30" s="5">
        <f t="shared" si="63"/>
        <v>282.2886612</v>
      </c>
      <c r="DP30" s="38">
        <f t="shared" si="64"/>
        <v>142.7248046</v>
      </c>
      <c r="DQ30" s="5"/>
      <c r="DR30" s="38"/>
      <c r="DS30" s="38">
        <f t="shared" si="65"/>
        <v>20224.996272</v>
      </c>
      <c r="DT30" s="5">
        <f t="shared" si="66"/>
        <v>20224.996272</v>
      </c>
      <c r="DU30" s="38">
        <f t="shared" si="67"/>
        <v>10225.733575999999</v>
      </c>
      <c r="DV30" s="5"/>
      <c r="DW30" s="38"/>
      <c r="DX30" s="38">
        <f t="shared" si="68"/>
        <v>26007.6243258</v>
      </c>
      <c r="DY30" s="5">
        <f t="shared" si="69"/>
        <v>26007.6243258</v>
      </c>
      <c r="DZ30" s="38">
        <f t="shared" si="70"/>
        <v>13149.423303900001</v>
      </c>
      <c r="EA30" s="5"/>
      <c r="EB30" s="5"/>
      <c r="EC30" s="38">
        <f t="shared" si="71"/>
        <v>811.5058223999999</v>
      </c>
      <c r="ED30" s="38">
        <f t="shared" si="72"/>
        <v>811.5058223999999</v>
      </c>
      <c r="EE30" s="38">
        <f t="shared" si="73"/>
        <v>410.2963592</v>
      </c>
      <c r="EF30" s="5"/>
      <c r="EG30" s="5"/>
      <c r="EH30" s="38">
        <f t="shared" si="74"/>
        <v>2225.1644298</v>
      </c>
      <c r="EI30" s="38">
        <f t="shared" si="75"/>
        <v>2225.1644298</v>
      </c>
      <c r="EJ30" s="38">
        <f t="shared" si="76"/>
        <v>1125.0404359</v>
      </c>
      <c r="EK30" s="5"/>
      <c r="EL30" s="38"/>
      <c r="EM30" s="38">
        <f t="shared" si="77"/>
        <v>15706.755019799999</v>
      </c>
      <c r="EN30" s="5">
        <f t="shared" si="78"/>
        <v>15706.755019799999</v>
      </c>
      <c r="EO30" s="38">
        <f t="shared" si="79"/>
        <v>7941.3162809</v>
      </c>
      <c r="EP30" s="5"/>
      <c r="EQ30" s="38"/>
      <c r="ER30" s="38">
        <f t="shared" si="80"/>
        <v>11348.3258928</v>
      </c>
      <c r="ES30" s="5">
        <f t="shared" si="81"/>
        <v>11348.3258928</v>
      </c>
      <c r="ET30" s="38">
        <f t="shared" si="82"/>
        <v>5737.6998023999995</v>
      </c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ht="12.75">
      <c r="A31" s="40">
        <v>11049</v>
      </c>
      <c r="B31" s="77">
        <v>8040000</v>
      </c>
      <c r="C31" s="77">
        <v>141102</v>
      </c>
      <c r="D31" s="37">
        <f t="shared" si="0"/>
        <v>8181102</v>
      </c>
      <c r="E31" s="37">
        <v>71356</v>
      </c>
      <c r="G31" s="38">
        <v>1152235.716</v>
      </c>
      <c r="H31" s="38">
        <v>20221.736815800006</v>
      </c>
      <c r="I31" s="38">
        <f t="shared" si="1"/>
        <v>1172457.4528158</v>
      </c>
      <c r="J31" s="76">
        <v>10226.2352924</v>
      </c>
      <c r="L31" s="38">
        <f>Q31+V31+AA31+AK31+AP31+AU31+BJ31+BO31+BT31+CD31+CN31+CS31+CX31+DC31+DH31+DM31+DR31+DW31+EB31+EG31+EL31+EQ31+EV31+AF31+AZ31+BY31+CI31+BE31</f>
        <v>6887764.284</v>
      </c>
      <c r="M31" s="37">
        <f t="shared" si="2"/>
        <v>120880.26318420001</v>
      </c>
      <c r="N31" s="5">
        <f t="shared" si="3"/>
        <v>7008644.5471842</v>
      </c>
      <c r="O31" s="37">
        <f t="shared" si="2"/>
        <v>61151.215266399995</v>
      </c>
      <c r="Q31" s="38">
        <f t="shared" si="83"/>
        <v>136527.24</v>
      </c>
      <c r="R31" s="38">
        <f t="shared" si="4"/>
        <v>2396.053062</v>
      </c>
      <c r="S31" s="5">
        <f t="shared" si="5"/>
        <v>138923.29306199998</v>
      </c>
      <c r="T31" s="38">
        <f t="shared" si="6"/>
        <v>1211.696236</v>
      </c>
      <c r="V31" s="5">
        <f t="shared" si="84"/>
        <v>32516.976000000002</v>
      </c>
      <c r="W31" s="38">
        <f t="shared" si="7"/>
        <v>570.6729288</v>
      </c>
      <c r="X31" s="38">
        <f t="shared" si="8"/>
        <v>33087.6489288</v>
      </c>
      <c r="Y31" s="38">
        <f t="shared" si="9"/>
        <v>288.5922064</v>
      </c>
      <c r="AA31" s="5">
        <f t="shared" si="85"/>
        <v>8009.448</v>
      </c>
      <c r="AB31" s="5">
        <f t="shared" si="10"/>
        <v>140.5658124</v>
      </c>
      <c r="AC31" s="5">
        <f t="shared" si="11"/>
        <v>8150.0138124000005</v>
      </c>
      <c r="AD31" s="38">
        <f t="shared" si="12"/>
        <v>71.0848472</v>
      </c>
      <c r="AF31" s="5">
        <f t="shared" si="86"/>
        <v>292.65599999999995</v>
      </c>
      <c r="AG31" s="5">
        <f t="shared" si="13"/>
        <v>5.136112799999999</v>
      </c>
      <c r="AH31" s="5">
        <f t="shared" si="14"/>
        <v>297.7921127999999</v>
      </c>
      <c r="AI31" s="38">
        <f t="shared" si="15"/>
        <v>2.5973583999999996</v>
      </c>
      <c r="AK31" s="38">
        <f t="shared" si="87"/>
        <v>32.16</v>
      </c>
      <c r="AL31" s="38">
        <f t="shared" si="16"/>
        <v>0.564408</v>
      </c>
      <c r="AM31" s="5">
        <f t="shared" si="17"/>
        <v>32.724408</v>
      </c>
      <c r="AN31" s="38">
        <v>11</v>
      </c>
      <c r="AP31" s="38">
        <f t="shared" si="88"/>
        <v>415592.424</v>
      </c>
      <c r="AQ31" s="38">
        <f t="shared" si="18"/>
        <v>7293.647041200001</v>
      </c>
      <c r="AR31" s="5">
        <f t="shared" si="19"/>
        <v>422886.0710412</v>
      </c>
      <c r="AS31" s="38">
        <f t="shared" si="20"/>
        <v>3688.4344536000003</v>
      </c>
      <c r="AT31" s="5"/>
      <c r="AU31" s="38">
        <f t="shared" si="89"/>
        <v>4992.84</v>
      </c>
      <c r="AV31" s="38">
        <f t="shared" si="21"/>
        <v>87.624342</v>
      </c>
      <c r="AW31" s="5">
        <f t="shared" si="22"/>
        <v>5080.464342</v>
      </c>
      <c r="AX31" s="38">
        <f t="shared" si="23"/>
        <v>44.312076000000005</v>
      </c>
      <c r="AY31" s="5"/>
      <c r="AZ31" s="38">
        <f t="shared" si="90"/>
        <v>5826.588</v>
      </c>
      <c r="BA31" s="38">
        <f t="shared" si="24"/>
        <v>102.2566194</v>
      </c>
      <c r="BB31" s="5">
        <f t="shared" si="25"/>
        <v>5928.8446194</v>
      </c>
      <c r="BC31" s="38">
        <f t="shared" si="26"/>
        <v>51.7116932</v>
      </c>
      <c r="BD31" s="5"/>
      <c r="BE31" s="38">
        <f>B31*$BF$6</f>
        <v>29.748</v>
      </c>
      <c r="BF31" s="38">
        <f t="shared" si="27"/>
        <v>0.5220774</v>
      </c>
      <c r="BG31" s="5">
        <f t="shared" si="28"/>
        <v>30.2700774</v>
      </c>
      <c r="BH31" s="38">
        <v>11</v>
      </c>
      <c r="BI31" s="5"/>
      <c r="BJ31" s="38">
        <f t="shared" si="91"/>
        <v>30845.46</v>
      </c>
      <c r="BK31" s="38">
        <f t="shared" si="29"/>
        <v>541.337823</v>
      </c>
      <c r="BL31" s="5">
        <f t="shared" si="30"/>
        <v>31386.797823</v>
      </c>
      <c r="BM31" s="38">
        <f t="shared" si="31"/>
        <v>273.757294</v>
      </c>
      <c r="BN31" s="5"/>
      <c r="BO31" s="5">
        <f t="shared" si="92"/>
        <v>17605.188000000002</v>
      </c>
      <c r="BP31" s="5">
        <f t="shared" si="32"/>
        <v>308.9710494</v>
      </c>
      <c r="BQ31" s="5">
        <f t="shared" si="33"/>
        <v>17914.1590494</v>
      </c>
      <c r="BR31" s="38">
        <f t="shared" si="34"/>
        <v>156.24823320000002</v>
      </c>
      <c r="BS31" s="5"/>
      <c r="BT31" s="38">
        <f t="shared" si="93"/>
        <v>194641.16400000002</v>
      </c>
      <c r="BU31" s="38">
        <f t="shared" si="35"/>
        <v>3415.9524282</v>
      </c>
      <c r="BV31" s="5">
        <f t="shared" si="36"/>
        <v>198057.1164282</v>
      </c>
      <c r="BW31" s="38">
        <f t="shared" si="37"/>
        <v>1727.4645396</v>
      </c>
      <c r="BX31" s="5"/>
      <c r="BY31" s="38">
        <f t="shared" si="94"/>
        <v>1427.1000000000001</v>
      </c>
      <c r="BZ31" s="38">
        <f t="shared" si="38"/>
        <v>25.045605000000002</v>
      </c>
      <c r="CA31" s="5">
        <f t="shared" si="39"/>
        <v>1452.1456050000002</v>
      </c>
      <c r="CB31" s="38">
        <f t="shared" si="40"/>
        <v>12.66569</v>
      </c>
      <c r="CC31" s="5"/>
      <c r="CD31" s="5">
        <f t="shared" si="95"/>
        <v>51029.880000000005</v>
      </c>
      <c r="CE31" s="38">
        <f t="shared" si="41"/>
        <v>895.574394</v>
      </c>
      <c r="CF31" s="38">
        <f t="shared" si="42"/>
        <v>51925.45439400001</v>
      </c>
      <c r="CG31" s="38">
        <f t="shared" si="43"/>
        <v>452.89653200000004</v>
      </c>
      <c r="CH31" s="5"/>
      <c r="CI31" s="5">
        <f t="shared" si="96"/>
        <v>120196.39199999999</v>
      </c>
      <c r="CJ31" s="38">
        <f t="shared" si="44"/>
        <v>2109.4466795999997</v>
      </c>
      <c r="CK31" s="38">
        <f t="shared" si="45"/>
        <v>122305.8386796</v>
      </c>
      <c r="CL31" s="38">
        <f t="shared" si="46"/>
        <v>1066.7579288</v>
      </c>
      <c r="CM31" s="5"/>
      <c r="CN31" s="38">
        <f t="shared" si="97"/>
        <v>47049.276</v>
      </c>
      <c r="CO31" s="38">
        <f t="shared" si="47"/>
        <v>825.7147938</v>
      </c>
      <c r="CP31" s="5">
        <f t="shared" si="48"/>
        <v>47874.990793799996</v>
      </c>
      <c r="CQ31" s="38">
        <f t="shared" si="49"/>
        <v>417.5681764</v>
      </c>
      <c r="CR31" s="5"/>
      <c r="CS31" s="5">
        <f t="shared" si="98"/>
        <v>58283.568</v>
      </c>
      <c r="CT31" s="38">
        <f t="shared" si="50"/>
        <v>1022.8766184</v>
      </c>
      <c r="CU31" s="38">
        <f t="shared" si="51"/>
        <v>59306.4446184</v>
      </c>
      <c r="CV31" s="38">
        <f t="shared" si="52"/>
        <v>517.2739152</v>
      </c>
      <c r="CW31" s="5"/>
      <c r="CX31" s="5">
        <f t="shared" si="99"/>
        <v>6741.540000000001</v>
      </c>
      <c r="CY31" s="5">
        <f t="shared" si="53"/>
        <v>118.31402700000001</v>
      </c>
      <c r="CZ31" s="5">
        <f t="shared" si="54"/>
        <v>6859.854027000001</v>
      </c>
      <c r="DA31" s="38">
        <f t="shared" si="55"/>
        <v>59.83200600000001</v>
      </c>
      <c r="DB31" s="5"/>
      <c r="DC31" s="38">
        <f t="shared" si="100"/>
        <v>712639.872</v>
      </c>
      <c r="DD31" s="38">
        <f t="shared" si="56"/>
        <v>12506.829753600001</v>
      </c>
      <c r="DE31" s="5">
        <f t="shared" si="57"/>
        <v>725146.7017535999</v>
      </c>
      <c r="DF31" s="38">
        <f t="shared" si="58"/>
        <v>6324.767500800001</v>
      </c>
      <c r="DG31" s="5"/>
      <c r="DH31" s="38">
        <f t="shared" si="101"/>
        <v>678432.888</v>
      </c>
      <c r="DI31" s="38">
        <f t="shared" si="59"/>
        <v>11906.497184400001</v>
      </c>
      <c r="DJ31" s="5">
        <f t="shared" si="60"/>
        <v>690339.3851844</v>
      </c>
      <c r="DK31" s="38">
        <f t="shared" si="61"/>
        <v>6021.1762632</v>
      </c>
      <c r="DL31" s="5"/>
      <c r="DM31" s="38">
        <f t="shared" si="102"/>
        <v>16084.823999999999</v>
      </c>
      <c r="DN31" s="38">
        <f t="shared" si="62"/>
        <v>282.2886612</v>
      </c>
      <c r="DO31" s="5">
        <f t="shared" si="63"/>
        <v>16367.112661199999</v>
      </c>
      <c r="DP31" s="38">
        <f t="shared" si="64"/>
        <v>142.7548136</v>
      </c>
      <c r="DQ31" s="5"/>
      <c r="DR31" s="38">
        <f t="shared" si="103"/>
        <v>1152421.44</v>
      </c>
      <c r="DS31" s="38">
        <f t="shared" si="65"/>
        <v>20224.996272</v>
      </c>
      <c r="DT31" s="5">
        <f t="shared" si="66"/>
        <v>1172646.436272</v>
      </c>
      <c r="DU31" s="38">
        <f t="shared" si="67"/>
        <v>10227.883616</v>
      </c>
      <c r="DV31" s="5"/>
      <c r="DW31" s="38">
        <f t="shared" si="104"/>
        <v>1481915.916</v>
      </c>
      <c r="DX31" s="38">
        <f t="shared" si="68"/>
        <v>26007.6243258</v>
      </c>
      <c r="DY31" s="5">
        <f t="shared" si="69"/>
        <v>1507923.5403258</v>
      </c>
      <c r="DZ31" s="38">
        <f t="shared" si="70"/>
        <v>13152.1880724</v>
      </c>
      <c r="EA31" s="5"/>
      <c r="EB31" s="5">
        <f t="shared" si="105"/>
        <v>46239.648</v>
      </c>
      <c r="EC31" s="38">
        <f t="shared" si="71"/>
        <v>811.5058223999999</v>
      </c>
      <c r="ED31" s="38">
        <f t="shared" si="72"/>
        <v>47051.1538224</v>
      </c>
      <c r="EE31" s="38">
        <f t="shared" si="73"/>
        <v>410.3826272</v>
      </c>
      <c r="EF31" s="5"/>
      <c r="EG31" s="5">
        <f t="shared" si="106"/>
        <v>126789.996</v>
      </c>
      <c r="EH31" s="38">
        <f t="shared" si="74"/>
        <v>2225.1644298</v>
      </c>
      <c r="EI31" s="38">
        <f t="shared" si="75"/>
        <v>129015.1604298</v>
      </c>
      <c r="EJ31" s="38">
        <f t="shared" si="76"/>
        <v>1125.2769844</v>
      </c>
      <c r="EK31" s="5"/>
      <c r="EL31" s="38">
        <f t="shared" si="107"/>
        <v>894971.796</v>
      </c>
      <c r="EM31" s="38">
        <f t="shared" si="77"/>
        <v>15706.755019799999</v>
      </c>
      <c r="EN31" s="5">
        <f t="shared" si="78"/>
        <v>910678.5510198</v>
      </c>
      <c r="EO31" s="38">
        <f t="shared" si="79"/>
        <v>7942.9860044</v>
      </c>
      <c r="EP31" s="5"/>
      <c r="EQ31" s="38">
        <f t="shared" si="108"/>
        <v>646628.2559999999</v>
      </c>
      <c r="ER31" s="38">
        <f t="shared" si="80"/>
        <v>11348.3258928</v>
      </c>
      <c r="ES31" s="5">
        <f t="shared" si="81"/>
        <v>657976.5818927999</v>
      </c>
      <c r="ET31" s="38">
        <f t="shared" si="82"/>
        <v>5738.9061984</v>
      </c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2:193" ht="12.75">
      <c r="B32" s="37"/>
      <c r="C32" s="37"/>
      <c r="D32" s="37"/>
      <c r="E32" s="37"/>
      <c r="Q32" s="5"/>
      <c r="R32" s="5"/>
      <c r="S32" s="5"/>
      <c r="T32" s="5"/>
      <c r="AK32" s="5"/>
      <c r="AL32" s="5"/>
      <c r="AM32" s="5"/>
      <c r="AN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38"/>
      <c r="ED32" s="38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</row>
    <row r="33" spans="1:193" ht="13.5" thickBot="1">
      <c r="A33" s="41" t="s">
        <v>31</v>
      </c>
      <c r="B33" s="42">
        <f>SUM(B8:B32)</f>
        <v>81345000</v>
      </c>
      <c r="C33" s="42">
        <f>SUM(C8:C32)</f>
        <v>18545502</v>
      </c>
      <c r="D33" s="42">
        <f>SUM(D8:D32)</f>
        <v>99890502</v>
      </c>
      <c r="E33" s="42">
        <f>SUM(E8:E32)</f>
        <v>1712199</v>
      </c>
      <c r="G33" s="42">
        <f>SUM(G8:G32)</f>
        <v>11657787.8505</v>
      </c>
      <c r="H33" s="42">
        <f>SUM(H8:H32)</f>
        <v>2657809.6735758</v>
      </c>
      <c r="I33" s="42">
        <f>SUM(I8:I32)</f>
        <v>14315597.524075799</v>
      </c>
      <c r="J33" s="42">
        <f>SUM(J8:J32)</f>
        <v>245380.2040671001</v>
      </c>
      <c r="L33" s="42">
        <f>SUM(L8:L32)</f>
        <v>69687212.1495</v>
      </c>
      <c r="M33" s="42">
        <f>SUM(M8:M32)</f>
        <v>15887692.326424196</v>
      </c>
      <c r="N33" s="42">
        <f>SUM(N8:N32)</f>
        <v>85574904.4759242</v>
      </c>
      <c r="O33" s="42">
        <f>SUM(O8:O32)</f>
        <v>1466827.6120006004</v>
      </c>
      <c r="Q33" s="42">
        <f>SUM(Q8:Q32)</f>
        <v>1381319.4449999996</v>
      </c>
      <c r="R33" s="42">
        <f>SUM(R8:R32)</f>
        <v>314921.16946199996</v>
      </c>
      <c r="S33" s="42">
        <f>SUM(S8:S32)</f>
        <v>1696240.614462</v>
      </c>
      <c r="T33" s="42">
        <f>SUM(T8:T32)</f>
        <v>29074.851219000007</v>
      </c>
      <c r="V33" s="42">
        <f>SUM(V8:V32)</f>
        <v>328991.718</v>
      </c>
      <c r="W33" s="42">
        <f>SUM(W8:W32)</f>
        <v>75005.42828880002</v>
      </c>
      <c r="X33" s="42">
        <f>SUM(X8:X32)</f>
        <v>403997.1462888</v>
      </c>
      <c r="Y33" s="42">
        <f>SUM(Y8:Y32)</f>
        <v>6924.8176356</v>
      </c>
      <c r="AA33" s="42">
        <f>SUM(AA8:AA32)</f>
        <v>81035.889</v>
      </c>
      <c r="AB33" s="42">
        <f>SUM(AB8:AB32)</f>
        <v>18475.029092400007</v>
      </c>
      <c r="AC33" s="42">
        <f>SUM(AC8:AC32)</f>
        <v>99510.91809240001</v>
      </c>
      <c r="AD33" s="42">
        <f>SUM(AD8:AD32)</f>
        <v>1705.6926438000007</v>
      </c>
      <c r="AF33" s="42">
        <f>SUM(AF8:AF32)</f>
        <v>2960.9580000000005</v>
      </c>
      <c r="AG33" s="42">
        <f>SUM(AG8:AG32)</f>
        <v>675.0562727999998</v>
      </c>
      <c r="AH33" s="42">
        <f>SUM(AH8:AH32)</f>
        <v>3636.0142728</v>
      </c>
      <c r="AI33" s="42">
        <f>SUM(AI8:AI32)</f>
        <v>62.324043599999975</v>
      </c>
      <c r="AK33" s="42">
        <f>SUM(AK8:AK32)</f>
        <v>325.38</v>
      </c>
      <c r="AL33" s="42">
        <f>SUM(AL8:AL32)</f>
        <v>74.18200799999998</v>
      </c>
      <c r="AM33" s="42">
        <f>SUM(AM8:AM32)</f>
        <v>399.56200799999993</v>
      </c>
      <c r="AN33" s="42">
        <f>SUM(AN8:AN32)</f>
        <v>11</v>
      </c>
      <c r="AP33" s="42">
        <f>SUM(AP8:AP32)</f>
        <v>4204771.857</v>
      </c>
      <c r="AQ33" s="42">
        <f>SUM(AQ8:AQ32)</f>
        <v>958628.1256812</v>
      </c>
      <c r="AR33" s="42">
        <f>SUM(AR8:AR32)</f>
        <v>5163399.9826812</v>
      </c>
      <c r="AS33" s="42">
        <f>SUM(AS8:AS32)</f>
        <v>88504.59362940004</v>
      </c>
      <c r="AT33" s="5"/>
      <c r="AU33" s="42">
        <f>SUM(AU8:AU32)</f>
        <v>50515.244999999995</v>
      </c>
      <c r="AV33" s="42">
        <f>SUM(AV8:AV32)</f>
        <v>11516.756741999998</v>
      </c>
      <c r="AW33" s="42">
        <f>SUM(AW8:AW32)</f>
        <v>62032.00174199999</v>
      </c>
      <c r="AX33" s="42">
        <f>SUM(AX8:AX32)</f>
        <v>1063.2755790000006</v>
      </c>
      <c r="AY33" s="5"/>
      <c r="AZ33" s="42">
        <f>SUM(AZ8:AZ32)</f>
        <v>58950.7215</v>
      </c>
      <c r="BA33" s="42">
        <f>SUM(BA8:BA32)</f>
        <v>13439.9252994</v>
      </c>
      <c r="BB33" s="42">
        <f>SUM(BB8:BB32)</f>
        <v>72390.6467994</v>
      </c>
      <c r="BC33" s="42">
        <f>SUM(BC8:BC32)</f>
        <v>1240.8306152999994</v>
      </c>
      <c r="BD33" s="37"/>
      <c r="BE33" s="42">
        <f>SUM(BE8:BE32)</f>
        <v>300.9765</v>
      </c>
      <c r="BF33" s="42">
        <f>SUM(BF8:BF32)</f>
        <v>68.6183574</v>
      </c>
      <c r="BG33" s="42">
        <f>SUM(BG8:BG32)</f>
        <v>369.59485739999997</v>
      </c>
      <c r="BH33" s="42">
        <f>SUM(BH8:BH32)</f>
        <v>11</v>
      </c>
      <c r="BI33" s="5"/>
      <c r="BJ33" s="42">
        <f>SUM(BJ8:BJ32)</f>
        <v>312080.0925</v>
      </c>
      <c r="BK33" s="42">
        <f>SUM(BK8:BK32)</f>
        <v>71149.81842299999</v>
      </c>
      <c r="BL33" s="42">
        <f>SUM(BL8:BL32)</f>
        <v>383229.910923</v>
      </c>
      <c r="BM33" s="42">
        <f>SUM(BM8:BM32)</f>
        <v>6568.851463500003</v>
      </c>
      <c r="BN33" s="5"/>
      <c r="BO33" s="42">
        <f>SUM(BO8:BO32)</f>
        <v>178121.1465</v>
      </c>
      <c r="BP33" s="42">
        <f>SUM(BP8:BP32)</f>
        <v>40609.08572940001</v>
      </c>
      <c r="BQ33" s="42">
        <f>SUM(BQ8:BQ32)</f>
        <v>218730.2322294</v>
      </c>
      <c r="BR33" s="42">
        <f>SUM(BR8:BR32)</f>
        <v>3749.202150300001</v>
      </c>
      <c r="BS33" s="5"/>
      <c r="BT33" s="42">
        <f>SUM(BT8:BT32)</f>
        <v>1969289.2395000001</v>
      </c>
      <c r="BU33" s="42">
        <f>SUM(BU8:BU32)</f>
        <v>448969.91246820014</v>
      </c>
      <c r="BV33" s="42">
        <f>SUM(BV8:BV32)</f>
        <v>2418259.1519682</v>
      </c>
      <c r="BW33" s="42">
        <f>SUM(BW8:BW32)</f>
        <v>41450.796810900014</v>
      </c>
      <c r="BX33" s="5"/>
      <c r="BY33" s="42">
        <f>SUM(BY8:BY32)</f>
        <v>14438.737500000001</v>
      </c>
      <c r="BZ33" s="42">
        <f>SUM(BZ8:BZ32)</f>
        <v>3291.826605</v>
      </c>
      <c r="CA33" s="42">
        <f>SUM(CA8:CA32)</f>
        <v>17730.564104999998</v>
      </c>
      <c r="CB33" s="42">
        <f>SUM(CB8:CB32)</f>
        <v>303.9153225</v>
      </c>
      <c r="CC33" s="5"/>
      <c r="CD33" s="42">
        <f>SUM(CD8:CD32)</f>
        <v>516296.71499999997</v>
      </c>
      <c r="CE33" s="42">
        <f>SUM(CE8:CE32)</f>
        <v>117708.30119400003</v>
      </c>
      <c r="CF33" s="42">
        <f>SUM(CF8:CF32)</f>
        <v>634005.016194</v>
      </c>
      <c r="CG33" s="42">
        <f>SUM(CG8:CG32)</f>
        <v>10867.327052999999</v>
      </c>
      <c r="CH33" s="5"/>
      <c r="CI33" s="42">
        <f>SUM(CI8:CI32)</f>
        <v>1216091.481</v>
      </c>
      <c r="CJ33" s="42">
        <f>SUM(CJ8:CJ32)</f>
        <v>277251.5457996</v>
      </c>
      <c r="CK33" s="42">
        <f>SUM(CK8:CK32)</f>
        <v>1493343.0267996</v>
      </c>
      <c r="CL33" s="42">
        <f>SUM(CL8:CL32)</f>
        <v>25597.032610199996</v>
      </c>
      <c r="CM33" s="5"/>
      <c r="CN33" s="42">
        <f>SUM(CN8:CN32)</f>
        <v>476022.8055</v>
      </c>
      <c r="CO33" s="42">
        <f>SUM(CO8:CO32)</f>
        <v>108526.4231538</v>
      </c>
      <c r="CP33" s="42">
        <f>SUM(CP8:CP32)</f>
        <v>584549.2286538</v>
      </c>
      <c r="CQ33" s="42">
        <f>SUM(CQ8:CQ32)</f>
        <v>10019.617328100001</v>
      </c>
      <c r="CR33" s="5"/>
      <c r="CS33" s="42">
        <f>SUM(CS8:CS32)</f>
        <v>589686.1739999999</v>
      </c>
      <c r="CT33" s="42">
        <f>SUM(CT8:CT32)</f>
        <v>134440.05309839998</v>
      </c>
      <c r="CU33" s="42">
        <f>SUM(CU8:CU32)</f>
        <v>724126.2270983999</v>
      </c>
      <c r="CV33" s="42">
        <f>SUM(CV8:CV32)</f>
        <v>12412.072990800007</v>
      </c>
      <c r="CW33" s="5"/>
      <c r="CX33" s="42">
        <f>SUM(CX8:CX32)</f>
        <v>68207.78250000002</v>
      </c>
      <c r="CY33" s="42">
        <f>SUM(CY8:CY32)</f>
        <v>15550.403427000001</v>
      </c>
      <c r="CZ33" s="42">
        <f>SUM(CZ8:CZ32)</f>
        <v>83758.18592700001</v>
      </c>
      <c r="DA33" s="42">
        <f>SUM(DA8:DA32)</f>
        <v>1435.6788614999996</v>
      </c>
      <c r="DB33" s="5"/>
      <c r="DC33" s="42">
        <f>SUM(DC8:DC32)</f>
        <v>7210160.496000001</v>
      </c>
      <c r="DD33" s="42">
        <f>SUM(DD8:DD32)</f>
        <v>1643813.9516736004</v>
      </c>
      <c r="DE33" s="42">
        <f>SUM(DE8:DE32)</f>
        <v>8853974.4476736</v>
      </c>
      <c r="DF33" s="42">
        <f>SUM(DF8:DF32)</f>
        <v>151763.84032319998</v>
      </c>
      <c r="DG33" s="5"/>
      <c r="DH33" s="42">
        <f>SUM(DH8:DH32)</f>
        <v>6864070.059</v>
      </c>
      <c r="DI33" s="42">
        <f>SUM(DI8:DI32)</f>
        <v>1564910.2588643995</v>
      </c>
      <c r="DJ33" s="42">
        <f>SUM(DJ8:DJ32)</f>
        <v>8428980.317864403</v>
      </c>
      <c r="DK33" s="42">
        <f>SUM(DK8:DK32)</f>
        <v>144479.11845779998</v>
      </c>
      <c r="DL33" s="5"/>
      <c r="DM33" s="42">
        <f>SUM(DM8:DM32)</f>
        <v>162738.807</v>
      </c>
      <c r="DN33" s="42">
        <f>SUM(DN8:DN32)</f>
        <v>37102.13130119999</v>
      </c>
      <c r="DO33" s="42">
        <f>SUM(DO8:DO32)</f>
        <v>199840.9383012</v>
      </c>
      <c r="DP33" s="42">
        <f>SUM(DP8:DP32)</f>
        <v>3425.4253194</v>
      </c>
      <c r="DQ33" s="5"/>
      <c r="DR33" s="42">
        <f>SUM(DR8:DR32)</f>
        <v>11659666.92</v>
      </c>
      <c r="DS33" s="42">
        <f>SUM(DS8:DS32)</f>
        <v>2658238.0746720005</v>
      </c>
      <c r="DT33" s="42">
        <f>SUM(DT8:DT32)</f>
        <v>14317904.994672</v>
      </c>
      <c r="DU33" s="42">
        <f>SUM(DU8:DU32)</f>
        <v>245419.75586399998</v>
      </c>
      <c r="DV33" s="5"/>
      <c r="DW33" s="42">
        <f>SUM(DW8:DW32)</f>
        <v>14993339.575499998</v>
      </c>
      <c r="DX33" s="42">
        <f>SUM(DX8:DX32)</f>
        <v>3418267.983085801</v>
      </c>
      <c r="DY33" s="42">
        <f>SUM(DY8:DY32)</f>
        <v>18411607.5585858</v>
      </c>
      <c r="DZ33" s="42">
        <f>SUM(DZ8:DZ32)</f>
        <v>315588.92406209995</v>
      </c>
      <c r="EA33" s="5"/>
      <c r="EB33" s="42">
        <f>SUM(EB8:EB32)</f>
        <v>467831.36399999994</v>
      </c>
      <c r="EC33" s="42">
        <f>SUM(EC8:EC32)</f>
        <v>106658.8911024</v>
      </c>
      <c r="ED33" s="42">
        <f>SUM(ED8:ED32)</f>
        <v>574490.2551024</v>
      </c>
      <c r="EE33" s="42">
        <f>SUM(EE8:EE32)</f>
        <v>9847.198888799996</v>
      </c>
      <c r="EF33" s="5"/>
      <c r="EG33" s="42">
        <f>SUM(EG8:EG32)</f>
        <v>1282802.5155</v>
      </c>
      <c r="EH33" s="42">
        <f>SUM(EH8:EH32)</f>
        <v>292460.71198980004</v>
      </c>
      <c r="EI33" s="42">
        <f>SUM(EI8:EI32)</f>
        <v>1575263.2274897997</v>
      </c>
      <c r="EJ33" s="42">
        <f>SUM(EJ8:EJ32)</f>
        <v>27001.20701009999</v>
      </c>
      <c r="EK33" s="5"/>
      <c r="EL33" s="42">
        <f>SUM(EL8:EL32)</f>
        <v>9054910.5405</v>
      </c>
      <c r="EM33" s="42">
        <f>SUM(EM8:EM32)</f>
        <v>2064390.7005798002</v>
      </c>
      <c r="EN33" s="42">
        <f>SUM(EN8:EN32)</f>
        <v>11119301.241079804</v>
      </c>
      <c r="EO33" s="42">
        <f>SUM(EO8:EO32)</f>
        <v>190593.2604651001</v>
      </c>
      <c r="EP33" s="37"/>
      <c r="EQ33" s="42">
        <f>SUM(EQ8:EQ32)</f>
        <v>6542285.507999999</v>
      </c>
      <c r="ER33" s="42">
        <f>SUM(ER8:ER32)</f>
        <v>1491547.9620528002</v>
      </c>
      <c r="ES33" s="42">
        <f>SUM(ES8:ES32)</f>
        <v>8033833.470052799</v>
      </c>
      <c r="ET33" s="42">
        <f>SUM(ET8:ET32)</f>
        <v>137706.00165360008</v>
      </c>
      <c r="EU33" s="5"/>
      <c r="EV33" s="42">
        <f>SUM(EV8:EV32)</f>
        <v>0</v>
      </c>
      <c r="EW33" s="42">
        <f>SUM(EW8:EW32)</f>
        <v>0</v>
      </c>
      <c r="EX33" s="42">
        <f>SUM(EX8:EX32)</f>
        <v>0</v>
      </c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17:193" ht="13.5" thickTop="1">
      <c r="Q34" s="5"/>
      <c r="R34" s="5"/>
      <c r="S34" s="5"/>
      <c r="T34" s="5"/>
      <c r="AK34" s="5"/>
      <c r="AL34" s="5"/>
      <c r="AM34" s="5"/>
      <c r="AN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</row>
    <row r="35" spans="13:193" ht="12.75">
      <c r="M35" s="5"/>
      <c r="Q35" s="5"/>
      <c r="R35" s="5"/>
      <c r="S35" s="5"/>
      <c r="T35" s="5"/>
      <c r="AK35" s="5"/>
      <c r="AL35" s="5"/>
      <c r="AM35" s="5"/>
      <c r="AN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7:193" ht="12.75">
      <c r="Q36" s="5"/>
      <c r="R36" s="5"/>
      <c r="S36" s="5"/>
      <c r="T36" s="5"/>
      <c r="AK36" s="5"/>
      <c r="AL36" s="5"/>
      <c r="AM36" s="5"/>
      <c r="AN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</row>
    <row r="37" spans="17:193" ht="12.75">
      <c r="Q37" s="5"/>
      <c r="R37" s="5"/>
      <c r="S37" s="5"/>
      <c r="T37" s="5"/>
      <c r="AK37" s="5"/>
      <c r="AL37" s="5"/>
      <c r="AM37" s="5"/>
      <c r="AN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17:193" ht="12.75">
      <c r="Q38" s="5"/>
      <c r="R38" s="5"/>
      <c r="S38" s="5"/>
      <c r="T38" s="5"/>
      <c r="AK38" s="5"/>
      <c r="AL38" s="5"/>
      <c r="AM38" s="5"/>
      <c r="AN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</row>
    <row r="39" spans="17:193" ht="12.75">
      <c r="Q39" s="5"/>
      <c r="R39" s="5"/>
      <c r="S39" s="5"/>
      <c r="T39" s="5"/>
      <c r="AK39" s="5"/>
      <c r="AL39" s="5"/>
      <c r="AM39" s="5"/>
      <c r="AN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7:193" ht="12.75">
      <c r="Q40" s="5"/>
      <c r="R40" s="5"/>
      <c r="S40" s="5"/>
      <c r="T40" s="5"/>
      <c r="AK40" s="5"/>
      <c r="AL40" s="5"/>
      <c r="AM40" s="5"/>
      <c r="AN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</row>
    <row r="41" spans="1:193" ht="12.75">
      <c r="A41"/>
      <c r="Q41" s="5"/>
      <c r="R41" s="5"/>
      <c r="S41" s="5"/>
      <c r="T41" s="5"/>
      <c r="AK41" s="5"/>
      <c r="AL41" s="5"/>
      <c r="AM41" s="5"/>
      <c r="AN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:193" ht="12.75">
      <c r="A42"/>
      <c r="Q42" s="5"/>
      <c r="R42" s="5"/>
      <c r="S42" s="5"/>
      <c r="T42" s="5"/>
      <c r="AK42" s="5"/>
      <c r="AL42" s="5"/>
      <c r="AM42" s="5"/>
      <c r="AN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</row>
    <row r="43" spans="1:193" ht="12.75">
      <c r="A43"/>
      <c r="Q43" s="5"/>
      <c r="R43" s="5"/>
      <c r="S43" s="5"/>
      <c r="T43" s="5"/>
      <c r="AK43" s="5"/>
      <c r="AL43" s="5"/>
      <c r="AM43" s="5"/>
      <c r="AN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</row>
    <row r="44" spans="1:193" ht="12.75">
      <c r="A44"/>
      <c r="Q44" s="5"/>
      <c r="R44" s="5"/>
      <c r="S44" s="5"/>
      <c r="T44" s="5"/>
      <c r="AK44" s="5"/>
      <c r="AL44" s="5"/>
      <c r="AM44" s="5"/>
      <c r="AN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</row>
    <row r="45" spans="1:193" ht="12.75">
      <c r="A45"/>
      <c r="Q45" s="5"/>
      <c r="R45" s="5"/>
      <c r="S45" s="5"/>
      <c r="T45" s="5"/>
      <c r="AK45" s="5"/>
      <c r="AL45" s="5"/>
      <c r="AM45" s="5"/>
      <c r="AN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</row>
    <row r="46" spans="1:193" ht="12.75">
      <c r="A46"/>
      <c r="G46"/>
      <c r="H46"/>
      <c r="I46"/>
      <c r="J46"/>
      <c r="Q46" s="5"/>
      <c r="R46" s="5"/>
      <c r="S46" s="5"/>
      <c r="T46" s="5"/>
      <c r="AK46" s="5"/>
      <c r="AL46" s="5"/>
      <c r="AM46" s="5"/>
      <c r="AN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</row>
    <row r="47" spans="1:193" ht="12.75">
      <c r="A47"/>
      <c r="B47"/>
      <c r="C47"/>
      <c r="D47"/>
      <c r="E47"/>
      <c r="F47"/>
      <c r="G47"/>
      <c r="H47"/>
      <c r="I47"/>
      <c r="J47"/>
      <c r="K47"/>
      <c r="P47"/>
      <c r="Q47" s="5"/>
      <c r="R47" s="5"/>
      <c r="S47" s="5"/>
      <c r="T47" s="5"/>
      <c r="AK47" s="5"/>
      <c r="AL47" s="5"/>
      <c r="AM47" s="5"/>
      <c r="AN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</row>
    <row r="48" spans="1:193" ht="12.75">
      <c r="A48"/>
      <c r="B48"/>
      <c r="C48"/>
      <c r="D48"/>
      <c r="E48"/>
      <c r="F48"/>
      <c r="G48"/>
      <c r="H48"/>
      <c r="I48"/>
      <c r="J48"/>
      <c r="K48"/>
      <c r="P48"/>
      <c r="Q48" s="5"/>
      <c r="R48" s="5"/>
      <c r="S48" s="5"/>
      <c r="T48" s="5"/>
      <c r="AK48" s="5"/>
      <c r="AL48" s="5"/>
      <c r="AM48" s="5"/>
      <c r="AN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</row>
    <row r="49" spans="1:193" ht="12.75">
      <c r="A49"/>
      <c r="B49"/>
      <c r="C49"/>
      <c r="D49"/>
      <c r="E49"/>
      <c r="F49"/>
      <c r="G49"/>
      <c r="H49"/>
      <c r="I49"/>
      <c r="J49"/>
      <c r="K49"/>
      <c r="P49"/>
      <c r="Q49" s="5"/>
      <c r="R49" s="5"/>
      <c r="S49" s="5"/>
      <c r="T49" s="5"/>
      <c r="AK49" s="5"/>
      <c r="AL49" s="5"/>
      <c r="AM49" s="5"/>
      <c r="AN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</row>
    <row r="50" spans="1:193" ht="12.75">
      <c r="A50"/>
      <c r="B50"/>
      <c r="C50"/>
      <c r="D50"/>
      <c r="E50"/>
      <c r="F50"/>
      <c r="G50"/>
      <c r="H50"/>
      <c r="I50"/>
      <c r="J50"/>
      <c r="K50"/>
      <c r="P50"/>
      <c r="Q50" s="5"/>
      <c r="R50" s="5"/>
      <c r="S50" s="5"/>
      <c r="T50" s="5"/>
      <c r="AK50" s="5"/>
      <c r="AL50" s="5"/>
      <c r="AM50" s="5"/>
      <c r="AN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</row>
    <row r="51" spans="1:193" ht="12.75">
      <c r="A51"/>
      <c r="B51"/>
      <c r="C51"/>
      <c r="D51"/>
      <c r="E51"/>
      <c r="F51"/>
      <c r="G51"/>
      <c r="H51"/>
      <c r="I51"/>
      <c r="J51"/>
      <c r="K51"/>
      <c r="P51"/>
      <c r="Q51" s="5"/>
      <c r="R51" s="5"/>
      <c r="S51" s="5"/>
      <c r="T51" s="5"/>
      <c r="AK51" s="5"/>
      <c r="AL51" s="5"/>
      <c r="AM51" s="5"/>
      <c r="AN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</row>
    <row r="52" spans="1:193" ht="12.75">
      <c r="A52"/>
      <c r="B52"/>
      <c r="C52"/>
      <c r="D52"/>
      <c r="E52"/>
      <c r="F52"/>
      <c r="G52"/>
      <c r="H52"/>
      <c r="I52"/>
      <c r="J52"/>
      <c r="K52"/>
      <c r="P52"/>
      <c r="Q52" s="5"/>
      <c r="R52" s="5"/>
      <c r="S52" s="5"/>
      <c r="T52" s="5"/>
      <c r="AK52" s="5"/>
      <c r="AL52" s="5"/>
      <c r="AM52" s="5"/>
      <c r="AN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</row>
    <row r="53" spans="1:193" ht="12.75">
      <c r="A53"/>
      <c r="B53"/>
      <c r="C53"/>
      <c r="D53"/>
      <c r="E53"/>
      <c r="F53"/>
      <c r="G53"/>
      <c r="H53"/>
      <c r="I53"/>
      <c r="J53"/>
      <c r="K53"/>
      <c r="P53"/>
      <c r="Q53" s="5"/>
      <c r="R53" s="5"/>
      <c r="S53" s="5"/>
      <c r="T53" s="5"/>
      <c r="AK53" s="5"/>
      <c r="AL53" s="5"/>
      <c r="AM53" s="5"/>
      <c r="AN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</row>
    <row r="54" spans="1:193" ht="12.75">
      <c r="A54"/>
      <c r="B54"/>
      <c r="C54"/>
      <c r="D54"/>
      <c r="E54"/>
      <c r="F54"/>
      <c r="G54"/>
      <c r="H54"/>
      <c r="I54"/>
      <c r="J54"/>
      <c r="K54"/>
      <c r="P54"/>
      <c r="Q54" s="5"/>
      <c r="R54" s="5"/>
      <c r="S54" s="5"/>
      <c r="T54" s="5"/>
      <c r="AK54" s="5"/>
      <c r="AL54" s="5"/>
      <c r="AM54" s="5"/>
      <c r="AN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</row>
    <row r="55" spans="1:193" ht="12.75">
      <c r="A55"/>
      <c r="B55"/>
      <c r="C55"/>
      <c r="D55"/>
      <c r="E55"/>
      <c r="F55"/>
      <c r="G55"/>
      <c r="H55"/>
      <c r="I55"/>
      <c r="J55"/>
      <c r="K55"/>
      <c r="P55"/>
      <c r="Q55" s="5"/>
      <c r="R55" s="5"/>
      <c r="S55" s="5"/>
      <c r="T55" s="5"/>
      <c r="AK55" s="5"/>
      <c r="AL55" s="5"/>
      <c r="AM55" s="5"/>
      <c r="AN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</row>
    <row r="56" spans="1:193" ht="12.75">
      <c r="A56"/>
      <c r="B56"/>
      <c r="C56"/>
      <c r="D56"/>
      <c r="E56"/>
      <c r="F56"/>
      <c r="G56"/>
      <c r="H56"/>
      <c r="I56"/>
      <c r="J56"/>
      <c r="K56"/>
      <c r="P56"/>
      <c r="Q56" s="5"/>
      <c r="R56" s="5"/>
      <c r="S56" s="5"/>
      <c r="T56" s="5"/>
      <c r="AK56" s="5"/>
      <c r="AL56" s="5"/>
      <c r="AM56" s="5"/>
      <c r="AN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</row>
    <row r="57" spans="1:193" ht="12.75">
      <c r="A57"/>
      <c r="B57"/>
      <c r="C57"/>
      <c r="D57"/>
      <c r="E57"/>
      <c r="F57"/>
      <c r="G57"/>
      <c r="H57"/>
      <c r="I57"/>
      <c r="J57"/>
      <c r="K57"/>
      <c r="P57"/>
      <c r="Q57" s="5"/>
      <c r="R57" s="5"/>
      <c r="S57" s="5"/>
      <c r="T57" s="5"/>
      <c r="AK57" s="5"/>
      <c r="AL57" s="5"/>
      <c r="AM57" s="5"/>
      <c r="AN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</row>
    <row r="58" spans="1:193" ht="12.75">
      <c r="A58"/>
      <c r="B58"/>
      <c r="C58"/>
      <c r="D58"/>
      <c r="E58"/>
      <c r="F58"/>
      <c r="G58"/>
      <c r="H58"/>
      <c r="I58"/>
      <c r="J58"/>
      <c r="K58"/>
      <c r="P58"/>
      <c r="Q58" s="5"/>
      <c r="R58" s="5"/>
      <c r="S58" s="5"/>
      <c r="T58" s="5"/>
      <c r="AK58" s="5"/>
      <c r="AL58" s="5"/>
      <c r="AM58" s="5"/>
      <c r="AN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</row>
    <row r="59" spans="1:193" ht="12.75">
      <c r="A59"/>
      <c r="B59"/>
      <c r="C59"/>
      <c r="D59"/>
      <c r="E59"/>
      <c r="F59"/>
      <c r="G59"/>
      <c r="H59"/>
      <c r="I59"/>
      <c r="J59"/>
      <c r="K59"/>
      <c r="P59"/>
      <c r="Q59" s="5"/>
      <c r="R59" s="5"/>
      <c r="S59" s="5"/>
      <c r="T59" s="5"/>
      <c r="AK59" s="5"/>
      <c r="AL59" s="5"/>
      <c r="AM59" s="5"/>
      <c r="AN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</row>
    <row r="60" spans="1:193" ht="12.75">
      <c r="A60"/>
      <c r="B60"/>
      <c r="C60"/>
      <c r="D60"/>
      <c r="E60"/>
      <c r="F60"/>
      <c r="G60"/>
      <c r="H60"/>
      <c r="I60"/>
      <c r="J60"/>
      <c r="K60"/>
      <c r="P60"/>
      <c r="Q60" s="5"/>
      <c r="R60" s="5"/>
      <c r="S60" s="5"/>
      <c r="T60" s="5"/>
      <c r="AK60" s="5"/>
      <c r="AL60" s="5"/>
      <c r="AM60" s="5"/>
      <c r="AN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</row>
    <row r="61" spans="1:193" ht="12.75">
      <c r="A61"/>
      <c r="B61"/>
      <c r="C61"/>
      <c r="D61"/>
      <c r="E61"/>
      <c r="F61"/>
      <c r="G61"/>
      <c r="H61"/>
      <c r="I61"/>
      <c r="J61"/>
      <c r="K61"/>
      <c r="P61"/>
      <c r="Q61" s="5"/>
      <c r="R61" s="5"/>
      <c r="S61" s="5"/>
      <c r="T61" s="5"/>
      <c r="AK61" s="5"/>
      <c r="AL61" s="5"/>
      <c r="AM61" s="5"/>
      <c r="AN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</row>
    <row r="62" spans="1:193" ht="12.75">
      <c r="A62"/>
      <c r="B62"/>
      <c r="C62"/>
      <c r="D62"/>
      <c r="E62"/>
      <c r="F62"/>
      <c r="G62"/>
      <c r="H62"/>
      <c r="I62"/>
      <c r="J62"/>
      <c r="K62"/>
      <c r="P62"/>
      <c r="Q62" s="5"/>
      <c r="R62" s="5"/>
      <c r="S62" s="5"/>
      <c r="T62" s="5"/>
      <c r="AK62" s="5"/>
      <c r="AL62" s="5"/>
      <c r="AM62" s="5"/>
      <c r="AN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</row>
    <row r="63" spans="1:193" ht="12.75">
      <c r="A63"/>
      <c r="B63"/>
      <c r="C63"/>
      <c r="D63"/>
      <c r="E63"/>
      <c r="F63"/>
      <c r="G63"/>
      <c r="H63"/>
      <c r="I63"/>
      <c r="J63"/>
      <c r="K63"/>
      <c r="P63"/>
      <c r="Q63" s="5"/>
      <c r="R63" s="5"/>
      <c r="S63" s="5"/>
      <c r="T63" s="5"/>
      <c r="AK63" s="5"/>
      <c r="AL63" s="5"/>
      <c r="AM63" s="5"/>
      <c r="AN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</row>
    <row r="64" spans="1:193" ht="12.75">
      <c r="A64"/>
      <c r="B64"/>
      <c r="C64"/>
      <c r="D64"/>
      <c r="E64"/>
      <c r="F64"/>
      <c r="G64"/>
      <c r="H64"/>
      <c r="I64"/>
      <c r="J64"/>
      <c r="K64"/>
      <c r="P64"/>
      <c r="Q64" s="5"/>
      <c r="R64" s="5"/>
      <c r="S64" s="5"/>
      <c r="T64" s="5"/>
      <c r="AK64" s="5"/>
      <c r="AL64" s="5"/>
      <c r="AM64" s="5"/>
      <c r="AN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</row>
    <row r="65" spans="1:193" ht="12.75">
      <c r="A65"/>
      <c r="B65"/>
      <c r="C65"/>
      <c r="D65"/>
      <c r="E65"/>
      <c r="F65"/>
      <c r="G65"/>
      <c r="H65"/>
      <c r="I65"/>
      <c r="J65"/>
      <c r="K65"/>
      <c r="P65"/>
      <c r="Q65" s="5"/>
      <c r="R65" s="5"/>
      <c r="S65" s="5"/>
      <c r="T65" s="5"/>
      <c r="AK65" s="5"/>
      <c r="AL65" s="5"/>
      <c r="AM65" s="5"/>
      <c r="AN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</row>
    <row r="66" spans="1:193" ht="12.75">
      <c r="A66"/>
      <c r="B66"/>
      <c r="C66"/>
      <c r="D66"/>
      <c r="E66"/>
      <c r="F66"/>
      <c r="G66"/>
      <c r="H66"/>
      <c r="I66"/>
      <c r="J66"/>
      <c r="K66"/>
      <c r="P66"/>
      <c r="Q66" s="5"/>
      <c r="R66" s="5"/>
      <c r="S66" s="5"/>
      <c r="T66" s="5"/>
      <c r="AK66" s="5"/>
      <c r="AL66" s="5"/>
      <c r="AM66" s="5"/>
      <c r="AN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</row>
    <row r="67" spans="1:193" ht="12.75">
      <c r="A67"/>
      <c r="B67"/>
      <c r="C67"/>
      <c r="D67"/>
      <c r="E67"/>
      <c r="F67"/>
      <c r="G67"/>
      <c r="H67"/>
      <c r="I67"/>
      <c r="J67"/>
      <c r="K67"/>
      <c r="P67"/>
      <c r="Q67" s="5"/>
      <c r="R67" s="5"/>
      <c r="S67" s="5"/>
      <c r="T67" s="5"/>
      <c r="AK67" s="5"/>
      <c r="AL67" s="5"/>
      <c r="AM67" s="5"/>
      <c r="AN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</row>
    <row r="68" spans="2:193" ht="12.75">
      <c r="B68"/>
      <c r="C68"/>
      <c r="D68"/>
      <c r="E68"/>
      <c r="F68"/>
      <c r="G68"/>
      <c r="H68"/>
      <c r="I68"/>
      <c r="J68"/>
      <c r="K68"/>
      <c r="P68"/>
      <c r="Q68" s="5"/>
      <c r="R68" s="5"/>
      <c r="S68" s="5"/>
      <c r="T68" s="5"/>
      <c r="AK68" s="5"/>
      <c r="AL68" s="5"/>
      <c r="AM68" s="5"/>
      <c r="AN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</row>
    <row r="69" spans="2:193" ht="12.75">
      <c r="B69"/>
      <c r="C69"/>
      <c r="D69"/>
      <c r="E69"/>
      <c r="F69"/>
      <c r="G69"/>
      <c r="H69"/>
      <c r="I69"/>
      <c r="J69"/>
      <c r="K69"/>
      <c r="P69"/>
      <c r="Q69" s="5"/>
      <c r="R69" s="5"/>
      <c r="S69" s="5"/>
      <c r="T69" s="5"/>
      <c r="AK69" s="5"/>
      <c r="AL69" s="5"/>
      <c r="AM69" s="5"/>
      <c r="AN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</row>
    <row r="70" spans="2:193" ht="12.75">
      <c r="B70"/>
      <c r="C70"/>
      <c r="D70"/>
      <c r="E70"/>
      <c r="F70"/>
      <c r="G70"/>
      <c r="H70"/>
      <c r="I70"/>
      <c r="J70"/>
      <c r="K70"/>
      <c r="P70"/>
      <c r="Q70" s="5"/>
      <c r="R70" s="5"/>
      <c r="S70" s="5"/>
      <c r="T70" s="5"/>
      <c r="AK70" s="5"/>
      <c r="AL70" s="5"/>
      <c r="AM70" s="5"/>
      <c r="AN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</row>
    <row r="71" spans="2:193" ht="12.75">
      <c r="B71"/>
      <c r="C71"/>
      <c r="D71"/>
      <c r="E71"/>
      <c r="F71"/>
      <c r="G71"/>
      <c r="H71"/>
      <c r="I71"/>
      <c r="J71"/>
      <c r="K71"/>
      <c r="P71"/>
      <c r="Q71" s="5"/>
      <c r="R71" s="5"/>
      <c r="S71" s="5"/>
      <c r="T71" s="5"/>
      <c r="AK71" s="5"/>
      <c r="AL71" s="5"/>
      <c r="AM71" s="5"/>
      <c r="AN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</row>
    <row r="72" spans="2:193" ht="12.75">
      <c r="B72"/>
      <c r="C72"/>
      <c r="D72"/>
      <c r="E72"/>
      <c r="F72"/>
      <c r="G72"/>
      <c r="H72"/>
      <c r="I72"/>
      <c r="J72"/>
      <c r="K72"/>
      <c r="P72"/>
      <c r="Q72" s="5"/>
      <c r="R72" s="5"/>
      <c r="S72" s="5"/>
      <c r="T72" s="5"/>
      <c r="AK72" s="5"/>
      <c r="AL72" s="5"/>
      <c r="AM72" s="5"/>
      <c r="AN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</row>
    <row r="73" spans="2:193" ht="12.75">
      <c r="B73"/>
      <c r="C73"/>
      <c r="D73"/>
      <c r="E73"/>
      <c r="F73"/>
      <c r="K73"/>
      <c r="P73"/>
      <c r="Q73" s="5"/>
      <c r="R73" s="5"/>
      <c r="S73" s="5"/>
      <c r="T73" s="5"/>
      <c r="AK73" s="5"/>
      <c r="AL73" s="5"/>
      <c r="AM73" s="5"/>
      <c r="AN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</row>
    <row r="74" spans="17:193" ht="12.75">
      <c r="Q74" s="5"/>
      <c r="R74" s="5"/>
      <c r="S74" s="5"/>
      <c r="T74" s="5"/>
      <c r="AK74" s="5"/>
      <c r="AL74" s="5"/>
      <c r="AM74" s="5"/>
      <c r="AN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</row>
    <row r="75" spans="17:193" ht="12.75">
      <c r="Q75" s="5"/>
      <c r="R75" s="5"/>
      <c r="S75" s="5"/>
      <c r="T75" s="5"/>
      <c r="AK75" s="5"/>
      <c r="AL75" s="5"/>
      <c r="AM75" s="5"/>
      <c r="AN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</row>
    <row r="76" spans="17:193" ht="12.75">
      <c r="Q76" s="5"/>
      <c r="R76" s="5"/>
      <c r="S76" s="5"/>
      <c r="T76" s="5"/>
      <c r="AK76" s="5"/>
      <c r="AL76" s="5"/>
      <c r="AM76" s="5"/>
      <c r="AN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</row>
    <row r="77" spans="17:193" ht="12.75">
      <c r="Q77" s="5"/>
      <c r="R77" s="5"/>
      <c r="S77" s="5"/>
      <c r="T77" s="5"/>
      <c r="AK77" s="5"/>
      <c r="AL77" s="5"/>
      <c r="AM77" s="5"/>
      <c r="AN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</row>
    <row r="78" spans="17:193" ht="12.75">
      <c r="Q78" s="5"/>
      <c r="R78" s="5"/>
      <c r="S78" s="5"/>
      <c r="T78" s="5"/>
      <c r="AK78" s="5"/>
      <c r="AL78" s="5"/>
      <c r="AM78" s="5"/>
      <c r="AN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</row>
    <row r="79" spans="17:193" ht="12.75">
      <c r="Q79" s="5"/>
      <c r="R79" s="5"/>
      <c r="S79" s="5"/>
      <c r="T79" s="5"/>
      <c r="AK79" s="5"/>
      <c r="AL79" s="5"/>
      <c r="AM79" s="5"/>
      <c r="AN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</row>
    <row r="80" spans="17:193" ht="12.75">
      <c r="Q80" s="5"/>
      <c r="R80" s="5"/>
      <c r="S80" s="5"/>
      <c r="T80" s="5"/>
      <c r="AK80" s="5"/>
      <c r="AL80" s="5"/>
      <c r="AM80" s="5"/>
      <c r="AN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</row>
    <row r="81" spans="17:193" ht="12.75">
      <c r="Q81" s="5"/>
      <c r="R81" s="5"/>
      <c r="S81" s="5"/>
      <c r="T81" s="5"/>
      <c r="AK81" s="5"/>
      <c r="AL81" s="5"/>
      <c r="AM81" s="5"/>
      <c r="AN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</row>
    <row r="82" spans="17:193" ht="12.75">
      <c r="Q82" s="5"/>
      <c r="R82" s="5"/>
      <c r="S82" s="5"/>
      <c r="T82" s="5"/>
      <c r="AK82" s="5"/>
      <c r="AL82" s="5"/>
      <c r="AM82" s="5"/>
      <c r="AN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</row>
    <row r="83" spans="17:193" ht="12.75">
      <c r="Q83" s="5"/>
      <c r="R83" s="5"/>
      <c r="S83" s="5"/>
      <c r="T83" s="5"/>
      <c r="AK83" s="5"/>
      <c r="AL83" s="5"/>
      <c r="AM83" s="5"/>
      <c r="AN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</row>
    <row r="84" spans="17:193" ht="12.75">
      <c r="Q84" s="5"/>
      <c r="R84" s="5"/>
      <c r="S84" s="5"/>
      <c r="T84" s="5"/>
      <c r="AK84" s="5"/>
      <c r="AL84" s="5"/>
      <c r="AM84" s="5"/>
      <c r="AN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</row>
    <row r="85" spans="17:193" ht="12.75">
      <c r="Q85" s="5"/>
      <c r="R85" s="5"/>
      <c r="S85" s="5"/>
      <c r="T85" s="5"/>
      <c r="AK85" s="5"/>
      <c r="AL85" s="5"/>
      <c r="AM85" s="5"/>
      <c r="AN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</row>
    <row r="86" spans="17:193" ht="12.75">
      <c r="Q86" s="5"/>
      <c r="R86" s="5"/>
      <c r="S86" s="5"/>
      <c r="T86" s="5"/>
      <c r="AK86" s="5"/>
      <c r="AL86" s="5"/>
      <c r="AM86" s="5"/>
      <c r="AN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</row>
    <row r="87" spans="17:193" ht="12.75">
      <c r="Q87" s="5"/>
      <c r="R87" s="5"/>
      <c r="S87" s="5"/>
      <c r="T87" s="5"/>
      <c r="AK87" s="5"/>
      <c r="AL87" s="5"/>
      <c r="AM87" s="5"/>
      <c r="AN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</row>
    <row r="88" spans="17:193" ht="12.75">
      <c r="Q88" s="5"/>
      <c r="R88" s="5"/>
      <c r="S88" s="5"/>
      <c r="T88" s="5"/>
      <c r="AK88" s="5"/>
      <c r="AL88" s="5"/>
      <c r="AM88" s="5"/>
      <c r="AN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</row>
    <row r="89" spans="17:193" ht="12.75">
      <c r="Q89" s="5"/>
      <c r="R89" s="5"/>
      <c r="S89" s="5"/>
      <c r="T89" s="5"/>
      <c r="AK89" s="5"/>
      <c r="AL89" s="5"/>
      <c r="AM89" s="5"/>
      <c r="AN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</row>
    <row r="90" spans="17:193" ht="12.75">
      <c r="Q90" s="5"/>
      <c r="R90" s="5"/>
      <c r="S90" s="5"/>
      <c r="T90" s="5"/>
      <c r="AK90" s="5"/>
      <c r="AL90" s="5"/>
      <c r="AM90" s="5"/>
      <c r="AN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</row>
    <row r="91" spans="17:193" ht="12.75">
      <c r="Q91" s="5"/>
      <c r="R91" s="5"/>
      <c r="S91" s="5"/>
      <c r="T91" s="5"/>
      <c r="AK91" s="5"/>
      <c r="AL91" s="5"/>
      <c r="AM91" s="5"/>
      <c r="AN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</row>
    <row r="92" spans="17:193" ht="12.75">
      <c r="Q92" s="5"/>
      <c r="R92" s="5"/>
      <c r="S92" s="5"/>
      <c r="T92" s="5"/>
      <c r="AK92" s="5"/>
      <c r="AL92" s="5"/>
      <c r="AM92" s="5"/>
      <c r="AN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</row>
    <row r="93" spans="17:193" ht="12.75">
      <c r="Q93" s="5"/>
      <c r="R93" s="5"/>
      <c r="S93" s="5"/>
      <c r="T93" s="5"/>
      <c r="AK93" s="5"/>
      <c r="AL93" s="5"/>
      <c r="AM93" s="5"/>
      <c r="AN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</row>
    <row r="94" spans="17:193" ht="12.75">
      <c r="Q94" s="5"/>
      <c r="R94" s="5"/>
      <c r="S94" s="5"/>
      <c r="T94" s="5"/>
      <c r="AK94" s="5"/>
      <c r="AL94" s="5"/>
      <c r="AM94" s="5"/>
      <c r="AN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</row>
    <row r="95" spans="17:193" ht="12.75">
      <c r="Q95" s="5"/>
      <c r="R95" s="5"/>
      <c r="S95" s="5"/>
      <c r="T95" s="5"/>
      <c r="AK95" s="5"/>
      <c r="AL95" s="5"/>
      <c r="AM95" s="5"/>
      <c r="AN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</row>
    <row r="96" spans="17:193" ht="12.75">
      <c r="Q96" s="5"/>
      <c r="R96" s="5"/>
      <c r="S96" s="5"/>
      <c r="T96" s="5"/>
      <c r="AK96" s="5"/>
      <c r="AL96" s="5"/>
      <c r="AM96" s="5"/>
      <c r="AN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</row>
    <row r="97" spans="17:193" ht="12.75">
      <c r="Q97" s="5"/>
      <c r="R97" s="5"/>
      <c r="S97" s="5"/>
      <c r="T97" s="5"/>
      <c r="AK97" s="5"/>
      <c r="AL97" s="5"/>
      <c r="AM97" s="5"/>
      <c r="AN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</row>
    <row r="98" spans="17:193" ht="12.75">
      <c r="Q98" s="5"/>
      <c r="R98" s="5"/>
      <c r="S98" s="5"/>
      <c r="T98" s="5"/>
      <c r="AK98" s="5"/>
      <c r="AL98" s="5"/>
      <c r="AM98" s="5"/>
      <c r="AN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</row>
    <row r="99" spans="17:193" ht="12.75">
      <c r="Q99" s="5"/>
      <c r="R99" s="5"/>
      <c r="S99" s="5"/>
      <c r="T99" s="5"/>
      <c r="AK99" s="5"/>
      <c r="AL99" s="5"/>
      <c r="AM99" s="5"/>
      <c r="AN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</row>
    <row r="100" spans="17:193" ht="12.75">
      <c r="Q100" s="5"/>
      <c r="R100" s="5"/>
      <c r="S100" s="5"/>
      <c r="T100" s="5"/>
      <c r="AK100" s="5"/>
      <c r="AL100" s="5"/>
      <c r="AM100" s="5"/>
      <c r="AN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</row>
    <row r="101" spans="17:193" ht="12.75">
      <c r="Q101" s="5"/>
      <c r="R101" s="5"/>
      <c r="S101" s="5"/>
      <c r="T101" s="5"/>
      <c r="AK101" s="5"/>
      <c r="AL101" s="5"/>
      <c r="AM101" s="5"/>
      <c r="AN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</row>
    <row r="102" spans="17:193" ht="12.75">
      <c r="Q102" s="5"/>
      <c r="R102" s="5"/>
      <c r="S102" s="5"/>
      <c r="T102" s="5"/>
      <c r="AK102" s="5"/>
      <c r="AL102" s="5"/>
      <c r="AM102" s="5"/>
      <c r="AN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</row>
    <row r="103" spans="17:193" ht="12.75">
      <c r="Q103" s="5"/>
      <c r="R103" s="5"/>
      <c r="S103" s="5"/>
      <c r="T103" s="5"/>
      <c r="AK103" s="5"/>
      <c r="AL103" s="5"/>
      <c r="AM103" s="5"/>
      <c r="AN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</row>
    <row r="104" spans="17:193" ht="12.75">
      <c r="Q104" s="5"/>
      <c r="R104" s="5"/>
      <c r="S104" s="5"/>
      <c r="T104" s="5"/>
      <c r="AK104" s="5"/>
      <c r="AL104" s="5"/>
      <c r="AM104" s="5"/>
      <c r="AN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</row>
    <row r="105" spans="17:193" ht="12.75">
      <c r="Q105" s="5"/>
      <c r="R105" s="5"/>
      <c r="S105" s="5"/>
      <c r="T105" s="5"/>
      <c r="AK105" s="5"/>
      <c r="AL105" s="5"/>
      <c r="AM105" s="5"/>
      <c r="AN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</row>
    <row r="106" spans="17:193" ht="12.75">
      <c r="Q106" s="5"/>
      <c r="R106" s="5"/>
      <c r="S106" s="5"/>
      <c r="T106" s="5"/>
      <c r="AK106" s="5"/>
      <c r="AL106" s="5"/>
      <c r="AM106" s="5"/>
      <c r="AN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</row>
    <row r="107" spans="17:193" ht="12.75">
      <c r="Q107" s="5"/>
      <c r="R107" s="5"/>
      <c r="S107" s="5"/>
      <c r="T107" s="5"/>
      <c r="AK107" s="5"/>
      <c r="AL107" s="5"/>
      <c r="AM107" s="5"/>
      <c r="AN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</row>
    <row r="108" spans="17:193" ht="12.75">
      <c r="Q108" s="5"/>
      <c r="R108" s="5"/>
      <c r="S108" s="5"/>
      <c r="T108" s="5"/>
      <c r="AK108" s="5"/>
      <c r="AL108" s="5"/>
      <c r="AM108" s="5"/>
      <c r="AN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</row>
    <row r="109" spans="17:193" ht="12.75">
      <c r="Q109" s="5"/>
      <c r="R109" s="5"/>
      <c r="S109" s="5"/>
      <c r="T109" s="5"/>
      <c r="AK109" s="5"/>
      <c r="AL109" s="5"/>
      <c r="AM109" s="5"/>
      <c r="AN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</row>
    <row r="110" spans="17:193" ht="12.75">
      <c r="Q110" s="5"/>
      <c r="R110" s="5"/>
      <c r="S110" s="5"/>
      <c r="T110" s="5"/>
      <c r="AK110" s="5"/>
      <c r="AL110" s="5"/>
      <c r="AM110" s="5"/>
      <c r="AN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</row>
    <row r="111" spans="17:193" ht="12.75">
      <c r="Q111" s="5"/>
      <c r="R111" s="5"/>
      <c r="S111" s="5"/>
      <c r="T111" s="5"/>
      <c r="AK111" s="5"/>
      <c r="AL111" s="5"/>
      <c r="AM111" s="5"/>
      <c r="AN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</row>
    <row r="112" spans="17:193" ht="12.75">
      <c r="Q112" s="5"/>
      <c r="R112" s="5"/>
      <c r="S112" s="5"/>
      <c r="T112" s="5"/>
      <c r="AK112" s="5"/>
      <c r="AL112" s="5"/>
      <c r="AM112" s="5"/>
      <c r="AN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</row>
    <row r="113" spans="17:193" ht="12.75">
      <c r="Q113" s="5"/>
      <c r="R113" s="5"/>
      <c r="S113" s="5"/>
      <c r="T113" s="5"/>
      <c r="AK113" s="5"/>
      <c r="AL113" s="5"/>
      <c r="AM113" s="5"/>
      <c r="AN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</row>
    <row r="114" spans="17:193" ht="12.75">
      <c r="Q114" s="5"/>
      <c r="R114" s="5"/>
      <c r="S114" s="5"/>
      <c r="T114" s="5"/>
      <c r="AK114" s="5"/>
      <c r="AL114" s="5"/>
      <c r="AM114" s="5"/>
      <c r="AN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</row>
    <row r="115" spans="17:193" ht="12.75">
      <c r="Q115" s="5"/>
      <c r="R115" s="5"/>
      <c r="S115" s="5"/>
      <c r="T115" s="5"/>
      <c r="AK115" s="5"/>
      <c r="AL115" s="5"/>
      <c r="AM115" s="5"/>
      <c r="AN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</row>
    <row r="116" spans="17:193" ht="12.75">
      <c r="Q116" s="5"/>
      <c r="R116" s="5"/>
      <c r="S116" s="5"/>
      <c r="T116" s="5"/>
      <c r="AK116" s="5"/>
      <c r="AL116" s="5"/>
      <c r="AM116" s="5"/>
      <c r="AN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</row>
    <row r="117" spans="17:193" ht="12.75">
      <c r="Q117" s="5"/>
      <c r="R117" s="5"/>
      <c r="S117" s="5"/>
      <c r="T117" s="5"/>
      <c r="AK117" s="5"/>
      <c r="AL117" s="5"/>
      <c r="AM117" s="5"/>
      <c r="AN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</row>
    <row r="118" spans="17:193" ht="12.75">
      <c r="Q118" s="5"/>
      <c r="R118" s="5"/>
      <c r="S118" s="5"/>
      <c r="T118" s="5"/>
      <c r="AK118" s="5"/>
      <c r="AL118" s="5"/>
      <c r="AM118" s="5"/>
      <c r="AN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</row>
    <row r="119" spans="17:193" ht="12.75">
      <c r="Q119" s="5"/>
      <c r="R119" s="5"/>
      <c r="S119" s="5"/>
      <c r="T119" s="5"/>
      <c r="AK119" s="5"/>
      <c r="AL119" s="5"/>
      <c r="AM119" s="5"/>
      <c r="AN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</row>
    <row r="120" spans="17:193" ht="12.75">
      <c r="Q120" s="5"/>
      <c r="R120" s="5"/>
      <c r="S120" s="5"/>
      <c r="T120" s="5"/>
      <c r="AK120" s="5"/>
      <c r="AL120" s="5"/>
      <c r="AM120" s="5"/>
      <c r="AN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</row>
    <row r="121" spans="17:193" ht="12.75">
      <c r="Q121" s="5"/>
      <c r="R121" s="5"/>
      <c r="S121" s="5"/>
      <c r="T121" s="5"/>
      <c r="AK121" s="5"/>
      <c r="AL121" s="5"/>
      <c r="AM121" s="5"/>
      <c r="AN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</row>
    <row r="122" spans="17:193" ht="12.75">
      <c r="Q122" s="5"/>
      <c r="R122" s="5"/>
      <c r="S122" s="5"/>
      <c r="T122" s="5"/>
      <c r="AK122" s="5"/>
      <c r="AL122" s="5"/>
      <c r="AM122" s="5"/>
      <c r="AN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</row>
    <row r="123" spans="17:193" ht="12.75">
      <c r="Q123" s="5"/>
      <c r="R123" s="5"/>
      <c r="S123" s="5"/>
      <c r="T123" s="5"/>
      <c r="AK123" s="5"/>
      <c r="AL123" s="5"/>
      <c r="AM123" s="5"/>
      <c r="AN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</row>
    <row r="124" spans="17:193" ht="12.75">
      <c r="Q124" s="5"/>
      <c r="R124" s="5"/>
      <c r="S124" s="5"/>
      <c r="T124" s="5"/>
      <c r="AK124" s="5"/>
      <c r="AL124" s="5"/>
      <c r="AM124" s="5"/>
      <c r="AN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</row>
    <row r="125" spans="17:193" ht="12.75">
      <c r="Q125" s="5"/>
      <c r="R125" s="5"/>
      <c r="S125" s="5"/>
      <c r="T125" s="5"/>
      <c r="AK125" s="5"/>
      <c r="AL125" s="5"/>
      <c r="AM125" s="5"/>
      <c r="AN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</row>
    <row r="126" spans="17:193" ht="12.75">
      <c r="Q126" s="5"/>
      <c r="R126" s="5"/>
      <c r="S126" s="5"/>
      <c r="T126" s="5"/>
      <c r="AK126" s="5"/>
      <c r="AL126" s="5"/>
      <c r="AM126" s="5"/>
      <c r="AN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</row>
    <row r="127" spans="17:193" ht="12.75">
      <c r="Q127" s="5"/>
      <c r="R127" s="5"/>
      <c r="S127" s="5"/>
      <c r="T127" s="5"/>
      <c r="AK127" s="5"/>
      <c r="AL127" s="5"/>
      <c r="AM127" s="5"/>
      <c r="AN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</row>
    <row r="128" spans="17:193" ht="12.75">
      <c r="Q128" s="5"/>
      <c r="R128" s="5"/>
      <c r="S128" s="5"/>
      <c r="T128" s="5"/>
      <c r="AK128" s="5"/>
      <c r="AL128" s="5"/>
      <c r="AM128" s="5"/>
      <c r="AN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</row>
    <row r="129" spans="17:193" ht="12.75">
      <c r="Q129" s="5"/>
      <c r="R129" s="5"/>
      <c r="S129" s="5"/>
      <c r="T129" s="5"/>
      <c r="AK129" s="5"/>
      <c r="AL129" s="5"/>
      <c r="AM129" s="5"/>
      <c r="AN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</row>
    <row r="130" spans="17:193" ht="12.75">
      <c r="Q130" s="5"/>
      <c r="R130" s="5"/>
      <c r="S130" s="5"/>
      <c r="T130" s="5"/>
      <c r="AK130" s="5"/>
      <c r="AL130" s="5"/>
      <c r="AM130" s="5"/>
      <c r="AN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</row>
    <row r="131" spans="17:193" ht="12.75">
      <c r="Q131" s="5"/>
      <c r="R131" s="5"/>
      <c r="S131" s="5"/>
      <c r="T131" s="5"/>
      <c r="AK131" s="5"/>
      <c r="AL131" s="5"/>
      <c r="AM131" s="5"/>
      <c r="AN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</row>
    <row r="132" spans="17:193" ht="12.75">
      <c r="Q132" s="5"/>
      <c r="R132" s="5"/>
      <c r="S132" s="5"/>
      <c r="T132" s="5"/>
      <c r="AK132" s="5"/>
      <c r="AL132" s="5"/>
      <c r="AM132" s="5"/>
      <c r="AN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</row>
    <row r="133" spans="17:193" ht="12.75">
      <c r="Q133" s="5"/>
      <c r="R133" s="5"/>
      <c r="S133" s="5"/>
      <c r="T133" s="5"/>
      <c r="AK133" s="5"/>
      <c r="AL133" s="5"/>
      <c r="AM133" s="5"/>
      <c r="AN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</row>
    <row r="134" spans="17:193" ht="12.75">
      <c r="Q134" s="5"/>
      <c r="R134" s="5"/>
      <c r="S134" s="5"/>
      <c r="T134" s="5"/>
      <c r="AK134" s="5"/>
      <c r="AL134" s="5"/>
      <c r="AM134" s="5"/>
      <c r="AN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</row>
    <row r="135" spans="17:193" ht="12.75">
      <c r="Q135" s="5"/>
      <c r="R135" s="5"/>
      <c r="S135" s="5"/>
      <c r="T135" s="5"/>
      <c r="AK135" s="5"/>
      <c r="AL135" s="5"/>
      <c r="AM135" s="5"/>
      <c r="AN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</row>
    <row r="136" spans="17:193" ht="12.75">
      <c r="Q136" s="5"/>
      <c r="R136" s="5"/>
      <c r="S136" s="5"/>
      <c r="T136" s="5"/>
      <c r="AK136" s="5"/>
      <c r="AL136" s="5"/>
      <c r="AM136" s="5"/>
      <c r="AN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</row>
    <row r="137" spans="17:193" ht="12.75">
      <c r="Q137" s="5"/>
      <c r="R137" s="5"/>
      <c r="S137" s="5"/>
      <c r="T137" s="5"/>
      <c r="AK137" s="5"/>
      <c r="AL137" s="5"/>
      <c r="AM137" s="5"/>
      <c r="AN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</row>
    <row r="138" spans="17:193" ht="12.75">
      <c r="Q138" s="5"/>
      <c r="R138" s="5"/>
      <c r="S138" s="5"/>
      <c r="T138" s="5"/>
      <c r="AK138" s="5"/>
      <c r="AL138" s="5"/>
      <c r="AM138" s="5"/>
      <c r="AN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</row>
    <row r="139" spans="17:193" ht="12.75">
      <c r="Q139" s="5"/>
      <c r="R139" s="5"/>
      <c r="S139" s="5"/>
      <c r="T139" s="5"/>
      <c r="AK139" s="5"/>
      <c r="AL139" s="5"/>
      <c r="AM139" s="5"/>
      <c r="AN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</row>
    <row r="140" spans="17:193" ht="12.75">
      <c r="Q140" s="5"/>
      <c r="R140" s="5"/>
      <c r="S140" s="5"/>
      <c r="T140" s="5"/>
      <c r="AK140" s="5"/>
      <c r="AL140" s="5"/>
      <c r="AM140" s="5"/>
      <c r="AN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</row>
    <row r="141" spans="17:193" ht="12.75">
      <c r="Q141" s="5"/>
      <c r="R141" s="5"/>
      <c r="S141" s="5"/>
      <c r="T141" s="5"/>
      <c r="AK141" s="5"/>
      <c r="AL141" s="5"/>
      <c r="AM141" s="5"/>
      <c r="AN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</row>
    <row r="142" spans="17:193" ht="12.75">
      <c r="Q142" s="5"/>
      <c r="R142" s="5"/>
      <c r="S142" s="5"/>
      <c r="T142" s="5"/>
      <c r="AK142" s="5"/>
      <c r="AL142" s="5"/>
      <c r="AM142" s="5"/>
      <c r="AN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</row>
    <row r="143" spans="17:193" ht="12.75">
      <c r="Q143" s="5"/>
      <c r="R143" s="5"/>
      <c r="S143" s="5"/>
      <c r="T143" s="5"/>
      <c r="AK143" s="5"/>
      <c r="AL143" s="5"/>
      <c r="AM143" s="5"/>
      <c r="AN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</row>
    <row r="144" spans="17:193" ht="12.75">
      <c r="Q144" s="5"/>
      <c r="R144" s="5"/>
      <c r="S144" s="5"/>
      <c r="T144" s="5"/>
      <c r="AK144" s="5"/>
      <c r="AL144" s="5"/>
      <c r="AM144" s="5"/>
      <c r="AN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</row>
    <row r="145" spans="17:193" ht="12.75">
      <c r="Q145" s="5"/>
      <c r="R145" s="5"/>
      <c r="S145" s="5"/>
      <c r="T145" s="5"/>
      <c r="AK145" s="5"/>
      <c r="AL145" s="5"/>
      <c r="AM145" s="5"/>
      <c r="AN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</row>
    <row r="146" spans="17:193" ht="12.75">
      <c r="Q146" s="5"/>
      <c r="R146" s="5"/>
      <c r="S146" s="5"/>
      <c r="T146" s="5"/>
      <c r="AK146" s="5"/>
      <c r="AL146" s="5"/>
      <c r="AM146" s="5"/>
      <c r="AN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</row>
    <row r="147" spans="17:193" ht="12.75">
      <c r="Q147" s="5"/>
      <c r="R147" s="5"/>
      <c r="S147" s="5"/>
      <c r="T147" s="5"/>
      <c r="AK147" s="5"/>
      <c r="AL147" s="5"/>
      <c r="AM147" s="5"/>
      <c r="AN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</row>
    <row r="148" spans="17:193" ht="12.75">
      <c r="Q148" s="5"/>
      <c r="R148" s="5"/>
      <c r="S148" s="5"/>
      <c r="T148" s="5"/>
      <c r="AK148" s="5"/>
      <c r="AL148" s="5"/>
      <c r="AM148" s="5"/>
      <c r="AN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</row>
    <row r="149" spans="17:193" ht="12.75">
      <c r="Q149" s="5"/>
      <c r="R149" s="5"/>
      <c r="S149" s="5"/>
      <c r="T149" s="5"/>
      <c r="AK149" s="5"/>
      <c r="AL149" s="5"/>
      <c r="AM149" s="5"/>
      <c r="AN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</row>
    <row r="150" spans="17:193" ht="12.75">
      <c r="Q150" s="5"/>
      <c r="R150" s="5"/>
      <c r="S150" s="5"/>
      <c r="T150" s="5"/>
      <c r="AK150" s="5"/>
      <c r="AL150" s="5"/>
      <c r="AM150" s="5"/>
      <c r="AN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</row>
    <row r="151" spans="17:193" ht="12.75">
      <c r="Q151" s="5"/>
      <c r="R151" s="5"/>
      <c r="S151" s="5"/>
      <c r="T151" s="5"/>
      <c r="AK151" s="5"/>
      <c r="AL151" s="5"/>
      <c r="AM151" s="5"/>
      <c r="AN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</row>
    <row r="152" spans="17:193" ht="12.75">
      <c r="Q152" s="5"/>
      <c r="R152" s="5"/>
      <c r="S152" s="5"/>
      <c r="T152" s="5"/>
      <c r="AK152" s="5"/>
      <c r="AL152" s="5"/>
      <c r="AM152" s="5"/>
      <c r="AN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</row>
    <row r="153" spans="17:193" ht="12.75">
      <c r="Q153" s="5"/>
      <c r="R153" s="5"/>
      <c r="S153" s="5"/>
      <c r="T153" s="5"/>
      <c r="AK153" s="5"/>
      <c r="AL153" s="5"/>
      <c r="AM153" s="5"/>
      <c r="AN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</row>
    <row r="154" spans="17:193" ht="12.75">
      <c r="Q154" s="5"/>
      <c r="R154" s="5"/>
      <c r="S154" s="5"/>
      <c r="T154" s="5"/>
      <c r="AK154" s="5"/>
      <c r="AL154" s="5"/>
      <c r="AM154" s="5"/>
      <c r="AN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</row>
    <row r="155" spans="17:193" ht="12.75">
      <c r="Q155" s="5"/>
      <c r="R155" s="5"/>
      <c r="S155" s="5"/>
      <c r="T155" s="5"/>
      <c r="AK155" s="5"/>
      <c r="AL155" s="5"/>
      <c r="AM155" s="5"/>
      <c r="AN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</row>
    <row r="156" spans="17:193" ht="12.75">
      <c r="Q156" s="5"/>
      <c r="R156" s="5"/>
      <c r="S156" s="5"/>
      <c r="T156" s="5"/>
      <c r="AK156" s="5"/>
      <c r="AL156" s="5"/>
      <c r="AM156" s="5"/>
      <c r="AN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</row>
    <row r="157" spans="17:193" ht="12.75">
      <c r="Q157" s="5"/>
      <c r="R157" s="5"/>
      <c r="S157" s="5"/>
      <c r="T157" s="5"/>
      <c r="AK157" s="5"/>
      <c r="AL157" s="5"/>
      <c r="AM157" s="5"/>
      <c r="AN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</row>
    <row r="158" spans="17:193" ht="12.75">
      <c r="Q158" s="5"/>
      <c r="R158" s="5"/>
      <c r="S158" s="5"/>
      <c r="T158" s="5"/>
      <c r="AK158" s="5"/>
      <c r="AL158" s="5"/>
      <c r="AM158" s="5"/>
      <c r="AN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</row>
    <row r="159" spans="17:193" ht="12.75">
      <c r="Q159" s="5"/>
      <c r="R159" s="5"/>
      <c r="S159" s="5"/>
      <c r="T159" s="5"/>
      <c r="AK159" s="5"/>
      <c r="AL159" s="5"/>
      <c r="AM159" s="5"/>
      <c r="AN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</row>
    <row r="160" spans="17:193" ht="12.75">
      <c r="Q160" s="5"/>
      <c r="R160" s="5"/>
      <c r="S160" s="5"/>
      <c r="T160" s="5"/>
      <c r="AK160" s="5"/>
      <c r="AL160" s="5"/>
      <c r="AM160" s="5"/>
      <c r="AN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</row>
    <row r="161" spans="17:193" ht="12.75">
      <c r="Q161" s="5"/>
      <c r="R161" s="5"/>
      <c r="S161" s="5"/>
      <c r="T161" s="5"/>
      <c r="AK161" s="5"/>
      <c r="AL161" s="5"/>
      <c r="AM161" s="5"/>
      <c r="AN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</row>
    <row r="162" spans="17:193" ht="12.75">
      <c r="Q162" s="5"/>
      <c r="R162" s="5"/>
      <c r="S162" s="5"/>
      <c r="T162" s="5"/>
      <c r="AK162" s="5"/>
      <c r="AL162" s="5"/>
      <c r="AM162" s="5"/>
      <c r="AN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</row>
    <row r="163" spans="17:193" ht="12.75">
      <c r="Q163" s="5"/>
      <c r="R163" s="5"/>
      <c r="S163" s="5"/>
      <c r="T163" s="5"/>
      <c r="AK163" s="5"/>
      <c r="AL163" s="5"/>
      <c r="AM163" s="5"/>
      <c r="AN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</row>
    <row r="164" spans="17:193" ht="12.75">
      <c r="Q164" s="5"/>
      <c r="R164" s="5"/>
      <c r="S164" s="5"/>
      <c r="T164" s="5"/>
      <c r="AK164" s="5"/>
      <c r="AL164" s="5"/>
      <c r="AM164" s="5"/>
      <c r="AN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</row>
    <row r="165" spans="17:193" ht="12.75">
      <c r="Q165" s="5"/>
      <c r="R165" s="5"/>
      <c r="S165" s="5"/>
      <c r="T165" s="5"/>
      <c r="AK165" s="5"/>
      <c r="AL165" s="5"/>
      <c r="AM165" s="5"/>
      <c r="AN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</row>
    <row r="166" spans="17:193" ht="12.75">
      <c r="Q166" s="5"/>
      <c r="R166" s="5"/>
      <c r="S166" s="5"/>
      <c r="T166" s="5"/>
      <c r="AK166" s="5"/>
      <c r="AL166" s="5"/>
      <c r="AM166" s="5"/>
      <c r="AN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</row>
    <row r="167" spans="17:193" ht="12.75">
      <c r="Q167" s="5"/>
      <c r="R167" s="5"/>
      <c r="S167" s="5"/>
      <c r="T167" s="5"/>
      <c r="AK167" s="5"/>
      <c r="AL167" s="5"/>
      <c r="AM167" s="5"/>
      <c r="AN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</row>
    <row r="168" spans="17:193" ht="12.75">
      <c r="Q168" s="5"/>
      <c r="R168" s="5"/>
      <c r="S168" s="5"/>
      <c r="T168" s="5"/>
      <c r="AK168" s="5"/>
      <c r="AL168" s="5"/>
      <c r="AM168" s="5"/>
      <c r="AN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</row>
    <row r="169" spans="17:193" ht="12.75">
      <c r="Q169" s="5"/>
      <c r="R169" s="5"/>
      <c r="S169" s="5"/>
      <c r="T169" s="5"/>
      <c r="AK169" s="5"/>
      <c r="AL169" s="5"/>
      <c r="AM169" s="5"/>
      <c r="AN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</row>
    <row r="170" spans="17:193" ht="12.75">
      <c r="Q170" s="5"/>
      <c r="R170" s="5"/>
      <c r="S170" s="5"/>
      <c r="T170" s="5"/>
      <c r="AK170" s="5"/>
      <c r="AL170" s="5"/>
      <c r="AM170" s="5"/>
      <c r="AN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</row>
    <row r="171" spans="17:193" ht="12.75">
      <c r="Q171" s="5"/>
      <c r="R171" s="5"/>
      <c r="S171" s="5"/>
      <c r="T171" s="5"/>
      <c r="AK171" s="5"/>
      <c r="AL171" s="5"/>
      <c r="AM171" s="5"/>
      <c r="AN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</row>
    <row r="172" spans="17:193" ht="12.75">
      <c r="Q172" s="5"/>
      <c r="R172" s="5"/>
      <c r="S172" s="5"/>
      <c r="T172" s="5"/>
      <c r="AK172" s="5"/>
      <c r="AL172" s="5"/>
      <c r="AM172" s="5"/>
      <c r="AN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</row>
    <row r="173" spans="17:193" ht="12.75">
      <c r="Q173" s="5"/>
      <c r="R173" s="5"/>
      <c r="S173" s="5"/>
      <c r="T173" s="5"/>
      <c r="AK173" s="5"/>
      <c r="AL173" s="5"/>
      <c r="AM173" s="5"/>
      <c r="AN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</row>
    <row r="174" spans="17:193" ht="12.75">
      <c r="Q174" s="5"/>
      <c r="R174" s="5"/>
      <c r="S174" s="5"/>
      <c r="T174" s="5"/>
      <c r="AK174" s="5"/>
      <c r="AL174" s="5"/>
      <c r="AM174" s="5"/>
      <c r="AN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</row>
    <row r="175" spans="17:193" ht="12.75">
      <c r="Q175" s="5"/>
      <c r="R175" s="5"/>
      <c r="S175" s="5"/>
      <c r="T175" s="5"/>
      <c r="AK175" s="5"/>
      <c r="AL175" s="5"/>
      <c r="AM175" s="5"/>
      <c r="AN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</row>
    <row r="176" spans="17:193" ht="12.75">
      <c r="Q176" s="5"/>
      <c r="R176" s="5"/>
      <c r="S176" s="5"/>
      <c r="T176" s="5"/>
      <c r="AK176" s="5"/>
      <c r="AL176" s="5"/>
      <c r="AM176" s="5"/>
      <c r="AN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</row>
    <row r="177" spans="17:193" ht="12.75">
      <c r="Q177" s="5"/>
      <c r="R177" s="5"/>
      <c r="S177" s="5"/>
      <c r="T177" s="5"/>
      <c r="AK177" s="5"/>
      <c r="AL177" s="5"/>
      <c r="AM177" s="5"/>
      <c r="AN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</row>
    <row r="178" spans="17:193" ht="12.75">
      <c r="Q178" s="5"/>
      <c r="R178" s="5"/>
      <c r="S178" s="5"/>
      <c r="T178" s="5"/>
      <c r="AK178" s="5"/>
      <c r="AL178" s="5"/>
      <c r="AM178" s="5"/>
      <c r="AN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</row>
    <row r="179" spans="17:193" ht="12.75">
      <c r="Q179" s="5"/>
      <c r="R179" s="5"/>
      <c r="S179" s="5"/>
      <c r="T179" s="5"/>
      <c r="AK179" s="5"/>
      <c r="AL179" s="5"/>
      <c r="AM179" s="5"/>
      <c r="AN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</row>
    <row r="180" spans="17:193" ht="12.75">
      <c r="Q180" s="5"/>
      <c r="R180" s="5"/>
      <c r="S180" s="5"/>
      <c r="T180" s="5"/>
      <c r="AK180" s="5"/>
      <c r="AL180" s="5"/>
      <c r="AM180" s="5"/>
      <c r="AN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</row>
    <row r="181" spans="17:193" ht="12.75">
      <c r="Q181" s="5"/>
      <c r="R181" s="5"/>
      <c r="S181" s="5"/>
      <c r="T181" s="5"/>
      <c r="AK181" s="5"/>
      <c r="AL181" s="5"/>
      <c r="AM181" s="5"/>
      <c r="AN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</row>
    <row r="182" spans="17:193" ht="12.75">
      <c r="Q182" s="5"/>
      <c r="R182" s="5"/>
      <c r="S182" s="5"/>
      <c r="T182" s="5"/>
      <c r="AK182" s="5"/>
      <c r="AL182" s="5"/>
      <c r="AM182" s="5"/>
      <c r="AN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</row>
    <row r="183" spans="17:193" ht="12.75">
      <c r="Q183" s="5"/>
      <c r="R183" s="5"/>
      <c r="S183" s="5"/>
      <c r="T183" s="5"/>
      <c r="AK183" s="5"/>
      <c r="AL183" s="5"/>
      <c r="AM183" s="5"/>
      <c r="AN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</row>
    <row r="184" spans="17:193" ht="12.75">
      <c r="Q184" s="5"/>
      <c r="R184" s="5"/>
      <c r="S184" s="5"/>
      <c r="T184" s="5"/>
      <c r="AK184" s="5"/>
      <c r="AL184" s="5"/>
      <c r="AM184" s="5"/>
      <c r="AN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</row>
    <row r="185" spans="17:193" ht="12.75">
      <c r="Q185" s="5"/>
      <c r="R185" s="5"/>
      <c r="S185" s="5"/>
      <c r="T185" s="5"/>
      <c r="AK185" s="5"/>
      <c r="AL185" s="5"/>
      <c r="AM185" s="5"/>
      <c r="AN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</row>
    <row r="186" spans="17:193" ht="12.75">
      <c r="Q186" s="5"/>
      <c r="R186" s="5"/>
      <c r="S186" s="5"/>
      <c r="T186" s="5"/>
      <c r="AK186" s="5"/>
      <c r="AL186" s="5"/>
      <c r="AM186" s="5"/>
      <c r="AN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</row>
    <row r="187" spans="17:193" ht="12.75">
      <c r="Q187" s="5"/>
      <c r="R187" s="5"/>
      <c r="S187" s="5"/>
      <c r="T187" s="5"/>
      <c r="AK187" s="5"/>
      <c r="AL187" s="5"/>
      <c r="AM187" s="5"/>
      <c r="AN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</row>
    <row r="188" spans="17:193" ht="12.75">
      <c r="Q188" s="5"/>
      <c r="R188" s="5"/>
      <c r="S188" s="5"/>
      <c r="T188" s="5"/>
      <c r="AK188" s="5"/>
      <c r="AL188" s="5"/>
      <c r="AM188" s="5"/>
      <c r="AN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</row>
    <row r="189" spans="17:193" ht="12.75">
      <c r="Q189" s="5"/>
      <c r="R189" s="5"/>
      <c r="S189" s="5"/>
      <c r="T189" s="5"/>
      <c r="AK189" s="5"/>
      <c r="AL189" s="5"/>
      <c r="AM189" s="5"/>
      <c r="AN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</row>
    <row r="190" spans="17:193" ht="12.75">
      <c r="Q190" s="5"/>
      <c r="R190" s="5"/>
      <c r="S190" s="5"/>
      <c r="T190" s="5"/>
      <c r="AK190" s="5"/>
      <c r="AL190" s="5"/>
      <c r="AM190" s="5"/>
      <c r="AN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</row>
    <row r="191" spans="17:193" ht="12.75">
      <c r="Q191" s="5"/>
      <c r="R191" s="5"/>
      <c r="S191" s="5"/>
      <c r="T191" s="5"/>
      <c r="AK191" s="5"/>
      <c r="AL191" s="5"/>
      <c r="AM191" s="5"/>
      <c r="AN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</row>
    <row r="192" spans="17:193" ht="12.75">
      <c r="Q192" s="5"/>
      <c r="R192" s="5"/>
      <c r="S192" s="5"/>
      <c r="T192" s="5"/>
      <c r="AK192" s="5"/>
      <c r="AL192" s="5"/>
      <c r="AM192" s="5"/>
      <c r="AN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</row>
    <row r="193" spans="17:193" ht="12.75">
      <c r="Q193" s="5"/>
      <c r="R193" s="5"/>
      <c r="S193" s="5"/>
      <c r="T193" s="5"/>
      <c r="AK193" s="5"/>
      <c r="AL193" s="5"/>
      <c r="AM193" s="5"/>
      <c r="AN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</row>
    <row r="194" spans="17:193" ht="12.75">
      <c r="Q194" s="5"/>
      <c r="R194" s="5"/>
      <c r="S194" s="5"/>
      <c r="T194" s="5"/>
      <c r="AK194" s="5"/>
      <c r="AL194" s="5"/>
      <c r="AM194" s="5"/>
      <c r="AN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</row>
    <row r="195" spans="17:193" ht="12.75">
      <c r="Q195" s="5"/>
      <c r="R195" s="5"/>
      <c r="S195" s="5"/>
      <c r="T195" s="5"/>
      <c r="AK195" s="5"/>
      <c r="AL195" s="5"/>
      <c r="AM195" s="5"/>
      <c r="AN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</row>
    <row r="196" spans="17:193" ht="12.75">
      <c r="Q196" s="5"/>
      <c r="R196" s="5"/>
      <c r="S196" s="5"/>
      <c r="T196" s="5"/>
      <c r="AK196" s="5"/>
      <c r="AL196" s="5"/>
      <c r="AM196" s="5"/>
      <c r="AN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</row>
    <row r="197" spans="17:193" ht="12.75">
      <c r="Q197" s="5"/>
      <c r="R197" s="5"/>
      <c r="S197" s="5"/>
      <c r="T197" s="5"/>
      <c r="AK197" s="5"/>
      <c r="AL197" s="5"/>
      <c r="AM197" s="5"/>
      <c r="AN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</row>
    <row r="198" spans="17:193" ht="12.75">
      <c r="Q198" s="5"/>
      <c r="R198" s="5"/>
      <c r="S198" s="5"/>
      <c r="T198" s="5"/>
      <c r="AK198" s="5"/>
      <c r="AL198" s="5"/>
      <c r="AM198" s="5"/>
      <c r="AN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</row>
    <row r="199" spans="17:193" ht="12.75">
      <c r="Q199" s="5"/>
      <c r="R199" s="5"/>
      <c r="S199" s="5"/>
      <c r="T199" s="5"/>
      <c r="AK199" s="5"/>
      <c r="AL199" s="5"/>
      <c r="AM199" s="5"/>
      <c r="AN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</row>
    <row r="200" spans="17:193" ht="12.75">
      <c r="Q200" s="5"/>
      <c r="R200" s="5"/>
      <c r="S200" s="5"/>
      <c r="T200" s="5"/>
      <c r="AK200" s="5"/>
      <c r="AL200" s="5"/>
      <c r="AM200" s="5"/>
      <c r="AN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</row>
    <row r="201" spans="17:193" ht="12.75">
      <c r="Q201" s="5"/>
      <c r="R201" s="5"/>
      <c r="S201" s="5"/>
      <c r="T201" s="5"/>
      <c r="AK201" s="5"/>
      <c r="AL201" s="5"/>
      <c r="AM201" s="5"/>
      <c r="AN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</row>
    <row r="202" spans="17:193" ht="12.75">
      <c r="Q202" s="5"/>
      <c r="R202" s="5"/>
      <c r="S202" s="5"/>
      <c r="T202" s="5"/>
      <c r="AK202" s="5"/>
      <c r="AL202" s="5"/>
      <c r="AM202" s="5"/>
      <c r="AN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</row>
    <row r="203" spans="17:193" ht="12.75">
      <c r="Q203" s="5"/>
      <c r="R203" s="5"/>
      <c r="S203" s="5"/>
      <c r="T203" s="5"/>
      <c r="AK203" s="5"/>
      <c r="AL203" s="5"/>
      <c r="AM203" s="5"/>
      <c r="AN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</row>
    <row r="204" spans="17:193" ht="12.75">
      <c r="Q204" s="5"/>
      <c r="R204" s="5"/>
      <c r="S204" s="5"/>
      <c r="T204" s="5"/>
      <c r="AK204" s="5"/>
      <c r="AL204" s="5"/>
      <c r="AM204" s="5"/>
      <c r="AN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</row>
    <row r="205" spans="17:193" ht="12.75">
      <c r="Q205" s="5"/>
      <c r="R205" s="5"/>
      <c r="S205" s="5"/>
      <c r="T205" s="5"/>
      <c r="AK205" s="5"/>
      <c r="AL205" s="5"/>
      <c r="AM205" s="5"/>
      <c r="AN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</row>
    <row r="206" spans="17:193" ht="12.75">
      <c r="Q206" s="5"/>
      <c r="R206" s="5"/>
      <c r="S206" s="5"/>
      <c r="T206" s="5"/>
      <c r="AK206" s="5"/>
      <c r="AL206" s="5"/>
      <c r="AM206" s="5"/>
      <c r="AN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</row>
    <row r="207" spans="17:193" ht="12.75">
      <c r="Q207" s="5"/>
      <c r="R207" s="5"/>
      <c r="S207" s="5"/>
      <c r="T207" s="5"/>
      <c r="AK207" s="5"/>
      <c r="AL207" s="5"/>
      <c r="AM207" s="5"/>
      <c r="AN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</row>
    <row r="208" spans="17:193" ht="12.75">
      <c r="Q208" s="5"/>
      <c r="R208" s="5"/>
      <c r="S208" s="5"/>
      <c r="T208" s="5"/>
      <c r="AK208" s="5"/>
      <c r="AL208" s="5"/>
      <c r="AM208" s="5"/>
      <c r="AN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</row>
    <row r="209" spans="17:193" ht="12.75">
      <c r="Q209" s="5"/>
      <c r="R209" s="5"/>
      <c r="S209" s="5"/>
      <c r="T209" s="5"/>
      <c r="AK209" s="5"/>
      <c r="AL209" s="5"/>
      <c r="AM209" s="5"/>
      <c r="AN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</row>
    <row r="210" spans="17:193" ht="12.75">
      <c r="Q210" s="5"/>
      <c r="R210" s="5"/>
      <c r="S210" s="5"/>
      <c r="T210" s="5"/>
      <c r="AK210" s="5"/>
      <c r="AL210" s="5"/>
      <c r="AM210" s="5"/>
      <c r="AN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</row>
    <row r="211" spans="17:193" ht="12.75">
      <c r="Q211" s="5"/>
      <c r="R211" s="5"/>
      <c r="S211" s="5"/>
      <c r="T211" s="5"/>
      <c r="AK211" s="5"/>
      <c r="AL211" s="5"/>
      <c r="AM211" s="5"/>
      <c r="AN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</row>
    <row r="212" spans="17:193" ht="12.75">
      <c r="Q212" s="5"/>
      <c r="R212" s="5"/>
      <c r="S212" s="5"/>
      <c r="T212" s="5"/>
      <c r="AK212" s="5"/>
      <c r="AL212" s="5"/>
      <c r="AM212" s="5"/>
      <c r="AN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</row>
    <row r="213" spans="17:193" ht="12.75">
      <c r="Q213" s="5"/>
      <c r="R213" s="5"/>
      <c r="S213" s="5"/>
      <c r="T213" s="5"/>
      <c r="AK213" s="5"/>
      <c r="AL213" s="5"/>
      <c r="AM213" s="5"/>
      <c r="AN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</row>
    <row r="214" spans="17:193" ht="12.75">
      <c r="Q214" s="5"/>
      <c r="R214" s="5"/>
      <c r="S214" s="5"/>
      <c r="T214" s="5"/>
      <c r="AK214" s="5"/>
      <c r="AL214" s="5"/>
      <c r="AM214" s="5"/>
      <c r="AN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</row>
    <row r="215" spans="17:193" ht="12.75">
      <c r="Q215" s="5"/>
      <c r="R215" s="5"/>
      <c r="S215" s="5"/>
      <c r="T215" s="5"/>
      <c r="AK215" s="5"/>
      <c r="AL215" s="5"/>
      <c r="AM215" s="5"/>
      <c r="AN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</row>
    <row r="216" spans="17:193" ht="12.75">
      <c r="Q216" s="5"/>
      <c r="R216" s="5"/>
      <c r="S216" s="5"/>
      <c r="T216" s="5"/>
      <c r="AK216" s="5"/>
      <c r="AL216" s="5"/>
      <c r="AM216" s="5"/>
      <c r="AN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</row>
    <row r="217" spans="17:193" ht="12.75">
      <c r="Q217" s="5"/>
      <c r="R217" s="5"/>
      <c r="S217" s="5"/>
      <c r="T217" s="5"/>
      <c r="AK217" s="5"/>
      <c r="AL217" s="5"/>
      <c r="AM217" s="5"/>
      <c r="AN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</row>
    <row r="218" spans="17:193" ht="12.75">
      <c r="Q218" s="5"/>
      <c r="R218" s="5"/>
      <c r="S218" s="5"/>
      <c r="T218" s="5"/>
      <c r="AK218" s="5"/>
      <c r="AL218" s="5"/>
      <c r="AM218" s="5"/>
      <c r="AN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</row>
    <row r="219" spans="17:193" ht="12.75">
      <c r="Q219" s="5"/>
      <c r="R219" s="5"/>
      <c r="S219" s="5"/>
      <c r="T219" s="5"/>
      <c r="AK219" s="5"/>
      <c r="AL219" s="5"/>
      <c r="AM219" s="5"/>
      <c r="AN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</row>
    <row r="220" spans="17:193" ht="12.75">
      <c r="Q220" s="5"/>
      <c r="R220" s="5"/>
      <c r="S220" s="5"/>
      <c r="T220" s="5"/>
      <c r="AK220" s="5"/>
      <c r="AL220" s="5"/>
      <c r="AM220" s="5"/>
      <c r="AN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</row>
    <row r="221" spans="17:193" ht="12.75">
      <c r="Q221" s="5"/>
      <c r="R221" s="5"/>
      <c r="S221" s="5"/>
      <c r="T221" s="5"/>
      <c r="AK221" s="5"/>
      <c r="AL221" s="5"/>
      <c r="AM221" s="5"/>
      <c r="AN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</row>
    <row r="222" spans="17:193" ht="12.75">
      <c r="Q222" s="5"/>
      <c r="R222" s="5"/>
      <c r="S222" s="5"/>
      <c r="T222" s="5"/>
      <c r="AK222" s="5"/>
      <c r="AL222" s="5"/>
      <c r="AM222" s="5"/>
      <c r="AN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</row>
    <row r="223" spans="17:193" ht="12.75">
      <c r="Q223" s="5"/>
      <c r="R223" s="5"/>
      <c r="S223" s="5"/>
      <c r="T223" s="5"/>
      <c r="AK223" s="5"/>
      <c r="AL223" s="5"/>
      <c r="AM223" s="5"/>
      <c r="AN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</row>
    <row r="224" spans="17:193" ht="12.75">
      <c r="Q224" s="5"/>
      <c r="R224" s="5"/>
      <c r="S224" s="5"/>
      <c r="T224" s="5"/>
      <c r="AK224" s="5"/>
      <c r="AL224" s="5"/>
      <c r="AM224" s="5"/>
      <c r="AN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</row>
    <row r="225" spans="17:193" ht="12.75">
      <c r="Q225" s="5"/>
      <c r="R225" s="5"/>
      <c r="S225" s="5"/>
      <c r="T225" s="5"/>
      <c r="AK225" s="5"/>
      <c r="AL225" s="5"/>
      <c r="AM225" s="5"/>
      <c r="AN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</row>
    <row r="226" spans="17:193" ht="12.75">
      <c r="Q226" s="5"/>
      <c r="R226" s="5"/>
      <c r="S226" s="5"/>
      <c r="T226" s="5"/>
      <c r="AK226" s="5"/>
      <c r="AL226" s="5"/>
      <c r="AM226" s="5"/>
      <c r="AN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</row>
    <row r="227" spans="17:193" ht="12.75">
      <c r="Q227" s="5"/>
      <c r="R227" s="5"/>
      <c r="S227" s="5"/>
      <c r="T227" s="5"/>
      <c r="AK227" s="5"/>
      <c r="AL227" s="5"/>
      <c r="AM227" s="5"/>
      <c r="AN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</row>
    <row r="228" spans="17:193" ht="12.75">
      <c r="Q228" s="5"/>
      <c r="R228" s="5"/>
      <c r="S228" s="5"/>
      <c r="T228" s="5"/>
      <c r="AK228" s="5"/>
      <c r="AL228" s="5"/>
      <c r="AM228" s="5"/>
      <c r="AN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</row>
    <row r="229" spans="17:193" ht="12.75">
      <c r="Q229" s="5"/>
      <c r="R229" s="5"/>
      <c r="S229" s="5"/>
      <c r="T229" s="5"/>
      <c r="AK229" s="5"/>
      <c r="AL229" s="5"/>
      <c r="AM229" s="5"/>
      <c r="AN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</row>
    <row r="230" spans="17:193" ht="12.75">
      <c r="Q230" s="5"/>
      <c r="R230" s="5"/>
      <c r="S230" s="5"/>
      <c r="T230" s="5"/>
      <c r="AK230" s="5"/>
      <c r="AL230" s="5"/>
      <c r="AM230" s="5"/>
      <c r="AN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</row>
    <row r="231" spans="17:193" ht="12.75">
      <c r="Q231" s="5"/>
      <c r="R231" s="5"/>
      <c r="S231" s="5"/>
      <c r="T231" s="5"/>
      <c r="AK231" s="5"/>
      <c r="AL231" s="5"/>
      <c r="AM231" s="5"/>
      <c r="AN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</row>
    <row r="232" spans="17:193" ht="12.75">
      <c r="Q232" s="5"/>
      <c r="R232" s="5"/>
      <c r="S232" s="5"/>
      <c r="T232" s="5"/>
      <c r="AK232" s="5"/>
      <c r="AL232" s="5"/>
      <c r="AM232" s="5"/>
      <c r="AN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</row>
    <row r="233" spans="17:193" ht="12.75">
      <c r="Q233" s="5"/>
      <c r="R233" s="5"/>
      <c r="S233" s="5"/>
      <c r="T233" s="5"/>
      <c r="AK233" s="5"/>
      <c r="AL233" s="5"/>
      <c r="AM233" s="5"/>
      <c r="AN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</row>
    <row r="234" spans="17:193" ht="12.75">
      <c r="Q234" s="5"/>
      <c r="R234" s="5"/>
      <c r="S234" s="5"/>
      <c r="T234" s="5"/>
      <c r="AK234" s="5"/>
      <c r="AL234" s="5"/>
      <c r="AM234" s="5"/>
      <c r="AN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</row>
    <row r="235" spans="17:193" ht="12.75">
      <c r="Q235" s="5"/>
      <c r="R235" s="5"/>
      <c r="S235" s="5"/>
      <c r="T235" s="5"/>
      <c r="AK235" s="5"/>
      <c r="AL235" s="5"/>
      <c r="AM235" s="5"/>
      <c r="AN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</row>
    <row r="236" spans="17:193" ht="12.75">
      <c r="Q236" s="5"/>
      <c r="R236" s="5"/>
      <c r="S236" s="5"/>
      <c r="T236" s="5"/>
      <c r="AK236" s="5"/>
      <c r="AL236" s="5"/>
      <c r="AM236" s="5"/>
      <c r="AN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</row>
    <row r="237" spans="17:193" ht="12.75">
      <c r="Q237" s="5"/>
      <c r="R237" s="5"/>
      <c r="S237" s="5"/>
      <c r="T237" s="5"/>
      <c r="AK237" s="5"/>
      <c r="AL237" s="5"/>
      <c r="AM237" s="5"/>
      <c r="AN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</row>
    <row r="238" spans="17:193" ht="12.75">
      <c r="Q238" s="5"/>
      <c r="R238" s="5"/>
      <c r="S238" s="5"/>
      <c r="T238" s="5"/>
      <c r="AK238" s="5"/>
      <c r="AL238" s="5"/>
      <c r="AM238" s="5"/>
      <c r="AN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</row>
    <row r="239" spans="17:193" ht="12.75">
      <c r="Q239" s="5"/>
      <c r="R239" s="5"/>
      <c r="S239" s="5"/>
      <c r="T239" s="5"/>
      <c r="AK239" s="5"/>
      <c r="AL239" s="5"/>
      <c r="AM239" s="5"/>
      <c r="AN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</row>
    <row r="240" spans="17:193" ht="12.75">
      <c r="Q240" s="5"/>
      <c r="R240" s="5"/>
      <c r="S240" s="5"/>
      <c r="T240" s="5"/>
      <c r="AK240" s="5"/>
      <c r="AL240" s="5"/>
      <c r="AM240" s="5"/>
      <c r="AN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</row>
    <row r="241" spans="17:193" ht="12.75">
      <c r="Q241" s="5"/>
      <c r="R241" s="5"/>
      <c r="S241" s="5"/>
      <c r="T241" s="5"/>
      <c r="AK241" s="5"/>
      <c r="AL241" s="5"/>
      <c r="AM241" s="5"/>
      <c r="AN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</row>
    <row r="242" spans="17:193" ht="12.75">
      <c r="Q242" s="5"/>
      <c r="R242" s="5"/>
      <c r="S242" s="5"/>
      <c r="T242" s="5"/>
      <c r="AK242" s="5"/>
      <c r="AL242" s="5"/>
      <c r="AM242" s="5"/>
      <c r="AN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</row>
    <row r="243" spans="17:193" ht="12.75">
      <c r="Q243" s="5"/>
      <c r="R243" s="5"/>
      <c r="S243" s="5"/>
      <c r="T243" s="5"/>
      <c r="AK243" s="5"/>
      <c r="AL243" s="5"/>
      <c r="AM243" s="5"/>
      <c r="AN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</row>
    <row r="244" spans="17:193" ht="12.75">
      <c r="Q244" s="5"/>
      <c r="R244" s="5"/>
      <c r="S244" s="5"/>
      <c r="T244" s="5"/>
      <c r="AK244" s="5"/>
      <c r="AL244" s="5"/>
      <c r="AM244" s="5"/>
      <c r="AN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</row>
    <row r="245" spans="17:193" ht="12.75">
      <c r="Q245" s="5"/>
      <c r="R245" s="5"/>
      <c r="S245" s="5"/>
      <c r="T245" s="5"/>
      <c r="AK245" s="5"/>
      <c r="AL245" s="5"/>
      <c r="AM245" s="5"/>
      <c r="AN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</row>
    <row r="246" spans="17:193" ht="12.75">
      <c r="Q246" s="5"/>
      <c r="R246" s="5"/>
      <c r="S246" s="5"/>
      <c r="T246" s="5"/>
      <c r="AK246" s="5"/>
      <c r="AL246" s="5"/>
      <c r="AM246" s="5"/>
      <c r="AN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</row>
    <row r="247" spans="17:193" ht="12.75">
      <c r="Q247" s="5"/>
      <c r="R247" s="5"/>
      <c r="S247" s="5"/>
      <c r="T247" s="5"/>
      <c r="AK247" s="5"/>
      <c r="AL247" s="5"/>
      <c r="AM247" s="5"/>
      <c r="AN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</row>
    <row r="248" spans="17:193" ht="12.75">
      <c r="Q248" s="5"/>
      <c r="R248" s="5"/>
      <c r="S248" s="5"/>
      <c r="T248" s="5"/>
      <c r="AK248" s="5"/>
      <c r="AL248" s="5"/>
      <c r="AM248" s="5"/>
      <c r="AN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</row>
    <row r="249" spans="17:193" ht="12.75">
      <c r="Q249" s="5"/>
      <c r="R249" s="5"/>
      <c r="S249" s="5"/>
      <c r="T249" s="5"/>
      <c r="AK249" s="5"/>
      <c r="AL249" s="5"/>
      <c r="AM249" s="5"/>
      <c r="AN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</row>
    <row r="250" spans="17:193" ht="12.75">
      <c r="Q250" s="5"/>
      <c r="R250" s="5"/>
      <c r="S250" s="5"/>
      <c r="T250" s="5"/>
      <c r="AK250" s="5"/>
      <c r="AL250" s="5"/>
      <c r="AM250" s="5"/>
      <c r="AN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</row>
    <row r="251" spans="17:193" ht="12.75">
      <c r="Q251" s="5"/>
      <c r="R251" s="5"/>
      <c r="S251" s="5"/>
      <c r="T251" s="5"/>
      <c r="AK251" s="5"/>
      <c r="AL251" s="5"/>
      <c r="AM251" s="5"/>
      <c r="AN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</row>
    <row r="252" spans="17:193" ht="12.75">
      <c r="Q252" s="5"/>
      <c r="R252" s="5"/>
      <c r="S252" s="5"/>
      <c r="T252" s="5"/>
      <c r="AK252" s="5"/>
      <c r="AL252" s="5"/>
      <c r="AM252" s="5"/>
      <c r="AN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</row>
    <row r="253" spans="17:193" ht="12.75">
      <c r="Q253" s="5"/>
      <c r="R253" s="5"/>
      <c r="S253" s="5"/>
      <c r="T253" s="5"/>
      <c r="AK253" s="5"/>
      <c r="AL253" s="5"/>
      <c r="AM253" s="5"/>
      <c r="AN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</row>
    <row r="254" spans="17:193" ht="12.75">
      <c r="Q254" s="5"/>
      <c r="R254" s="5"/>
      <c r="S254" s="5"/>
      <c r="T254" s="5"/>
      <c r="AK254" s="5"/>
      <c r="AL254" s="5"/>
      <c r="AM254" s="5"/>
      <c r="AN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</row>
    <row r="255" spans="17:193" ht="12.75">
      <c r="Q255" s="5"/>
      <c r="R255" s="5"/>
      <c r="S255" s="5"/>
      <c r="T255" s="5"/>
      <c r="AK255" s="5"/>
      <c r="AL255" s="5"/>
      <c r="AM255" s="5"/>
      <c r="AN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</row>
    <row r="256" spans="17:193" ht="12.75">
      <c r="Q256" s="5"/>
      <c r="R256" s="5"/>
      <c r="S256" s="5"/>
      <c r="T256" s="5"/>
      <c r="AK256" s="5"/>
      <c r="AL256" s="5"/>
      <c r="AM256" s="5"/>
      <c r="AN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</row>
    <row r="257" spans="17:193" ht="12.75">
      <c r="Q257" s="5"/>
      <c r="R257" s="5"/>
      <c r="S257" s="5"/>
      <c r="T257" s="5"/>
      <c r="AK257" s="5"/>
      <c r="AL257" s="5"/>
      <c r="AM257" s="5"/>
      <c r="AN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</row>
    <row r="258" spans="17:193" ht="12.75">
      <c r="Q258" s="5"/>
      <c r="R258" s="5"/>
      <c r="S258" s="5"/>
      <c r="T258" s="5"/>
      <c r="AK258" s="5"/>
      <c r="AL258" s="5"/>
      <c r="AM258" s="5"/>
      <c r="AN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</row>
    <row r="259" spans="17:193" ht="12.75">
      <c r="Q259" s="5"/>
      <c r="R259" s="5"/>
      <c r="S259" s="5"/>
      <c r="T259" s="5"/>
      <c r="AK259" s="5"/>
      <c r="AL259" s="5"/>
      <c r="AM259" s="5"/>
      <c r="AN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</row>
    <row r="260" spans="17:193" ht="12.75">
      <c r="Q260" s="5"/>
      <c r="R260" s="5"/>
      <c r="S260" s="5"/>
      <c r="T260" s="5"/>
      <c r="AK260" s="5"/>
      <c r="AL260" s="5"/>
      <c r="AM260" s="5"/>
      <c r="AN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</row>
    <row r="261" spans="17:193" ht="12.75">
      <c r="Q261" s="5"/>
      <c r="R261" s="5"/>
      <c r="S261" s="5"/>
      <c r="T261" s="5"/>
      <c r="AK261" s="5"/>
      <c r="AL261" s="5"/>
      <c r="AM261" s="5"/>
      <c r="AN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</row>
    <row r="262" spans="17:193" ht="12.75">
      <c r="Q262" s="5"/>
      <c r="R262" s="5"/>
      <c r="S262" s="5"/>
      <c r="T262" s="5"/>
      <c r="AK262" s="5"/>
      <c r="AL262" s="5"/>
      <c r="AM262" s="5"/>
      <c r="AN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</row>
    <row r="263" spans="17:193" ht="12.75">
      <c r="Q263" s="5"/>
      <c r="R263" s="5"/>
      <c r="S263" s="5"/>
      <c r="T263" s="5"/>
      <c r="AK263" s="5"/>
      <c r="AL263" s="5"/>
      <c r="AM263" s="5"/>
      <c r="AN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</row>
    <row r="264" spans="17:193" ht="12.75">
      <c r="Q264" s="5"/>
      <c r="R264" s="5"/>
      <c r="S264" s="5"/>
      <c r="T264" s="5"/>
      <c r="AK264" s="5"/>
      <c r="AL264" s="5"/>
      <c r="AM264" s="5"/>
      <c r="AN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</row>
    <row r="265" spans="17:193" ht="12.75">
      <c r="Q265" s="5"/>
      <c r="R265" s="5"/>
      <c r="S265" s="5"/>
      <c r="T265" s="5"/>
      <c r="AK265" s="5"/>
      <c r="AL265" s="5"/>
      <c r="AM265" s="5"/>
      <c r="AN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</row>
    <row r="266" spans="17:193" ht="12.75">
      <c r="Q266" s="5"/>
      <c r="R266" s="5"/>
      <c r="S266" s="5"/>
      <c r="T266" s="5"/>
      <c r="AK266" s="5"/>
      <c r="AL266" s="5"/>
      <c r="AM266" s="5"/>
      <c r="AN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</row>
    <row r="267" spans="17:193" ht="12.75">
      <c r="Q267" s="5"/>
      <c r="R267" s="5"/>
      <c r="S267" s="5"/>
      <c r="T267" s="5"/>
      <c r="AK267" s="5"/>
      <c r="AL267" s="5"/>
      <c r="AM267" s="5"/>
      <c r="AN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</row>
    <row r="268" spans="17:193" ht="12.75">
      <c r="Q268" s="5"/>
      <c r="R268" s="5"/>
      <c r="S268" s="5"/>
      <c r="T268" s="5"/>
      <c r="AK268" s="5"/>
      <c r="AL268" s="5"/>
      <c r="AM268" s="5"/>
      <c r="AN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</row>
    <row r="269" spans="17:193" ht="12.75">
      <c r="Q269" s="5"/>
      <c r="R269" s="5"/>
      <c r="S269" s="5"/>
      <c r="T269" s="5"/>
      <c r="AK269" s="5"/>
      <c r="AL269" s="5"/>
      <c r="AM269" s="5"/>
      <c r="AN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</row>
    <row r="270" spans="17:193" ht="12.75">
      <c r="Q270" s="5"/>
      <c r="R270" s="5"/>
      <c r="S270" s="5"/>
      <c r="T270" s="5"/>
      <c r="AK270" s="5"/>
      <c r="AL270" s="5"/>
      <c r="AM270" s="5"/>
      <c r="AN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</row>
    <row r="271" spans="17:193" ht="12.75">
      <c r="Q271" s="5"/>
      <c r="R271" s="5"/>
      <c r="S271" s="5"/>
      <c r="T271" s="5"/>
      <c r="AK271" s="5"/>
      <c r="AL271" s="5"/>
      <c r="AM271" s="5"/>
      <c r="AN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</row>
    <row r="272" spans="17:193" ht="12.75">
      <c r="Q272" s="5"/>
      <c r="R272" s="5"/>
      <c r="S272" s="5"/>
      <c r="T272" s="5"/>
      <c r="AK272" s="5"/>
      <c r="AL272" s="5"/>
      <c r="AM272" s="5"/>
      <c r="AN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</row>
    <row r="273" spans="17:193" ht="12.75">
      <c r="Q273" s="5"/>
      <c r="R273" s="5"/>
      <c r="S273" s="5"/>
      <c r="T273" s="5"/>
      <c r="AK273" s="5"/>
      <c r="AL273" s="5"/>
      <c r="AM273" s="5"/>
      <c r="AN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</row>
    <row r="274" spans="17:193" ht="12.75">
      <c r="Q274" s="5"/>
      <c r="R274" s="5"/>
      <c r="S274" s="5"/>
      <c r="T274" s="5"/>
      <c r="AK274" s="5"/>
      <c r="AL274" s="5"/>
      <c r="AM274" s="5"/>
      <c r="AN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</row>
    <row r="275" spans="17:193" ht="12.75">
      <c r="Q275" s="5"/>
      <c r="R275" s="5"/>
      <c r="S275" s="5"/>
      <c r="T275" s="5"/>
      <c r="AK275" s="5"/>
      <c r="AL275" s="5"/>
      <c r="AM275" s="5"/>
      <c r="AN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</row>
    <row r="276" spans="17:193" ht="12.75">
      <c r="Q276" s="5"/>
      <c r="R276" s="5"/>
      <c r="S276" s="5"/>
      <c r="T276" s="5"/>
      <c r="AK276" s="5"/>
      <c r="AL276" s="5"/>
      <c r="AM276" s="5"/>
      <c r="AN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</row>
    <row r="277" spans="17:193" ht="12.75">
      <c r="Q277" s="5"/>
      <c r="R277" s="5"/>
      <c r="S277" s="5"/>
      <c r="T277" s="5"/>
      <c r="AK277" s="5"/>
      <c r="AL277" s="5"/>
      <c r="AM277" s="5"/>
      <c r="AN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</row>
    <row r="278" spans="17:193" ht="12.75">
      <c r="Q278" s="5"/>
      <c r="R278" s="5"/>
      <c r="S278" s="5"/>
      <c r="T278" s="5"/>
      <c r="AK278" s="5"/>
      <c r="AL278" s="5"/>
      <c r="AM278" s="5"/>
      <c r="AN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</row>
    <row r="279" spans="17:193" ht="12.75">
      <c r="Q279" s="5"/>
      <c r="R279" s="5"/>
      <c r="S279" s="5"/>
      <c r="T279" s="5"/>
      <c r="AK279" s="5"/>
      <c r="AL279" s="5"/>
      <c r="AM279" s="5"/>
      <c r="AN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</row>
    <row r="280" spans="17:193" ht="12.75">
      <c r="Q280" s="5"/>
      <c r="R280" s="5"/>
      <c r="S280" s="5"/>
      <c r="T280" s="5"/>
      <c r="AK280" s="5"/>
      <c r="AL280" s="5"/>
      <c r="AM280" s="5"/>
      <c r="AN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</row>
    <row r="281" spans="17:193" ht="12.75">
      <c r="Q281" s="5"/>
      <c r="R281" s="5"/>
      <c r="S281" s="5"/>
      <c r="T281" s="5"/>
      <c r="AK281" s="5"/>
      <c r="AL281" s="5"/>
      <c r="AM281" s="5"/>
      <c r="AN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</row>
    <row r="282" spans="17:193" ht="12.75">
      <c r="Q282" s="5"/>
      <c r="R282" s="5"/>
      <c r="S282" s="5"/>
      <c r="T282" s="5"/>
      <c r="AK282" s="5"/>
      <c r="AL282" s="5"/>
      <c r="AM282" s="5"/>
      <c r="AN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</row>
    <row r="283" spans="17:193" ht="12.75">
      <c r="Q283" s="5"/>
      <c r="R283" s="5"/>
      <c r="S283" s="5"/>
      <c r="T283" s="5"/>
      <c r="AK283" s="5"/>
      <c r="AL283" s="5"/>
      <c r="AM283" s="5"/>
      <c r="AN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</row>
    <row r="284" spans="17:193" ht="12.75">
      <c r="Q284" s="5"/>
      <c r="R284" s="5"/>
      <c r="S284" s="5"/>
      <c r="T284" s="5"/>
      <c r="AK284" s="5"/>
      <c r="AL284" s="5"/>
      <c r="AM284" s="5"/>
      <c r="AN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</row>
    <row r="285" spans="17:193" ht="12.75">
      <c r="Q285" s="5"/>
      <c r="R285" s="5"/>
      <c r="S285" s="5"/>
      <c r="T285" s="5"/>
      <c r="AK285" s="5"/>
      <c r="AL285" s="5"/>
      <c r="AM285" s="5"/>
      <c r="AN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</row>
    <row r="286" spans="17:193" ht="12.75">
      <c r="Q286" s="5"/>
      <c r="R286" s="5"/>
      <c r="S286" s="5"/>
      <c r="T286" s="5"/>
      <c r="AK286" s="5"/>
      <c r="AL286" s="5"/>
      <c r="AM286" s="5"/>
      <c r="AN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</row>
    <row r="287" spans="17:193" ht="12.75">
      <c r="Q287" s="5"/>
      <c r="R287" s="5"/>
      <c r="S287" s="5"/>
      <c r="T287" s="5"/>
      <c r="AK287" s="5"/>
      <c r="AL287" s="5"/>
      <c r="AM287" s="5"/>
      <c r="AN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</row>
    <row r="288" spans="17:193" ht="12.75">
      <c r="Q288" s="5"/>
      <c r="R288" s="5"/>
      <c r="S288" s="5"/>
      <c r="T288" s="5"/>
      <c r="AK288" s="5"/>
      <c r="AL288" s="5"/>
      <c r="AM288" s="5"/>
      <c r="AN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</row>
    <row r="289" spans="17:193" ht="12.75">
      <c r="Q289" s="5"/>
      <c r="R289" s="5"/>
      <c r="S289" s="5"/>
      <c r="T289" s="5"/>
      <c r="AK289" s="5"/>
      <c r="AL289" s="5"/>
      <c r="AM289" s="5"/>
      <c r="AN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</row>
    <row r="290" spans="17:193" ht="12.75">
      <c r="Q290" s="5"/>
      <c r="R290" s="5"/>
      <c r="S290" s="5"/>
      <c r="T290" s="5"/>
      <c r="AK290" s="5"/>
      <c r="AL290" s="5"/>
      <c r="AM290" s="5"/>
      <c r="AN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</row>
    <row r="291" spans="17:193" ht="12.75">
      <c r="Q291" s="5"/>
      <c r="R291" s="5"/>
      <c r="S291" s="5"/>
      <c r="T291" s="5"/>
      <c r="AK291" s="5"/>
      <c r="AL291" s="5"/>
      <c r="AM291" s="5"/>
      <c r="AN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</row>
    <row r="292" spans="17:193" ht="12.75">
      <c r="Q292" s="5"/>
      <c r="R292" s="5"/>
      <c r="S292" s="5"/>
      <c r="T292" s="5"/>
      <c r="AK292" s="5"/>
      <c r="AL292" s="5"/>
      <c r="AM292" s="5"/>
      <c r="AN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</row>
    <row r="293" spans="17:193" ht="12.75">
      <c r="Q293" s="5"/>
      <c r="R293" s="5"/>
      <c r="S293" s="5"/>
      <c r="T293" s="5"/>
      <c r="AK293" s="5"/>
      <c r="AL293" s="5"/>
      <c r="AM293" s="5"/>
      <c r="AN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</row>
    <row r="294" spans="17:193" ht="12.75">
      <c r="Q294" s="5"/>
      <c r="R294" s="5"/>
      <c r="S294" s="5"/>
      <c r="T294" s="5"/>
      <c r="AK294" s="5"/>
      <c r="AL294" s="5"/>
      <c r="AM294" s="5"/>
      <c r="AN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</row>
    <row r="295" spans="17:193" ht="12.75">
      <c r="Q295" s="5"/>
      <c r="R295" s="5"/>
      <c r="S295" s="5"/>
      <c r="T295" s="5"/>
      <c r="AK295" s="5"/>
      <c r="AL295" s="5"/>
      <c r="AM295" s="5"/>
      <c r="AN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</row>
    <row r="296" spans="17:193" ht="12.75">
      <c r="Q296" s="5"/>
      <c r="R296" s="5"/>
      <c r="S296" s="5"/>
      <c r="T296" s="5"/>
      <c r="AK296" s="5"/>
      <c r="AL296" s="5"/>
      <c r="AM296" s="5"/>
      <c r="AN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</row>
    <row r="297" spans="17:193" ht="12.75">
      <c r="Q297" s="5"/>
      <c r="R297" s="5"/>
      <c r="S297" s="5"/>
      <c r="T297" s="5"/>
      <c r="AK297" s="5"/>
      <c r="AL297" s="5"/>
      <c r="AM297" s="5"/>
      <c r="AN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</row>
    <row r="298" spans="17:193" ht="12.75">
      <c r="Q298" s="5"/>
      <c r="R298" s="5"/>
      <c r="S298" s="5"/>
      <c r="T298" s="5"/>
      <c r="AK298" s="5"/>
      <c r="AL298" s="5"/>
      <c r="AM298" s="5"/>
      <c r="AN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</row>
    <row r="299" spans="17:193" ht="12.75">
      <c r="Q299" s="5"/>
      <c r="R299" s="5"/>
      <c r="S299" s="5"/>
      <c r="T299" s="5"/>
      <c r="AK299" s="5"/>
      <c r="AL299" s="5"/>
      <c r="AM299" s="5"/>
      <c r="AN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</row>
    <row r="300" spans="17:193" ht="12.75">
      <c r="Q300" s="5"/>
      <c r="R300" s="5"/>
      <c r="S300" s="5"/>
      <c r="T300" s="5"/>
      <c r="AK300" s="5"/>
      <c r="AL300" s="5"/>
      <c r="AM300" s="5"/>
      <c r="AN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</row>
    <row r="301" spans="17:193" ht="12.75">
      <c r="Q301" s="5"/>
      <c r="R301" s="5"/>
      <c r="S301" s="5"/>
      <c r="T301" s="5"/>
      <c r="AK301" s="5"/>
      <c r="AL301" s="5"/>
      <c r="AM301" s="5"/>
      <c r="AN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</row>
    <row r="302" spans="17:193" ht="12.75">
      <c r="Q302" s="5"/>
      <c r="R302" s="5"/>
      <c r="S302" s="5"/>
      <c r="T302" s="5"/>
      <c r="AK302" s="5"/>
      <c r="AL302" s="5"/>
      <c r="AM302" s="5"/>
      <c r="AN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</row>
    <row r="303" spans="17:193" ht="12.75">
      <c r="Q303" s="5"/>
      <c r="R303" s="5"/>
      <c r="S303" s="5"/>
      <c r="T303" s="5"/>
      <c r="AK303" s="5"/>
      <c r="AL303" s="5"/>
      <c r="AM303" s="5"/>
      <c r="AN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</row>
    <row r="304" spans="17:193" ht="12.75">
      <c r="Q304" s="5"/>
      <c r="R304" s="5"/>
      <c r="S304" s="5"/>
      <c r="T304" s="5"/>
      <c r="AK304" s="5"/>
      <c r="AL304" s="5"/>
      <c r="AM304" s="5"/>
      <c r="AN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</row>
    <row r="305" spans="17:193" ht="12.75">
      <c r="Q305" s="5"/>
      <c r="R305" s="5"/>
      <c r="S305" s="5"/>
      <c r="T305" s="5"/>
      <c r="AK305" s="5"/>
      <c r="AL305" s="5"/>
      <c r="AM305" s="5"/>
      <c r="AN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</row>
    <row r="306" spans="17:193" ht="12.75">
      <c r="Q306" s="5"/>
      <c r="R306" s="5"/>
      <c r="S306" s="5"/>
      <c r="T306" s="5"/>
      <c r="AK306" s="5"/>
      <c r="AL306" s="5"/>
      <c r="AM306" s="5"/>
      <c r="AN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</row>
    <row r="307" spans="17:193" ht="12.75">
      <c r="Q307" s="5"/>
      <c r="R307" s="5"/>
      <c r="S307" s="5"/>
      <c r="T307" s="5"/>
      <c r="AK307" s="5"/>
      <c r="AL307" s="5"/>
      <c r="AM307" s="5"/>
      <c r="AN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</row>
    <row r="308" spans="17:193" ht="12.75">
      <c r="Q308" s="5"/>
      <c r="R308" s="5"/>
      <c r="S308" s="5"/>
      <c r="T308" s="5"/>
      <c r="AK308" s="5"/>
      <c r="AL308" s="5"/>
      <c r="AM308" s="5"/>
      <c r="AN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</row>
    <row r="309" spans="17:193" ht="12.75">
      <c r="Q309" s="5"/>
      <c r="R309" s="5"/>
      <c r="S309" s="5"/>
      <c r="T309" s="5"/>
      <c r="AK309" s="5"/>
      <c r="AL309" s="5"/>
      <c r="AM309" s="5"/>
      <c r="AN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</row>
    <row r="310" spans="17:193" ht="12.75">
      <c r="Q310" s="5"/>
      <c r="R310" s="5"/>
      <c r="S310" s="5"/>
      <c r="T310" s="5"/>
      <c r="AK310" s="5"/>
      <c r="AL310" s="5"/>
      <c r="AM310" s="5"/>
      <c r="AN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</row>
    <row r="311" spans="17:193" ht="12.75">
      <c r="Q311" s="5"/>
      <c r="R311" s="5"/>
      <c r="S311" s="5"/>
      <c r="T311" s="5"/>
      <c r="AK311" s="5"/>
      <c r="AL311" s="5"/>
      <c r="AM311" s="5"/>
      <c r="AN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</row>
    <row r="312" spans="17:193" ht="12.75">
      <c r="Q312" s="5"/>
      <c r="R312" s="5"/>
      <c r="S312" s="5"/>
      <c r="T312" s="5"/>
      <c r="AK312" s="5"/>
      <c r="AL312" s="5"/>
      <c r="AM312" s="5"/>
      <c r="AN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</row>
    <row r="313" spans="17:193" ht="12.75">
      <c r="Q313" s="5"/>
      <c r="R313" s="5"/>
      <c r="S313" s="5"/>
      <c r="T313" s="5"/>
      <c r="AK313" s="5"/>
      <c r="AL313" s="5"/>
      <c r="AM313" s="5"/>
      <c r="AN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</row>
    <row r="314" spans="17:193" ht="12.75">
      <c r="Q314" s="5"/>
      <c r="R314" s="5"/>
      <c r="S314" s="5"/>
      <c r="T314" s="5"/>
      <c r="AK314" s="5"/>
      <c r="AL314" s="5"/>
      <c r="AM314" s="5"/>
      <c r="AN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</row>
    <row r="315" spans="17:193" ht="12.75">
      <c r="Q315" s="5"/>
      <c r="R315" s="5"/>
      <c r="S315" s="5"/>
      <c r="T315" s="5"/>
      <c r="AK315" s="5"/>
      <c r="AL315" s="5"/>
      <c r="AM315" s="5"/>
      <c r="AN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</row>
    <row r="316" spans="17:193" ht="12.75">
      <c r="Q316" s="5"/>
      <c r="R316" s="5"/>
      <c r="S316" s="5"/>
      <c r="T316" s="5"/>
      <c r="AK316" s="5"/>
      <c r="AL316" s="5"/>
      <c r="AM316" s="5"/>
      <c r="AN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</row>
    <row r="317" spans="17:193" ht="12.75">
      <c r="Q317" s="5"/>
      <c r="R317" s="5"/>
      <c r="S317" s="5"/>
      <c r="T317" s="5"/>
      <c r="AK317" s="5"/>
      <c r="AL317" s="5"/>
      <c r="AM317" s="5"/>
      <c r="AN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</row>
    <row r="318" spans="17:193" ht="12.75">
      <c r="Q318" s="5"/>
      <c r="R318" s="5"/>
      <c r="S318" s="5"/>
      <c r="T318" s="5"/>
      <c r="AK318" s="5"/>
      <c r="AL318" s="5"/>
      <c r="AM318" s="5"/>
      <c r="AN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</row>
    <row r="319" spans="17:193" ht="12.75">
      <c r="Q319" s="5"/>
      <c r="R319" s="5"/>
      <c r="S319" s="5"/>
      <c r="T319" s="5"/>
      <c r="AK319" s="5"/>
      <c r="AL319" s="5"/>
      <c r="AM319" s="5"/>
      <c r="AN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</row>
    <row r="320" spans="17:193" ht="12.75">
      <c r="Q320" s="5"/>
      <c r="R320" s="5"/>
      <c r="S320" s="5"/>
      <c r="T320" s="5"/>
      <c r="AK320" s="5"/>
      <c r="AL320" s="5"/>
      <c r="AM320" s="5"/>
      <c r="AN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</row>
    <row r="321" spans="17:193" ht="12.75">
      <c r="Q321" s="5"/>
      <c r="R321" s="5"/>
      <c r="S321" s="5"/>
      <c r="T321" s="5"/>
      <c r="AK321" s="5"/>
      <c r="AL321" s="5"/>
      <c r="AM321" s="5"/>
      <c r="AN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</row>
    <row r="322" spans="17:193" ht="12.75">
      <c r="Q322" s="5"/>
      <c r="R322" s="5"/>
      <c r="S322" s="5"/>
      <c r="T322" s="5"/>
      <c r="AK322" s="5"/>
      <c r="AL322" s="5"/>
      <c r="AM322" s="5"/>
      <c r="AN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</row>
    <row r="323" spans="17:193" ht="12.75">
      <c r="Q323" s="5"/>
      <c r="R323" s="5"/>
      <c r="S323" s="5"/>
      <c r="T323" s="5"/>
      <c r="AK323" s="5"/>
      <c r="AL323" s="5"/>
      <c r="AM323" s="5"/>
      <c r="AN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</row>
    <row r="324" spans="17:193" ht="12.75">
      <c r="Q324" s="5"/>
      <c r="R324" s="5"/>
      <c r="S324" s="5"/>
      <c r="T324" s="5"/>
      <c r="AK324" s="5"/>
      <c r="AL324" s="5"/>
      <c r="AM324" s="5"/>
      <c r="AN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</row>
    <row r="325" spans="17:193" ht="12.75">
      <c r="Q325" s="5"/>
      <c r="R325" s="5"/>
      <c r="S325" s="5"/>
      <c r="T325" s="5"/>
      <c r="AK325" s="5"/>
      <c r="AL325" s="5"/>
      <c r="AM325" s="5"/>
      <c r="AN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</row>
    <row r="326" spans="17:193" ht="12.75">
      <c r="Q326" s="5"/>
      <c r="R326" s="5"/>
      <c r="S326" s="5"/>
      <c r="T326" s="5"/>
      <c r="AK326" s="5"/>
      <c r="AL326" s="5"/>
      <c r="AM326" s="5"/>
      <c r="AN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</row>
    <row r="327" spans="17:193" ht="12.75">
      <c r="Q327" s="5"/>
      <c r="R327" s="5"/>
      <c r="S327" s="5"/>
      <c r="T327" s="5"/>
      <c r="AK327" s="5"/>
      <c r="AL327" s="5"/>
      <c r="AM327" s="5"/>
      <c r="AN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</row>
    <row r="328" spans="17:193" ht="12.75">
      <c r="Q328" s="5"/>
      <c r="R328" s="5"/>
      <c r="S328" s="5"/>
      <c r="T328" s="5"/>
      <c r="AK328" s="5"/>
      <c r="AL328" s="5"/>
      <c r="AM328" s="5"/>
      <c r="AN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</row>
    <row r="329" spans="17:193" ht="12.75">
      <c r="Q329" s="5"/>
      <c r="R329" s="5"/>
      <c r="S329" s="5"/>
      <c r="T329" s="5"/>
      <c r="AK329" s="5"/>
      <c r="AL329" s="5"/>
      <c r="AM329" s="5"/>
      <c r="AN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</row>
    <row r="330" spans="17:193" ht="12.75">
      <c r="Q330" s="5"/>
      <c r="R330" s="5"/>
      <c r="S330" s="5"/>
      <c r="T330" s="5"/>
      <c r="AK330" s="5"/>
      <c r="AL330" s="5"/>
      <c r="AM330" s="5"/>
      <c r="AN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</row>
    <row r="331" spans="17:193" ht="12.75">
      <c r="Q331" s="5"/>
      <c r="R331" s="5"/>
      <c r="S331" s="5"/>
      <c r="T331" s="5"/>
      <c r="AK331" s="5"/>
      <c r="AL331" s="5"/>
      <c r="AM331" s="5"/>
      <c r="AN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</row>
    <row r="332" spans="17:193" ht="12.75">
      <c r="Q332" s="5"/>
      <c r="R332" s="5"/>
      <c r="S332" s="5"/>
      <c r="T332" s="5"/>
      <c r="AK332" s="5"/>
      <c r="AL332" s="5"/>
      <c r="AM332" s="5"/>
      <c r="AN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</row>
    <row r="333" spans="17:193" ht="12.75">
      <c r="Q333" s="5"/>
      <c r="R333" s="5"/>
      <c r="S333" s="5"/>
      <c r="T333" s="5"/>
      <c r="AK333" s="5"/>
      <c r="AL333" s="5"/>
      <c r="AM333" s="5"/>
      <c r="AN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</row>
    <row r="334" spans="17:193" ht="12.75">
      <c r="Q334" s="5"/>
      <c r="R334" s="5"/>
      <c r="S334" s="5"/>
      <c r="T334" s="5"/>
      <c r="AK334" s="5"/>
      <c r="AL334" s="5"/>
      <c r="AM334" s="5"/>
      <c r="AN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</row>
    <row r="335" spans="17:193" ht="12.75">
      <c r="Q335" s="5"/>
      <c r="R335" s="5"/>
      <c r="S335" s="5"/>
      <c r="T335" s="5"/>
      <c r="AK335" s="5"/>
      <c r="AL335" s="5"/>
      <c r="AM335" s="5"/>
      <c r="AN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</row>
    <row r="336" spans="17:193" ht="12.75">
      <c r="Q336" s="5"/>
      <c r="R336" s="5"/>
      <c r="S336" s="5"/>
      <c r="T336" s="5"/>
      <c r="AK336" s="5"/>
      <c r="AL336" s="5"/>
      <c r="AM336" s="5"/>
      <c r="AN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</row>
    <row r="337" spans="17:193" ht="12.75">
      <c r="Q337" s="5"/>
      <c r="R337" s="5"/>
      <c r="S337" s="5"/>
      <c r="T337" s="5"/>
      <c r="AK337" s="5"/>
      <c r="AL337" s="5"/>
      <c r="AM337" s="5"/>
      <c r="AN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</row>
    <row r="338" spans="17:193" ht="12.75">
      <c r="Q338" s="5"/>
      <c r="R338" s="5"/>
      <c r="S338" s="5"/>
      <c r="T338" s="5"/>
      <c r="AK338" s="5"/>
      <c r="AL338" s="5"/>
      <c r="AM338" s="5"/>
      <c r="AN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</row>
    <row r="339" spans="17:193" ht="12.75">
      <c r="Q339" s="5"/>
      <c r="R339" s="5"/>
      <c r="S339" s="5"/>
      <c r="T339" s="5"/>
      <c r="AK339" s="5"/>
      <c r="AL339" s="5"/>
      <c r="AM339" s="5"/>
      <c r="AN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</row>
    <row r="340" spans="17:193" ht="12.75">
      <c r="Q340" s="5"/>
      <c r="R340" s="5"/>
      <c r="S340" s="5"/>
      <c r="T340" s="5"/>
      <c r="AK340" s="5"/>
      <c r="AL340" s="5"/>
      <c r="AM340" s="5"/>
      <c r="AN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</row>
    <row r="341" spans="17:193" ht="12.75">
      <c r="Q341" s="5"/>
      <c r="R341" s="5"/>
      <c r="S341" s="5"/>
      <c r="T341" s="5"/>
      <c r="AK341" s="5"/>
      <c r="AL341" s="5"/>
      <c r="AM341" s="5"/>
      <c r="AN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</row>
    <row r="342" spans="17:193" ht="12.75">
      <c r="Q342" s="5"/>
      <c r="R342" s="5"/>
      <c r="S342" s="5"/>
      <c r="T342" s="5"/>
      <c r="AK342" s="5"/>
      <c r="AL342" s="5"/>
      <c r="AM342" s="5"/>
      <c r="AN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</row>
    <row r="343" spans="17:193" ht="12.75">
      <c r="Q343" s="5"/>
      <c r="R343" s="5"/>
      <c r="S343" s="5"/>
      <c r="T343" s="5"/>
      <c r="AK343" s="5"/>
      <c r="AL343" s="5"/>
      <c r="AM343" s="5"/>
      <c r="AN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</row>
    <row r="344" spans="17:193" ht="12.75">
      <c r="Q344" s="5"/>
      <c r="R344" s="5"/>
      <c r="S344" s="5"/>
      <c r="T344" s="5"/>
      <c r="AK344" s="5"/>
      <c r="AL344" s="5"/>
      <c r="AM344" s="5"/>
      <c r="AN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</row>
    <row r="345" spans="17:193" ht="12.75">
      <c r="Q345" s="5"/>
      <c r="R345" s="5"/>
      <c r="S345" s="5"/>
      <c r="T345" s="5"/>
      <c r="AK345" s="5"/>
      <c r="AL345" s="5"/>
      <c r="AM345" s="5"/>
      <c r="AN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</row>
    <row r="346" spans="17:193" ht="12.75">
      <c r="Q346" s="5"/>
      <c r="R346" s="5"/>
      <c r="S346" s="5"/>
      <c r="T346" s="5"/>
      <c r="AK346" s="5"/>
      <c r="AL346" s="5"/>
      <c r="AM346" s="5"/>
      <c r="AN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</row>
    <row r="347" spans="17:193" ht="12.75">
      <c r="Q347" s="5"/>
      <c r="R347" s="5"/>
      <c r="S347" s="5"/>
      <c r="T347" s="5"/>
      <c r="AK347" s="5"/>
      <c r="AL347" s="5"/>
      <c r="AM347" s="5"/>
      <c r="AN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</row>
    <row r="348" spans="17:193" ht="12.75">
      <c r="Q348" s="5"/>
      <c r="R348" s="5"/>
      <c r="S348" s="5"/>
      <c r="T348" s="5"/>
      <c r="AK348" s="5"/>
      <c r="AL348" s="5"/>
      <c r="AM348" s="5"/>
      <c r="AN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</row>
    <row r="349" spans="17:193" ht="12.75">
      <c r="Q349" s="5"/>
      <c r="R349" s="5"/>
      <c r="S349" s="5"/>
      <c r="T349" s="5"/>
      <c r="AK349" s="5"/>
      <c r="AL349" s="5"/>
      <c r="AM349" s="5"/>
      <c r="AN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</row>
    <row r="350" spans="17:193" ht="12.75">
      <c r="Q350" s="5"/>
      <c r="R350" s="5"/>
      <c r="S350" s="5"/>
      <c r="T350" s="5"/>
      <c r="AK350" s="5"/>
      <c r="AL350" s="5"/>
      <c r="AM350" s="5"/>
      <c r="AN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</row>
    <row r="351" spans="17:193" ht="12.75">
      <c r="Q351" s="5"/>
      <c r="R351" s="5"/>
      <c r="S351" s="5"/>
      <c r="T351" s="5"/>
      <c r="AK351" s="5"/>
      <c r="AL351" s="5"/>
      <c r="AM351" s="5"/>
      <c r="AN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</row>
    <row r="352" spans="17:193" ht="12.75">
      <c r="Q352" s="5"/>
      <c r="R352" s="5"/>
      <c r="S352" s="5"/>
      <c r="T352" s="5"/>
      <c r="AK352" s="5"/>
      <c r="AL352" s="5"/>
      <c r="AM352" s="5"/>
      <c r="AN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</row>
    <row r="353" spans="17:193" ht="12.75">
      <c r="Q353" s="5"/>
      <c r="R353" s="5"/>
      <c r="S353" s="5"/>
      <c r="T353" s="5"/>
      <c r="AK353" s="5"/>
      <c r="AL353" s="5"/>
      <c r="AM353" s="5"/>
      <c r="AN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</row>
    <row r="354" spans="17:193" ht="12.75">
      <c r="Q354" s="5"/>
      <c r="R354" s="5"/>
      <c r="S354" s="5"/>
      <c r="T354" s="5"/>
      <c r="AK354" s="5"/>
      <c r="AL354" s="5"/>
      <c r="AM354" s="5"/>
      <c r="AN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</row>
    <row r="355" spans="17:193" ht="12.75">
      <c r="Q355" s="5"/>
      <c r="R355" s="5"/>
      <c r="S355" s="5"/>
      <c r="T355" s="5"/>
      <c r="AK355" s="5"/>
      <c r="AL355" s="5"/>
      <c r="AM355" s="5"/>
      <c r="AN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</row>
    <row r="356" spans="17:193" ht="12.75">
      <c r="Q356" s="5"/>
      <c r="R356" s="5"/>
      <c r="S356" s="5"/>
      <c r="T356" s="5"/>
      <c r="AK356" s="5"/>
      <c r="AL356" s="5"/>
      <c r="AM356" s="5"/>
      <c r="AN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</row>
    <row r="357" spans="17:193" ht="12.75">
      <c r="Q357" s="5"/>
      <c r="R357" s="5"/>
      <c r="S357" s="5"/>
      <c r="T357" s="5"/>
      <c r="AK357" s="5"/>
      <c r="AL357" s="5"/>
      <c r="AM357" s="5"/>
      <c r="AN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</row>
    <row r="358" spans="17:193" ht="12.75">
      <c r="Q358" s="5"/>
      <c r="R358" s="5"/>
      <c r="S358" s="5"/>
      <c r="T358" s="5"/>
      <c r="AK358" s="5"/>
      <c r="AL358" s="5"/>
      <c r="AM358" s="5"/>
      <c r="AN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</row>
    <row r="359" spans="17:193" ht="12.75">
      <c r="Q359" s="5"/>
      <c r="R359" s="5"/>
      <c r="S359" s="5"/>
      <c r="T359" s="5"/>
      <c r="AK359" s="5"/>
      <c r="AL359" s="5"/>
      <c r="AM359" s="5"/>
      <c r="AN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</row>
    <row r="360" spans="17:193" ht="12.75">
      <c r="Q360" s="5"/>
      <c r="R360" s="5"/>
      <c r="S360" s="5"/>
      <c r="T360" s="5"/>
      <c r="AK360" s="5"/>
      <c r="AL360" s="5"/>
      <c r="AM360" s="5"/>
      <c r="AN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</row>
    <row r="361" spans="17:193" ht="12.75">
      <c r="Q361" s="5"/>
      <c r="R361" s="5"/>
      <c r="S361" s="5"/>
      <c r="T361" s="5"/>
      <c r="AK361" s="5"/>
      <c r="AL361" s="5"/>
      <c r="AM361" s="5"/>
      <c r="AN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</row>
    <row r="362" spans="17:193" ht="12.75">
      <c r="Q362" s="5"/>
      <c r="R362" s="5"/>
      <c r="S362" s="5"/>
      <c r="T362" s="5"/>
      <c r="AK362" s="5"/>
      <c r="AL362" s="5"/>
      <c r="AM362" s="5"/>
      <c r="AN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</row>
    <row r="363" spans="17:193" ht="12.75">
      <c r="Q363" s="5"/>
      <c r="R363" s="5"/>
      <c r="S363" s="5"/>
      <c r="T363" s="5"/>
      <c r="AK363" s="5"/>
      <c r="AL363" s="5"/>
      <c r="AM363" s="5"/>
      <c r="AN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</row>
    <row r="364" spans="17:193" ht="12.75">
      <c r="Q364" s="5"/>
      <c r="R364" s="5"/>
      <c r="S364" s="5"/>
      <c r="T364" s="5"/>
      <c r="AK364" s="5"/>
      <c r="AL364" s="5"/>
      <c r="AM364" s="5"/>
      <c r="AN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</row>
    <row r="365" spans="17:193" ht="12.75">
      <c r="Q365" s="5"/>
      <c r="R365" s="5"/>
      <c r="S365" s="5"/>
      <c r="T365" s="5"/>
      <c r="AK365" s="5"/>
      <c r="AL365" s="5"/>
      <c r="AM365" s="5"/>
      <c r="AN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</row>
    <row r="366" spans="17:193" ht="12.75">
      <c r="Q366" s="5"/>
      <c r="R366" s="5"/>
      <c r="S366" s="5"/>
      <c r="T366" s="5"/>
      <c r="AK366" s="5"/>
      <c r="AL366" s="5"/>
      <c r="AM366" s="5"/>
      <c r="AN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</row>
    <row r="367" spans="17:193" ht="12.75">
      <c r="Q367" s="5"/>
      <c r="R367" s="5"/>
      <c r="S367" s="5"/>
      <c r="T367" s="5"/>
      <c r="AK367" s="5"/>
      <c r="AL367" s="5"/>
      <c r="AM367" s="5"/>
      <c r="AN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</row>
    <row r="368" spans="17:193" ht="12.75">
      <c r="Q368" s="5"/>
      <c r="R368" s="5"/>
      <c r="S368" s="5"/>
      <c r="T368" s="5"/>
      <c r="AK368" s="5"/>
      <c r="AL368" s="5"/>
      <c r="AM368" s="5"/>
      <c r="AN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</row>
    <row r="369" spans="17:193" ht="12.75">
      <c r="Q369" s="5"/>
      <c r="R369" s="5"/>
      <c r="S369" s="5"/>
      <c r="T369" s="5"/>
      <c r="AK369" s="5"/>
      <c r="AL369" s="5"/>
      <c r="AM369" s="5"/>
      <c r="AN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</row>
    <row r="370" spans="17:193" ht="12.75">
      <c r="Q370" s="5"/>
      <c r="R370" s="5"/>
      <c r="S370" s="5"/>
      <c r="T370" s="5"/>
      <c r="AK370" s="5"/>
      <c r="AL370" s="5"/>
      <c r="AM370" s="5"/>
      <c r="AN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</row>
    <row r="371" spans="17:193" ht="12.75">
      <c r="Q371" s="5"/>
      <c r="R371" s="5"/>
      <c r="S371" s="5"/>
      <c r="T371" s="5"/>
      <c r="AK371" s="5"/>
      <c r="AL371" s="5"/>
      <c r="AM371" s="5"/>
      <c r="AN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</row>
    <row r="372" spans="17:193" ht="12.75">
      <c r="Q372" s="5"/>
      <c r="R372" s="5"/>
      <c r="S372" s="5"/>
      <c r="T372" s="5"/>
      <c r="AK372" s="5"/>
      <c r="AL372" s="5"/>
      <c r="AM372" s="5"/>
      <c r="AN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</row>
    <row r="373" spans="17:193" ht="12.75">
      <c r="Q373" s="5"/>
      <c r="R373" s="5"/>
      <c r="S373" s="5"/>
      <c r="T373" s="5"/>
      <c r="AK373" s="5"/>
      <c r="AL373" s="5"/>
      <c r="AM373" s="5"/>
      <c r="AN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</row>
    <row r="374" spans="17:193" ht="12.75">
      <c r="Q374" s="5"/>
      <c r="R374" s="5"/>
      <c r="S374" s="5"/>
      <c r="T374" s="5"/>
      <c r="AK374" s="5"/>
      <c r="AL374" s="5"/>
      <c r="AM374" s="5"/>
      <c r="AN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</row>
    <row r="375" spans="17:193" ht="12.75">
      <c r="Q375" s="5"/>
      <c r="R375" s="5"/>
      <c r="S375" s="5"/>
      <c r="T375" s="5"/>
      <c r="AK375" s="5"/>
      <c r="AL375" s="5"/>
      <c r="AM375" s="5"/>
      <c r="AN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</row>
    <row r="376" spans="17:193" ht="12.75">
      <c r="Q376" s="5"/>
      <c r="R376" s="5"/>
      <c r="S376" s="5"/>
      <c r="T376" s="5"/>
      <c r="AK376" s="5"/>
      <c r="AL376" s="5"/>
      <c r="AM376" s="5"/>
      <c r="AN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</row>
    <row r="377" spans="17:193" ht="12.75">
      <c r="Q377" s="5"/>
      <c r="R377" s="5"/>
      <c r="S377" s="5"/>
      <c r="T377" s="5"/>
      <c r="AK377" s="5"/>
      <c r="AL377" s="5"/>
      <c r="AM377" s="5"/>
      <c r="AN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</row>
    <row r="378" spans="17:193" ht="12.75">
      <c r="Q378" s="5"/>
      <c r="R378" s="5"/>
      <c r="S378" s="5"/>
      <c r="T378" s="5"/>
      <c r="AK378" s="5"/>
      <c r="AL378" s="5"/>
      <c r="AM378" s="5"/>
      <c r="AN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</row>
    <row r="379" spans="17:193" ht="12.75">
      <c r="Q379" s="5"/>
      <c r="R379" s="5"/>
      <c r="S379" s="5"/>
      <c r="T379" s="5"/>
      <c r="AK379" s="5"/>
      <c r="AL379" s="5"/>
      <c r="AM379" s="5"/>
      <c r="AN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</row>
    <row r="380" spans="17:193" ht="12.75">
      <c r="Q380" s="5"/>
      <c r="R380" s="5"/>
      <c r="S380" s="5"/>
      <c r="T380" s="5"/>
      <c r="AK380" s="5"/>
      <c r="AL380" s="5"/>
      <c r="AM380" s="5"/>
      <c r="AN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</row>
    <row r="381" spans="17:193" ht="12.75">
      <c r="Q381" s="5"/>
      <c r="R381" s="5"/>
      <c r="S381" s="5"/>
      <c r="T381" s="5"/>
      <c r="AK381" s="5"/>
      <c r="AL381" s="5"/>
      <c r="AM381" s="5"/>
      <c r="AN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</row>
    <row r="382" spans="17:193" ht="12.75">
      <c r="Q382" s="5"/>
      <c r="R382" s="5"/>
      <c r="S382" s="5"/>
      <c r="T382" s="5"/>
      <c r="AK382" s="5"/>
      <c r="AL382" s="5"/>
      <c r="AM382" s="5"/>
      <c r="AN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</row>
    <row r="383" spans="17:193" ht="12.75">
      <c r="Q383" s="5"/>
      <c r="R383" s="5"/>
      <c r="S383" s="5"/>
      <c r="T383" s="5"/>
      <c r="AK383" s="5"/>
      <c r="AL383" s="5"/>
      <c r="AM383" s="5"/>
      <c r="AN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</row>
    <row r="384" spans="17:193" ht="12.75">
      <c r="Q384" s="5"/>
      <c r="R384" s="5"/>
      <c r="S384" s="5"/>
      <c r="T384" s="5"/>
      <c r="AK384" s="5"/>
      <c r="AL384" s="5"/>
      <c r="AM384" s="5"/>
      <c r="AN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</row>
    <row r="385" spans="17:193" ht="12.75">
      <c r="Q385" s="5"/>
      <c r="R385" s="5"/>
      <c r="S385" s="5"/>
      <c r="T385" s="5"/>
      <c r="AK385" s="5"/>
      <c r="AL385" s="5"/>
      <c r="AM385" s="5"/>
      <c r="AN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</row>
    <row r="386" spans="17:193" ht="12.75">
      <c r="Q386" s="5"/>
      <c r="R386" s="5"/>
      <c r="S386" s="5"/>
      <c r="T386" s="5"/>
      <c r="AK386" s="5"/>
      <c r="AL386" s="5"/>
      <c r="AM386" s="5"/>
      <c r="AN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</row>
    <row r="387" spans="17:193" ht="12.75">
      <c r="Q387" s="5"/>
      <c r="R387" s="5"/>
      <c r="S387" s="5"/>
      <c r="T387" s="5"/>
      <c r="AK387" s="5"/>
      <c r="AL387" s="5"/>
      <c r="AM387" s="5"/>
      <c r="AN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</row>
    <row r="388" spans="17:193" ht="12.75">
      <c r="Q388" s="5"/>
      <c r="R388" s="5"/>
      <c r="S388" s="5"/>
      <c r="T388" s="5"/>
      <c r="AK388" s="5"/>
      <c r="AL388" s="5"/>
      <c r="AM388" s="5"/>
      <c r="AN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</row>
    <row r="389" spans="17:193" ht="12.75">
      <c r="Q389" s="5"/>
      <c r="R389" s="5"/>
      <c r="S389" s="5"/>
      <c r="T389" s="5"/>
      <c r="AK389" s="5"/>
      <c r="AL389" s="5"/>
      <c r="AM389" s="5"/>
      <c r="AN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</row>
    <row r="390" spans="17:193" ht="12.75">
      <c r="Q390" s="5"/>
      <c r="R390" s="5"/>
      <c r="S390" s="5"/>
      <c r="T390" s="5"/>
      <c r="AK390" s="5"/>
      <c r="AL390" s="5"/>
      <c r="AM390" s="5"/>
      <c r="AN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</row>
    <row r="391" spans="17:193" ht="12.75">
      <c r="Q391" s="5"/>
      <c r="R391" s="5"/>
      <c r="S391" s="5"/>
      <c r="T391" s="5"/>
      <c r="AK391" s="5"/>
      <c r="AL391" s="5"/>
      <c r="AM391" s="5"/>
      <c r="AN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</row>
    <row r="392" spans="17:193" ht="12.75">
      <c r="Q392" s="5"/>
      <c r="R392" s="5"/>
      <c r="S392" s="5"/>
      <c r="T392" s="5"/>
      <c r="AK392" s="5"/>
      <c r="AL392" s="5"/>
      <c r="AM392" s="5"/>
      <c r="AN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</row>
    <row r="393" spans="17:193" ht="12.75">
      <c r="Q393" s="5"/>
      <c r="R393" s="5"/>
      <c r="S393" s="5"/>
      <c r="T393" s="5"/>
      <c r="AK393" s="5"/>
      <c r="AL393" s="5"/>
      <c r="AM393" s="5"/>
      <c r="AN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</row>
    <row r="394" spans="17:193" ht="12.75">
      <c r="Q394" s="5"/>
      <c r="R394" s="5"/>
      <c r="S394" s="5"/>
      <c r="T394" s="5"/>
      <c r="AK394" s="5"/>
      <c r="AL394" s="5"/>
      <c r="AM394" s="5"/>
      <c r="AN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</row>
    <row r="395" spans="17:193" ht="12.75">
      <c r="Q395" s="5"/>
      <c r="R395" s="5"/>
      <c r="S395" s="5"/>
      <c r="T395" s="5"/>
      <c r="AK395" s="5"/>
      <c r="AL395" s="5"/>
      <c r="AM395" s="5"/>
      <c r="AN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</row>
    <row r="396" spans="17:193" ht="12.75">
      <c r="Q396" s="5"/>
      <c r="R396" s="5"/>
      <c r="S396" s="5"/>
      <c r="T396" s="5"/>
      <c r="AK396" s="5"/>
      <c r="AL396" s="5"/>
      <c r="AM396" s="5"/>
      <c r="AN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</row>
    <row r="397" spans="17:193" ht="12.75">
      <c r="Q397" s="5"/>
      <c r="R397" s="5"/>
      <c r="S397" s="5"/>
      <c r="T397" s="5"/>
      <c r="AK397" s="5"/>
      <c r="AL397" s="5"/>
      <c r="AM397" s="5"/>
      <c r="AN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</row>
    <row r="398" spans="17:193" ht="12.75">
      <c r="Q398" s="5"/>
      <c r="R398" s="5"/>
      <c r="S398" s="5"/>
      <c r="T398" s="5"/>
      <c r="AK398" s="5"/>
      <c r="AL398" s="5"/>
      <c r="AM398" s="5"/>
      <c r="AN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</row>
    <row r="399" spans="17:193" ht="12.75">
      <c r="Q399" s="5"/>
      <c r="R399" s="5"/>
      <c r="S399" s="5"/>
      <c r="T399" s="5"/>
      <c r="AK399" s="5"/>
      <c r="AL399" s="5"/>
      <c r="AM399" s="5"/>
      <c r="AN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</row>
    <row r="400" spans="17:193" ht="12.75">
      <c r="Q400" s="5"/>
      <c r="R400" s="5"/>
      <c r="S400" s="5"/>
      <c r="T400" s="5"/>
      <c r="AK400" s="5"/>
      <c r="AL400" s="5"/>
      <c r="AM400" s="5"/>
      <c r="AN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</row>
    <row r="401" spans="17:193" ht="12.75">
      <c r="Q401" s="5"/>
      <c r="R401" s="5"/>
      <c r="S401" s="5"/>
      <c r="T401" s="5"/>
      <c r="AK401" s="5"/>
      <c r="AL401" s="5"/>
      <c r="AM401" s="5"/>
      <c r="AN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</row>
    <row r="402" spans="17:193" ht="12.75">
      <c r="Q402" s="5"/>
      <c r="R402" s="5"/>
      <c r="S402" s="5"/>
      <c r="T402" s="5"/>
      <c r="AK402" s="5"/>
      <c r="AL402" s="5"/>
      <c r="AM402" s="5"/>
      <c r="AN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</row>
    <row r="403" spans="17:193" ht="12.75">
      <c r="Q403" s="5"/>
      <c r="R403" s="5"/>
      <c r="S403" s="5"/>
      <c r="T403" s="5"/>
      <c r="AK403" s="5"/>
      <c r="AL403" s="5"/>
      <c r="AM403" s="5"/>
      <c r="AN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</row>
    <row r="404" spans="17:193" ht="12.75">
      <c r="Q404" s="5"/>
      <c r="R404" s="5"/>
      <c r="S404" s="5"/>
      <c r="T404" s="5"/>
      <c r="AK404" s="5"/>
      <c r="AL404" s="5"/>
      <c r="AM404" s="5"/>
      <c r="AN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</row>
    <row r="405" spans="17:193" ht="12.75">
      <c r="Q405" s="5"/>
      <c r="R405" s="5"/>
      <c r="S405" s="5"/>
      <c r="T405" s="5"/>
      <c r="AK405" s="5"/>
      <c r="AL405" s="5"/>
      <c r="AM405" s="5"/>
      <c r="AN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</row>
    <row r="406" spans="17:193" ht="12.75">
      <c r="Q406" s="5"/>
      <c r="R406" s="5"/>
      <c r="S406" s="5"/>
      <c r="T406" s="5"/>
      <c r="AK406" s="5"/>
      <c r="AL406" s="5"/>
      <c r="AM406" s="5"/>
      <c r="AN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</row>
    <row r="407" spans="17:193" ht="12.75">
      <c r="Q407" s="5"/>
      <c r="R407" s="5"/>
      <c r="S407" s="5"/>
      <c r="T407" s="5"/>
      <c r="AK407" s="5"/>
      <c r="AL407" s="5"/>
      <c r="AM407" s="5"/>
      <c r="AN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</row>
    <row r="408" spans="17:193" ht="12.75">
      <c r="Q408" s="5"/>
      <c r="R408" s="5"/>
      <c r="S408" s="5"/>
      <c r="T408" s="5"/>
      <c r="AK408" s="5"/>
      <c r="AL408" s="5"/>
      <c r="AM408" s="5"/>
      <c r="AN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</row>
    <row r="409" spans="17:193" ht="12.75">
      <c r="Q409" s="5"/>
      <c r="R409" s="5"/>
      <c r="S409" s="5"/>
      <c r="T409" s="5"/>
      <c r="AK409" s="5"/>
      <c r="AL409" s="5"/>
      <c r="AM409" s="5"/>
      <c r="AN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</row>
    <row r="410" spans="17:193" ht="12.75">
      <c r="Q410" s="5"/>
      <c r="R410" s="5"/>
      <c r="S410" s="5"/>
      <c r="T410" s="5"/>
      <c r="AK410" s="5"/>
      <c r="AL410" s="5"/>
      <c r="AM410" s="5"/>
      <c r="AN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</row>
    <row r="411" spans="17:193" ht="12.75">
      <c r="Q411" s="5"/>
      <c r="R411" s="5"/>
      <c r="S411" s="5"/>
      <c r="T411" s="5"/>
      <c r="AK411" s="5"/>
      <c r="AL411" s="5"/>
      <c r="AM411" s="5"/>
      <c r="AN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</row>
    <row r="412" spans="17:193" ht="12.75">
      <c r="Q412" s="5"/>
      <c r="R412" s="5"/>
      <c r="S412" s="5"/>
      <c r="T412" s="5"/>
      <c r="AK412" s="5"/>
      <c r="AL412" s="5"/>
      <c r="AM412" s="5"/>
      <c r="AN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</row>
    <row r="413" spans="17:193" ht="12.75">
      <c r="Q413" s="5"/>
      <c r="R413" s="5"/>
      <c r="S413" s="5"/>
      <c r="T413" s="5"/>
      <c r="AK413" s="5"/>
      <c r="AL413" s="5"/>
      <c r="AM413" s="5"/>
      <c r="AN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</row>
    <row r="414" spans="17:193" ht="12.75">
      <c r="Q414" s="5"/>
      <c r="R414" s="5"/>
      <c r="S414" s="5"/>
      <c r="T414" s="5"/>
      <c r="AK414" s="5"/>
      <c r="AL414" s="5"/>
      <c r="AM414" s="5"/>
      <c r="AN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</row>
    <row r="415" spans="17:193" ht="12.75">
      <c r="Q415" s="5"/>
      <c r="R415" s="5"/>
      <c r="S415" s="5"/>
      <c r="T415" s="5"/>
      <c r="AK415" s="5"/>
      <c r="AL415" s="5"/>
      <c r="AM415" s="5"/>
      <c r="AN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</row>
    <row r="416" spans="17:193" ht="12.75">
      <c r="Q416" s="5"/>
      <c r="R416" s="5"/>
      <c r="S416" s="5"/>
      <c r="T416" s="5"/>
      <c r="AK416" s="5"/>
      <c r="AL416" s="5"/>
      <c r="AM416" s="5"/>
      <c r="AN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</row>
    <row r="417" spans="17:193" ht="12.75">
      <c r="Q417" s="5"/>
      <c r="R417" s="5"/>
      <c r="S417" s="5"/>
      <c r="T417" s="5"/>
      <c r="AK417" s="5"/>
      <c r="AL417" s="5"/>
      <c r="AM417" s="5"/>
      <c r="AN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</row>
    <row r="418" spans="17:193" ht="12.75">
      <c r="Q418" s="5"/>
      <c r="R418" s="5"/>
      <c r="S418" s="5"/>
      <c r="T418" s="5"/>
      <c r="AK418" s="5"/>
      <c r="AL418" s="5"/>
      <c r="AM418" s="5"/>
      <c r="AN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</row>
    <row r="419" spans="17:193" ht="12.75">
      <c r="Q419" s="5"/>
      <c r="R419" s="5"/>
      <c r="S419" s="5"/>
      <c r="T419" s="5"/>
      <c r="AK419" s="5"/>
      <c r="AL419" s="5"/>
      <c r="AM419" s="5"/>
      <c r="AN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</row>
    <row r="420" spans="17:193" ht="12.75">
      <c r="Q420" s="5"/>
      <c r="R420" s="5"/>
      <c r="S420" s="5"/>
      <c r="T420" s="5"/>
      <c r="AK420" s="5"/>
      <c r="AL420" s="5"/>
      <c r="AM420" s="5"/>
      <c r="AN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</row>
    <row r="421" spans="17:193" ht="12.75">
      <c r="Q421" s="5"/>
      <c r="R421" s="5"/>
      <c r="S421" s="5"/>
      <c r="T421" s="5"/>
      <c r="AK421" s="5"/>
      <c r="AL421" s="5"/>
      <c r="AM421" s="5"/>
      <c r="AN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</row>
    <row r="422" spans="17:193" ht="12.75">
      <c r="Q422" s="5"/>
      <c r="R422" s="5"/>
      <c r="S422" s="5"/>
      <c r="T422" s="5"/>
      <c r="AK422" s="5"/>
      <c r="AL422" s="5"/>
      <c r="AM422" s="5"/>
      <c r="AN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</row>
    <row r="423" spans="17:193" ht="12.75">
      <c r="Q423" s="5"/>
      <c r="R423" s="5"/>
      <c r="S423" s="5"/>
      <c r="T423" s="5"/>
      <c r="AK423" s="5"/>
      <c r="AL423" s="5"/>
      <c r="AM423" s="5"/>
      <c r="AN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</row>
    <row r="424" spans="17:193" ht="12.75">
      <c r="Q424" s="5"/>
      <c r="R424" s="5"/>
      <c r="S424" s="5"/>
      <c r="T424" s="5"/>
      <c r="AK424" s="5"/>
      <c r="AL424" s="5"/>
      <c r="AM424" s="5"/>
      <c r="AN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</row>
    <row r="425" spans="17:193" ht="12.75">
      <c r="Q425" s="5"/>
      <c r="R425" s="5"/>
      <c r="S425" s="5"/>
      <c r="T425" s="5"/>
      <c r="AK425" s="5"/>
      <c r="AL425" s="5"/>
      <c r="AM425" s="5"/>
      <c r="AN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</row>
    <row r="426" spans="17:193" ht="12.75">
      <c r="Q426" s="5"/>
      <c r="R426" s="5"/>
      <c r="S426" s="5"/>
      <c r="T426" s="5"/>
      <c r="AK426" s="5"/>
      <c r="AL426" s="5"/>
      <c r="AM426" s="5"/>
      <c r="AN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</row>
    <row r="427" spans="17:193" ht="12.75">
      <c r="Q427" s="5"/>
      <c r="R427" s="5"/>
      <c r="S427" s="5"/>
      <c r="T427" s="5"/>
      <c r="AK427" s="5"/>
      <c r="AL427" s="5"/>
      <c r="AM427" s="5"/>
      <c r="AN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</row>
    <row r="428" spans="17:193" ht="12.75">
      <c r="Q428" s="5"/>
      <c r="R428" s="5"/>
      <c r="S428" s="5"/>
      <c r="T428" s="5"/>
      <c r="AK428" s="5"/>
      <c r="AL428" s="5"/>
      <c r="AM428" s="5"/>
      <c r="AN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</row>
    <row r="429" spans="17:193" ht="12.75">
      <c r="Q429" s="5"/>
      <c r="R429" s="5"/>
      <c r="S429" s="5"/>
      <c r="T429" s="5"/>
      <c r="AK429" s="5"/>
      <c r="AL429" s="5"/>
      <c r="AM429" s="5"/>
      <c r="AN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</row>
    <row r="430" spans="17:193" ht="12.75">
      <c r="Q430" s="5"/>
      <c r="R430" s="5"/>
      <c r="S430" s="5"/>
      <c r="T430" s="5"/>
      <c r="AK430" s="5"/>
      <c r="AL430" s="5"/>
      <c r="AM430" s="5"/>
      <c r="AN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</row>
    <row r="431" spans="17:193" ht="12.75">
      <c r="Q431" s="5"/>
      <c r="R431" s="5"/>
      <c r="S431" s="5"/>
      <c r="T431" s="5"/>
      <c r="AK431" s="5"/>
      <c r="AL431" s="5"/>
      <c r="AM431" s="5"/>
      <c r="AN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</row>
    <row r="432" spans="17:193" ht="12.75">
      <c r="Q432" s="5"/>
      <c r="R432" s="5"/>
      <c r="S432" s="5"/>
      <c r="T432" s="5"/>
      <c r="AK432" s="5"/>
      <c r="AL432" s="5"/>
      <c r="AM432" s="5"/>
      <c r="AN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</row>
    <row r="433" spans="17:193" ht="12.75">
      <c r="Q433" s="5"/>
      <c r="R433" s="5"/>
      <c r="S433" s="5"/>
      <c r="T433" s="5"/>
      <c r="AK433" s="5"/>
      <c r="AL433" s="5"/>
      <c r="AM433" s="5"/>
      <c r="AN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</row>
    <row r="434" spans="17:193" ht="12.75">
      <c r="Q434" s="5"/>
      <c r="R434" s="5"/>
      <c r="S434" s="5"/>
      <c r="T434" s="5"/>
      <c r="AK434" s="5"/>
      <c r="AL434" s="5"/>
      <c r="AM434" s="5"/>
      <c r="AN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</row>
    <row r="435" spans="17:193" ht="12.75">
      <c r="Q435" s="5"/>
      <c r="R435" s="5"/>
      <c r="S435" s="5"/>
      <c r="T435" s="5"/>
      <c r="AK435" s="5"/>
      <c r="AL435" s="5"/>
      <c r="AM435" s="5"/>
      <c r="AN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</row>
    <row r="436" spans="17:193" ht="12.75">
      <c r="Q436" s="5"/>
      <c r="R436" s="5"/>
      <c r="S436" s="5"/>
      <c r="T436" s="5"/>
      <c r="AK436" s="5"/>
      <c r="AL436" s="5"/>
      <c r="AM436" s="5"/>
      <c r="AN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</row>
    <row r="437" spans="17:193" ht="12.75">
      <c r="Q437" s="5"/>
      <c r="R437" s="5"/>
      <c r="S437" s="5"/>
      <c r="T437" s="5"/>
      <c r="AK437" s="5"/>
      <c r="AL437" s="5"/>
      <c r="AM437" s="5"/>
      <c r="AN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</row>
    <row r="438" spans="17:193" ht="12.75">
      <c r="Q438" s="5"/>
      <c r="R438" s="5"/>
      <c r="S438" s="5"/>
      <c r="T438" s="5"/>
      <c r="AK438" s="5"/>
      <c r="AL438" s="5"/>
      <c r="AM438" s="5"/>
      <c r="AN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</row>
    <row r="439" spans="17:193" ht="12.75">
      <c r="Q439" s="5"/>
      <c r="R439" s="5"/>
      <c r="S439" s="5"/>
      <c r="T439" s="5"/>
      <c r="AK439" s="5"/>
      <c r="AL439" s="5"/>
      <c r="AM439" s="5"/>
      <c r="AN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</row>
    <row r="440" spans="17:193" ht="12.75">
      <c r="Q440" s="5"/>
      <c r="R440" s="5"/>
      <c r="S440" s="5"/>
      <c r="T440" s="5"/>
      <c r="AK440" s="5"/>
      <c r="AL440" s="5"/>
      <c r="AM440" s="5"/>
      <c r="AN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</row>
    <row r="441" spans="17:193" ht="12.75">
      <c r="Q441" s="5"/>
      <c r="R441" s="5"/>
      <c r="S441" s="5"/>
      <c r="T441" s="5"/>
      <c r="AK441" s="5"/>
      <c r="AL441" s="5"/>
      <c r="AM441" s="5"/>
      <c r="AN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</row>
    <row r="442" spans="17:193" ht="12.75">
      <c r="Q442" s="5"/>
      <c r="R442" s="5"/>
      <c r="S442" s="5"/>
      <c r="T442" s="5"/>
      <c r="AK442" s="5"/>
      <c r="AL442" s="5"/>
      <c r="AM442" s="5"/>
      <c r="AN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</row>
    <row r="443" spans="17:193" ht="12.75">
      <c r="Q443" s="5"/>
      <c r="R443" s="5"/>
      <c r="S443" s="5"/>
      <c r="T443" s="5"/>
      <c r="AK443" s="5"/>
      <c r="AL443" s="5"/>
      <c r="AM443" s="5"/>
      <c r="AN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</row>
    <row r="444" spans="17:193" ht="12.75">
      <c r="Q444" s="5"/>
      <c r="R444" s="5"/>
      <c r="S444" s="5"/>
      <c r="T444" s="5"/>
      <c r="AK444" s="5"/>
      <c r="AL444" s="5"/>
      <c r="AM444" s="5"/>
      <c r="AN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</row>
    <row r="445" spans="17:193" ht="12.75">
      <c r="Q445" s="5"/>
      <c r="R445" s="5"/>
      <c r="S445" s="5"/>
      <c r="T445" s="5"/>
      <c r="AK445" s="5"/>
      <c r="AL445" s="5"/>
      <c r="AM445" s="5"/>
      <c r="AN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</row>
    <row r="446" spans="17:193" ht="12.75">
      <c r="Q446" s="5"/>
      <c r="R446" s="5"/>
      <c r="S446" s="5"/>
      <c r="T446" s="5"/>
      <c r="AK446" s="5"/>
      <c r="AL446" s="5"/>
      <c r="AM446" s="5"/>
      <c r="AN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</row>
    <row r="447" spans="17:193" ht="12.75">
      <c r="Q447" s="5"/>
      <c r="R447" s="5"/>
      <c r="S447" s="5"/>
      <c r="T447" s="5"/>
      <c r="AK447" s="5"/>
      <c r="AL447" s="5"/>
      <c r="AM447" s="5"/>
      <c r="AN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</row>
    <row r="448" spans="17:193" ht="12.75">
      <c r="Q448" s="5"/>
      <c r="R448" s="5"/>
      <c r="S448" s="5"/>
      <c r="T448" s="5"/>
      <c r="AK448" s="5"/>
      <c r="AL448" s="5"/>
      <c r="AM448" s="5"/>
      <c r="AN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</row>
    <row r="449" spans="17:193" ht="12.75">
      <c r="Q449" s="5"/>
      <c r="R449" s="5"/>
      <c r="S449" s="5"/>
      <c r="T449" s="5"/>
      <c r="AK449" s="5"/>
      <c r="AL449" s="5"/>
      <c r="AM449" s="5"/>
      <c r="AN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</row>
    <row r="450" spans="17:193" ht="12.75">
      <c r="Q450" s="5"/>
      <c r="R450" s="5"/>
      <c r="S450" s="5"/>
      <c r="T450" s="5"/>
      <c r="AK450" s="5"/>
      <c r="AL450" s="5"/>
      <c r="AM450" s="5"/>
      <c r="AN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</row>
    <row r="451" spans="17:193" ht="12.75">
      <c r="Q451" s="5"/>
      <c r="R451" s="5"/>
      <c r="S451" s="5"/>
      <c r="T451" s="5"/>
      <c r="AK451" s="5"/>
      <c r="AL451" s="5"/>
      <c r="AM451" s="5"/>
      <c r="AN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</row>
    <row r="452" spans="17:193" ht="12.75">
      <c r="Q452" s="5"/>
      <c r="R452" s="5"/>
      <c r="S452" s="5"/>
      <c r="T452" s="5"/>
      <c r="AK452" s="5"/>
      <c r="AL452" s="5"/>
      <c r="AM452" s="5"/>
      <c r="AN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</row>
    <row r="453" spans="17:193" ht="12.75">
      <c r="Q453" s="5"/>
      <c r="R453" s="5"/>
      <c r="S453" s="5"/>
      <c r="T453" s="5"/>
      <c r="AK453" s="5"/>
      <c r="AL453" s="5"/>
      <c r="AM453" s="5"/>
      <c r="AN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</row>
    <row r="454" spans="17:193" ht="12.75">
      <c r="Q454" s="5"/>
      <c r="R454" s="5"/>
      <c r="S454" s="5"/>
      <c r="T454" s="5"/>
      <c r="AK454" s="5"/>
      <c r="AL454" s="5"/>
      <c r="AM454" s="5"/>
      <c r="AN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</row>
    <row r="455" spans="17:193" ht="12.75">
      <c r="Q455" s="5"/>
      <c r="R455" s="5"/>
      <c r="S455" s="5"/>
      <c r="T455" s="5"/>
      <c r="AK455" s="5"/>
      <c r="AL455" s="5"/>
      <c r="AM455" s="5"/>
      <c r="AN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</row>
    <row r="456" spans="17:193" ht="12.75">
      <c r="Q456" s="5"/>
      <c r="R456" s="5"/>
      <c r="S456" s="5"/>
      <c r="T456" s="5"/>
      <c r="AK456" s="5"/>
      <c r="AL456" s="5"/>
      <c r="AM456" s="5"/>
      <c r="AN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</row>
    <row r="457" spans="17:193" ht="12.75">
      <c r="Q457" s="5"/>
      <c r="R457" s="5"/>
      <c r="S457" s="5"/>
      <c r="T457" s="5"/>
      <c r="AK457" s="5"/>
      <c r="AL457" s="5"/>
      <c r="AM457" s="5"/>
      <c r="AN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</row>
    <row r="458" spans="17:193" ht="12.75">
      <c r="Q458" s="5"/>
      <c r="R458" s="5"/>
      <c r="S458" s="5"/>
      <c r="T458" s="5"/>
      <c r="AK458" s="5"/>
      <c r="AL458" s="5"/>
      <c r="AM458" s="5"/>
      <c r="AN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</row>
    <row r="459" spans="17:193" ht="12.75">
      <c r="Q459" s="5"/>
      <c r="R459" s="5"/>
      <c r="S459" s="5"/>
      <c r="T459" s="5"/>
      <c r="AK459" s="5"/>
      <c r="AL459" s="5"/>
      <c r="AM459" s="5"/>
      <c r="AN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</row>
    <row r="460" spans="17:193" ht="12.75">
      <c r="Q460" s="5"/>
      <c r="R460" s="5"/>
      <c r="S460" s="5"/>
      <c r="T460" s="5"/>
      <c r="AK460" s="5"/>
      <c r="AL460" s="5"/>
      <c r="AM460" s="5"/>
      <c r="AN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</row>
    <row r="461" spans="17:193" ht="12.75">
      <c r="Q461" s="5"/>
      <c r="R461" s="5"/>
      <c r="S461" s="5"/>
      <c r="T461" s="5"/>
      <c r="AK461" s="5"/>
      <c r="AL461" s="5"/>
      <c r="AM461" s="5"/>
      <c r="AN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</row>
    <row r="462" spans="17:193" ht="12.75">
      <c r="Q462" s="5"/>
      <c r="R462" s="5"/>
      <c r="S462" s="5"/>
      <c r="T462" s="5"/>
      <c r="AK462" s="5"/>
      <c r="AL462" s="5"/>
      <c r="AM462" s="5"/>
      <c r="AN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</row>
    <row r="463" spans="17:193" ht="12.75">
      <c r="Q463" s="5"/>
      <c r="R463" s="5"/>
      <c r="S463" s="5"/>
      <c r="T463" s="5"/>
      <c r="AK463" s="5"/>
      <c r="AL463" s="5"/>
      <c r="AM463" s="5"/>
      <c r="AN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</row>
    <row r="464" spans="17:193" ht="12.75">
      <c r="Q464" s="5"/>
      <c r="R464" s="5"/>
      <c r="S464" s="5"/>
      <c r="T464" s="5"/>
      <c r="AK464" s="5"/>
      <c r="AL464" s="5"/>
      <c r="AM464" s="5"/>
      <c r="AN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</row>
    <row r="465" spans="17:193" ht="12.75">
      <c r="Q465" s="5"/>
      <c r="R465" s="5"/>
      <c r="S465" s="5"/>
      <c r="T465" s="5"/>
      <c r="AK465" s="5"/>
      <c r="AL465" s="5"/>
      <c r="AM465" s="5"/>
      <c r="AN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</row>
    <row r="466" spans="17:193" ht="12.75">
      <c r="Q466" s="5"/>
      <c r="R466" s="5"/>
      <c r="S466" s="5"/>
      <c r="T466" s="5"/>
      <c r="AK466" s="5"/>
      <c r="AL466" s="5"/>
      <c r="AM466" s="5"/>
      <c r="AN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</row>
    <row r="467" spans="17:193" ht="12.75">
      <c r="Q467" s="5"/>
      <c r="R467" s="5"/>
      <c r="S467" s="5"/>
      <c r="T467" s="5"/>
      <c r="AK467" s="5"/>
      <c r="AL467" s="5"/>
      <c r="AM467" s="5"/>
      <c r="AN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</row>
    <row r="468" spans="17:193" ht="12.75">
      <c r="Q468" s="5"/>
      <c r="R468" s="5"/>
      <c r="S468" s="5"/>
      <c r="T468" s="5"/>
      <c r="AK468" s="5"/>
      <c r="AL468" s="5"/>
      <c r="AM468" s="5"/>
      <c r="AN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</row>
    <row r="469" spans="17:193" ht="12.75">
      <c r="Q469" s="5"/>
      <c r="R469" s="5"/>
      <c r="S469" s="5"/>
      <c r="T469" s="5"/>
      <c r="AK469" s="5"/>
      <c r="AL469" s="5"/>
      <c r="AM469" s="5"/>
      <c r="AN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</row>
    <row r="470" spans="17:193" ht="12.75">
      <c r="Q470" s="5"/>
      <c r="R470" s="5"/>
      <c r="S470" s="5"/>
      <c r="T470" s="5"/>
      <c r="AK470" s="5"/>
      <c r="AL470" s="5"/>
      <c r="AM470" s="5"/>
      <c r="AN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</row>
    <row r="471" spans="17:193" ht="12.75">
      <c r="Q471" s="5"/>
      <c r="R471" s="5"/>
      <c r="S471" s="5"/>
      <c r="T471" s="5"/>
      <c r="AK471" s="5"/>
      <c r="AL471" s="5"/>
      <c r="AM471" s="5"/>
      <c r="AN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</row>
    <row r="472" spans="17:193" ht="12.75">
      <c r="Q472" s="5"/>
      <c r="R472" s="5"/>
      <c r="S472" s="5"/>
      <c r="T472" s="5"/>
      <c r="AK472" s="5"/>
      <c r="AL472" s="5"/>
      <c r="AM472" s="5"/>
      <c r="AN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</row>
    <row r="473" spans="17:193" ht="12.75">
      <c r="Q473" s="5"/>
      <c r="R473" s="5"/>
      <c r="S473" s="5"/>
      <c r="T473" s="5"/>
      <c r="AK473" s="5"/>
      <c r="AL473" s="5"/>
      <c r="AM473" s="5"/>
      <c r="AN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</row>
    <row r="474" spans="17:193" ht="12.75">
      <c r="Q474" s="5"/>
      <c r="R474" s="5"/>
      <c r="S474" s="5"/>
      <c r="T474" s="5"/>
      <c r="AK474" s="5"/>
      <c r="AL474" s="5"/>
      <c r="AM474" s="5"/>
      <c r="AN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</row>
    <row r="475" spans="17:193" ht="12.75">
      <c r="Q475" s="5"/>
      <c r="R475" s="5"/>
      <c r="S475" s="5"/>
      <c r="T475" s="5"/>
      <c r="AK475" s="5"/>
      <c r="AL475" s="5"/>
      <c r="AM475" s="5"/>
      <c r="AN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</row>
    <row r="476" spans="17:193" ht="12.75">
      <c r="Q476" s="5"/>
      <c r="R476" s="5"/>
      <c r="S476" s="5"/>
      <c r="T476" s="5"/>
      <c r="AK476" s="5"/>
      <c r="AL476" s="5"/>
      <c r="AM476" s="5"/>
      <c r="AN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</row>
    <row r="477" spans="17:193" ht="12.75">
      <c r="Q477" s="5"/>
      <c r="R477" s="5"/>
      <c r="S477" s="5"/>
      <c r="T477" s="5"/>
      <c r="AK477" s="5"/>
      <c r="AL477" s="5"/>
      <c r="AM477" s="5"/>
      <c r="AN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</row>
    <row r="478" spans="17:193" ht="12.75">
      <c r="Q478" s="5"/>
      <c r="R478" s="5"/>
      <c r="S478" s="5"/>
      <c r="T478" s="5"/>
      <c r="AK478" s="5"/>
      <c r="AL478" s="5"/>
      <c r="AM478" s="5"/>
      <c r="AN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</row>
    <row r="479" spans="17:193" ht="12.75">
      <c r="Q479" s="5"/>
      <c r="R479" s="5"/>
      <c r="S479" s="5"/>
      <c r="T479" s="5"/>
      <c r="AK479" s="5"/>
      <c r="AL479" s="5"/>
      <c r="AM479" s="5"/>
      <c r="AN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</row>
    <row r="480" spans="17:193" ht="12.75">
      <c r="Q480" s="5"/>
      <c r="R480" s="5"/>
      <c r="S480" s="5"/>
      <c r="T480" s="5"/>
      <c r="AK480" s="5"/>
      <c r="AL480" s="5"/>
      <c r="AM480" s="5"/>
      <c r="AN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</row>
    <row r="481" spans="17:193" ht="12.75">
      <c r="Q481" s="5"/>
      <c r="R481" s="5"/>
      <c r="S481" s="5"/>
      <c r="T481" s="5"/>
      <c r="AK481" s="5"/>
      <c r="AL481" s="5"/>
      <c r="AM481" s="5"/>
      <c r="AN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</row>
    <row r="482" spans="17:193" ht="12.75">
      <c r="Q482" s="5"/>
      <c r="R482" s="5"/>
      <c r="S482" s="5"/>
      <c r="T482" s="5"/>
      <c r="AK482" s="5"/>
      <c r="AL482" s="5"/>
      <c r="AM482" s="5"/>
      <c r="AN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</row>
    <row r="483" spans="17:193" ht="12.75">
      <c r="Q483" s="5"/>
      <c r="R483" s="5"/>
      <c r="S483" s="5"/>
      <c r="T483" s="5"/>
      <c r="AK483" s="5"/>
      <c r="AL483" s="5"/>
      <c r="AM483" s="5"/>
      <c r="AN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</row>
    <row r="484" spans="17:193" ht="12.75">
      <c r="Q484" s="5"/>
      <c r="R484" s="5"/>
      <c r="S484" s="5"/>
      <c r="T484" s="5"/>
      <c r="AK484" s="5"/>
      <c r="AL484" s="5"/>
      <c r="AM484" s="5"/>
      <c r="AN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</row>
    <row r="485" spans="17:193" ht="12.75">
      <c r="Q485" s="5"/>
      <c r="R485" s="5"/>
      <c r="S485" s="5"/>
      <c r="T485" s="5"/>
      <c r="AK485" s="5"/>
      <c r="AL485" s="5"/>
      <c r="AM485" s="5"/>
      <c r="AN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</row>
    <row r="486" spans="17:193" ht="12.75">
      <c r="Q486" s="5"/>
      <c r="R486" s="5"/>
      <c r="S486" s="5"/>
      <c r="T486" s="5"/>
      <c r="AK486" s="5"/>
      <c r="AL486" s="5"/>
      <c r="AM486" s="5"/>
      <c r="AN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</row>
    <row r="487" spans="17:193" ht="12.75">
      <c r="Q487" s="5"/>
      <c r="R487" s="5"/>
      <c r="S487" s="5"/>
      <c r="T487" s="5"/>
      <c r="AK487" s="5"/>
      <c r="AL487" s="5"/>
      <c r="AM487" s="5"/>
      <c r="AN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</row>
    <row r="488" spans="17:193" ht="12.75">
      <c r="Q488" s="5"/>
      <c r="R488" s="5"/>
      <c r="S488" s="5"/>
      <c r="T488" s="5"/>
      <c r="AK488" s="5"/>
      <c r="AL488" s="5"/>
      <c r="AM488" s="5"/>
      <c r="AN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</row>
    <row r="489" spans="17:193" ht="12.75">
      <c r="Q489" s="5"/>
      <c r="R489" s="5"/>
      <c r="S489" s="5"/>
      <c r="T489" s="5"/>
      <c r="AK489" s="5"/>
      <c r="AL489" s="5"/>
      <c r="AM489" s="5"/>
      <c r="AN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</row>
    <row r="490" spans="17:193" ht="12.75">
      <c r="Q490" s="5"/>
      <c r="R490" s="5"/>
      <c r="S490" s="5"/>
      <c r="T490" s="5"/>
      <c r="AK490" s="5"/>
      <c r="AL490" s="5"/>
      <c r="AM490" s="5"/>
      <c r="AN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</row>
    <row r="491" spans="17:193" ht="12.75">
      <c r="Q491" s="5"/>
      <c r="R491" s="5"/>
      <c r="S491" s="5"/>
      <c r="T491" s="5"/>
      <c r="AK491" s="5"/>
      <c r="AL491" s="5"/>
      <c r="AM491" s="5"/>
      <c r="AN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</row>
    <row r="492" spans="17:193" ht="12.75">
      <c r="Q492" s="5"/>
      <c r="R492" s="5"/>
      <c r="S492" s="5"/>
      <c r="T492" s="5"/>
      <c r="AK492" s="5"/>
      <c r="AL492" s="5"/>
      <c r="AM492" s="5"/>
      <c r="AN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</row>
    <row r="493" spans="17:193" ht="12.75">
      <c r="Q493" s="5"/>
      <c r="R493" s="5"/>
      <c r="S493" s="5"/>
      <c r="T493" s="5"/>
      <c r="AK493" s="5"/>
      <c r="AL493" s="5"/>
      <c r="AM493" s="5"/>
      <c r="AN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</row>
    <row r="494" spans="17:193" ht="12.75">
      <c r="Q494" s="5"/>
      <c r="R494" s="5"/>
      <c r="S494" s="5"/>
      <c r="T494" s="5"/>
      <c r="AK494" s="5"/>
      <c r="AL494" s="5"/>
      <c r="AM494" s="5"/>
      <c r="AN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</row>
    <row r="495" spans="17:193" ht="12.75">
      <c r="Q495" s="5"/>
      <c r="R495" s="5"/>
      <c r="S495" s="5"/>
      <c r="T495" s="5"/>
      <c r="AK495" s="5"/>
      <c r="AL495" s="5"/>
      <c r="AM495" s="5"/>
      <c r="AN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</row>
    <row r="496" spans="17:193" ht="12.75">
      <c r="Q496" s="5"/>
      <c r="R496" s="5"/>
      <c r="S496" s="5"/>
      <c r="T496" s="5"/>
      <c r="AK496" s="5"/>
      <c r="AL496" s="5"/>
      <c r="AM496" s="5"/>
      <c r="AN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</row>
    <row r="497" spans="17:193" ht="12.75">
      <c r="Q497" s="5"/>
      <c r="R497" s="5"/>
      <c r="S497" s="5"/>
      <c r="T497" s="5"/>
      <c r="AK497" s="5"/>
      <c r="AL497" s="5"/>
      <c r="AM497" s="5"/>
      <c r="AN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</row>
    <row r="498" spans="17:193" ht="12.75">
      <c r="Q498" s="5"/>
      <c r="R498" s="5"/>
      <c r="S498" s="5"/>
      <c r="T498" s="5"/>
      <c r="AK498" s="5"/>
      <c r="AL498" s="5"/>
      <c r="AM498" s="5"/>
      <c r="AN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</row>
    <row r="499" spans="17:193" ht="12.75">
      <c r="Q499" s="5"/>
      <c r="R499" s="5"/>
      <c r="S499" s="5"/>
      <c r="T499" s="5"/>
      <c r="AK499" s="5"/>
      <c r="AL499" s="5"/>
      <c r="AM499" s="5"/>
      <c r="AN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</row>
    <row r="500" spans="17:193" ht="12.75">
      <c r="Q500" s="5"/>
      <c r="R500" s="5"/>
      <c r="S500" s="5"/>
      <c r="T500" s="5"/>
      <c r="AK500" s="5"/>
      <c r="AL500" s="5"/>
      <c r="AM500" s="5"/>
      <c r="AN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</row>
    <row r="501" spans="17:193" ht="12.75">
      <c r="Q501" s="5"/>
      <c r="R501" s="5"/>
      <c r="S501" s="5"/>
      <c r="T501" s="5"/>
      <c r="AK501" s="5"/>
      <c r="AL501" s="5"/>
      <c r="AM501" s="5"/>
      <c r="AN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</row>
    <row r="502" spans="17:193" ht="12.75">
      <c r="Q502" s="5"/>
      <c r="R502" s="5"/>
      <c r="S502" s="5"/>
      <c r="T502" s="5"/>
      <c r="AK502" s="5"/>
      <c r="AL502" s="5"/>
      <c r="AM502" s="5"/>
      <c r="AN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</row>
    <row r="503" spans="17:193" ht="12.75">
      <c r="Q503" s="5"/>
      <c r="R503" s="5"/>
      <c r="S503" s="5"/>
      <c r="T503" s="5"/>
      <c r="AK503" s="5"/>
      <c r="AL503" s="5"/>
      <c r="AM503" s="5"/>
      <c r="AN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</row>
    <row r="504" spans="17:193" ht="12.75">
      <c r="Q504" s="5"/>
      <c r="R504" s="5"/>
      <c r="S504" s="5"/>
      <c r="T504" s="5"/>
      <c r="AK504" s="5"/>
      <c r="AL504" s="5"/>
      <c r="AM504" s="5"/>
      <c r="AN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</row>
    <row r="505" spans="17:193" ht="12.75">
      <c r="Q505" s="5"/>
      <c r="R505" s="5"/>
      <c r="S505" s="5"/>
      <c r="T505" s="5"/>
      <c r="AK505" s="5"/>
      <c r="AL505" s="5"/>
      <c r="AM505" s="5"/>
      <c r="AN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</row>
    <row r="506" spans="17:193" ht="12.75">
      <c r="Q506" s="5"/>
      <c r="R506" s="5"/>
      <c r="S506" s="5"/>
      <c r="T506" s="5"/>
      <c r="AK506" s="5"/>
      <c r="AL506" s="5"/>
      <c r="AM506" s="5"/>
      <c r="AN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</row>
    <row r="507" spans="17:193" ht="12.75">
      <c r="Q507" s="5"/>
      <c r="R507" s="5"/>
      <c r="S507" s="5"/>
      <c r="T507" s="5"/>
      <c r="AK507" s="5"/>
      <c r="AL507" s="5"/>
      <c r="AM507" s="5"/>
      <c r="AN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</row>
    <row r="508" spans="17:193" ht="12.75">
      <c r="Q508" s="5"/>
      <c r="R508" s="5"/>
      <c r="S508" s="5"/>
      <c r="T508" s="5"/>
      <c r="AK508" s="5"/>
      <c r="AL508" s="5"/>
      <c r="AM508" s="5"/>
      <c r="AN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</row>
    <row r="509" spans="17:193" ht="12.75">
      <c r="Q509" s="5"/>
      <c r="R509" s="5"/>
      <c r="S509" s="5"/>
      <c r="T509" s="5"/>
      <c r="AK509" s="5"/>
      <c r="AL509" s="5"/>
      <c r="AM509" s="5"/>
      <c r="AN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</row>
    <row r="510" spans="17:193" ht="12.75">
      <c r="Q510" s="5"/>
      <c r="R510" s="5"/>
      <c r="S510" s="5"/>
      <c r="T510" s="5"/>
      <c r="AK510" s="5"/>
      <c r="AL510" s="5"/>
      <c r="AM510" s="5"/>
      <c r="AN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</row>
    <row r="511" spans="17:193" ht="12.75">
      <c r="Q511" s="5"/>
      <c r="R511" s="5"/>
      <c r="S511" s="5"/>
      <c r="T511" s="5"/>
      <c r="AK511" s="5"/>
      <c r="AL511" s="5"/>
      <c r="AM511" s="5"/>
      <c r="AN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</row>
    <row r="512" spans="17:193" ht="12.75">
      <c r="Q512" s="5"/>
      <c r="R512" s="5"/>
      <c r="S512" s="5"/>
      <c r="T512" s="5"/>
      <c r="AK512" s="5"/>
      <c r="AL512" s="5"/>
      <c r="AM512" s="5"/>
      <c r="AN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</row>
    <row r="513" spans="17:193" ht="12.75">
      <c r="Q513" s="5"/>
      <c r="R513" s="5"/>
      <c r="S513" s="5"/>
      <c r="T513" s="5"/>
      <c r="AK513" s="5"/>
      <c r="AL513" s="5"/>
      <c r="AM513" s="5"/>
      <c r="AN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</row>
    <row r="514" spans="17:193" ht="12.75">
      <c r="Q514" s="5"/>
      <c r="R514" s="5"/>
      <c r="S514" s="5"/>
      <c r="T514" s="5"/>
      <c r="AK514" s="5"/>
      <c r="AL514" s="5"/>
      <c r="AM514" s="5"/>
      <c r="AN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</row>
    <row r="515" spans="17:193" ht="12.75">
      <c r="Q515" s="5"/>
      <c r="R515" s="5"/>
      <c r="S515" s="5"/>
      <c r="T515" s="5"/>
      <c r="AK515" s="5"/>
      <c r="AL515" s="5"/>
      <c r="AM515" s="5"/>
      <c r="AN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</row>
    <row r="516" spans="17:193" ht="12.75">
      <c r="Q516" s="5"/>
      <c r="R516" s="5"/>
      <c r="S516" s="5"/>
      <c r="T516" s="5"/>
      <c r="AK516" s="5"/>
      <c r="AL516" s="5"/>
      <c r="AM516" s="5"/>
      <c r="AN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</row>
    <row r="517" spans="17:193" ht="12.75">
      <c r="Q517" s="5"/>
      <c r="R517" s="5"/>
      <c r="S517" s="5"/>
      <c r="T517" s="5"/>
      <c r="AK517" s="5"/>
      <c r="AL517" s="5"/>
      <c r="AM517" s="5"/>
      <c r="AN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</row>
    <row r="518" spans="17:193" ht="12.75">
      <c r="Q518" s="5"/>
      <c r="R518" s="5"/>
      <c r="S518" s="5"/>
      <c r="T518" s="5"/>
      <c r="AK518" s="5"/>
      <c r="AL518" s="5"/>
      <c r="AM518" s="5"/>
      <c r="AN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</row>
    <row r="519" spans="17:193" ht="12.75">
      <c r="Q519" s="5"/>
      <c r="R519" s="5"/>
      <c r="S519" s="5"/>
      <c r="T519" s="5"/>
      <c r="AK519" s="5"/>
      <c r="AL519" s="5"/>
      <c r="AM519" s="5"/>
      <c r="AN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</row>
    <row r="520" spans="17:193" ht="12.75">
      <c r="Q520" s="5"/>
      <c r="R520" s="5"/>
      <c r="S520" s="5"/>
      <c r="T520" s="5"/>
      <c r="AK520" s="5"/>
      <c r="AL520" s="5"/>
      <c r="AM520" s="5"/>
      <c r="AN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</row>
    <row r="521" spans="17:193" ht="12.75">
      <c r="Q521" s="5"/>
      <c r="R521" s="5"/>
      <c r="S521" s="5"/>
      <c r="T521" s="5"/>
      <c r="AK521" s="5"/>
      <c r="AL521" s="5"/>
      <c r="AM521" s="5"/>
      <c r="AN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</row>
    <row r="522" spans="17:193" ht="12.75">
      <c r="Q522" s="5"/>
      <c r="R522" s="5"/>
      <c r="S522" s="5"/>
      <c r="T522" s="5"/>
      <c r="AK522" s="5"/>
      <c r="AL522" s="5"/>
      <c r="AM522" s="5"/>
      <c r="AN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</row>
    <row r="523" spans="17:193" ht="12.75">
      <c r="Q523" s="5"/>
      <c r="R523" s="5"/>
      <c r="S523" s="5"/>
      <c r="T523" s="5"/>
      <c r="AK523" s="5"/>
      <c r="AL523" s="5"/>
      <c r="AM523" s="5"/>
      <c r="AN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</row>
    <row r="524" spans="17:193" ht="12.75">
      <c r="Q524" s="5"/>
      <c r="R524" s="5"/>
      <c r="S524" s="5"/>
      <c r="T524" s="5"/>
      <c r="AK524" s="5"/>
      <c r="AL524" s="5"/>
      <c r="AM524" s="5"/>
      <c r="AN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</row>
    <row r="525" spans="17:193" ht="12.75">
      <c r="Q525" s="5"/>
      <c r="R525" s="5"/>
      <c r="S525" s="5"/>
      <c r="T525" s="5"/>
      <c r="AK525" s="5"/>
      <c r="AL525" s="5"/>
      <c r="AM525" s="5"/>
      <c r="AN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</row>
    <row r="526" spans="17:193" ht="12.75">
      <c r="Q526" s="5"/>
      <c r="R526" s="5"/>
      <c r="S526" s="5"/>
      <c r="T526" s="5"/>
      <c r="AK526" s="5"/>
      <c r="AL526" s="5"/>
      <c r="AM526" s="5"/>
      <c r="AN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</row>
    <row r="527" spans="17:193" ht="12.75">
      <c r="Q527" s="5"/>
      <c r="R527" s="5"/>
      <c r="S527" s="5"/>
      <c r="T527" s="5"/>
      <c r="AK527" s="5"/>
      <c r="AL527" s="5"/>
      <c r="AM527" s="5"/>
      <c r="AN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</row>
    <row r="528" spans="17:193" ht="12.75">
      <c r="Q528" s="5"/>
      <c r="R528" s="5"/>
      <c r="S528" s="5"/>
      <c r="T528" s="5"/>
      <c r="AK528" s="5"/>
      <c r="AL528" s="5"/>
      <c r="AM528" s="5"/>
      <c r="AN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</row>
    <row r="529" spans="17:193" ht="12.75">
      <c r="Q529" s="5"/>
      <c r="R529" s="5"/>
      <c r="S529" s="5"/>
      <c r="T529" s="5"/>
      <c r="AK529" s="5"/>
      <c r="AL529" s="5"/>
      <c r="AM529" s="5"/>
      <c r="AN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</row>
    <row r="530" spans="17:193" ht="12.75">
      <c r="Q530" s="5"/>
      <c r="R530" s="5"/>
      <c r="S530" s="5"/>
      <c r="T530" s="5"/>
      <c r="AK530" s="5"/>
      <c r="AL530" s="5"/>
      <c r="AM530" s="5"/>
      <c r="AN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</row>
    <row r="531" spans="17:193" ht="12.75">
      <c r="Q531" s="5"/>
      <c r="R531" s="5"/>
      <c r="S531" s="5"/>
      <c r="T531" s="5"/>
      <c r="AK531" s="5"/>
      <c r="AL531" s="5"/>
      <c r="AM531" s="5"/>
      <c r="AN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</row>
    <row r="532" spans="17:193" ht="12.75">
      <c r="Q532" s="5"/>
      <c r="R532" s="5"/>
      <c r="S532" s="5"/>
      <c r="T532" s="5"/>
      <c r="AK532" s="5"/>
      <c r="AL532" s="5"/>
      <c r="AM532" s="5"/>
      <c r="AN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</row>
    <row r="533" spans="17:193" ht="12.75">
      <c r="Q533" s="5"/>
      <c r="R533" s="5"/>
      <c r="S533" s="5"/>
      <c r="T533" s="5"/>
      <c r="AK533" s="5"/>
      <c r="AL533" s="5"/>
      <c r="AM533" s="5"/>
      <c r="AN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</row>
    <row r="534" spans="17:193" ht="12.75">
      <c r="Q534" s="5"/>
      <c r="R534" s="5"/>
      <c r="S534" s="5"/>
      <c r="T534" s="5"/>
      <c r="AK534" s="5"/>
      <c r="AL534" s="5"/>
      <c r="AM534" s="5"/>
      <c r="AN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</row>
    <row r="535" spans="17:193" ht="12.75">
      <c r="Q535" s="5"/>
      <c r="R535" s="5"/>
      <c r="S535" s="5"/>
      <c r="T535" s="5"/>
      <c r="AK535" s="5"/>
      <c r="AL535" s="5"/>
      <c r="AM535" s="5"/>
      <c r="AN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</row>
    <row r="536" spans="17:193" ht="12.75">
      <c r="Q536" s="5"/>
      <c r="R536" s="5"/>
      <c r="S536" s="5"/>
      <c r="T536" s="5"/>
      <c r="AK536" s="5"/>
      <c r="AL536" s="5"/>
      <c r="AM536" s="5"/>
      <c r="AN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</row>
    <row r="537" spans="17:193" ht="12.75">
      <c r="Q537" s="5"/>
      <c r="R537" s="5"/>
      <c r="S537" s="5"/>
      <c r="T537" s="5"/>
      <c r="AK537" s="5"/>
      <c r="AL537" s="5"/>
      <c r="AM537" s="5"/>
      <c r="AN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</row>
    <row r="538" spans="17:193" ht="12.75">
      <c r="Q538" s="5"/>
      <c r="R538" s="5"/>
      <c r="S538" s="5"/>
      <c r="T538" s="5"/>
      <c r="AK538" s="5"/>
      <c r="AL538" s="5"/>
      <c r="AM538" s="5"/>
      <c r="AN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</row>
    <row r="539" spans="17:193" ht="12.75">
      <c r="Q539" s="5"/>
      <c r="R539" s="5"/>
      <c r="S539" s="5"/>
      <c r="T539" s="5"/>
      <c r="AK539" s="5"/>
      <c r="AL539" s="5"/>
      <c r="AM539" s="5"/>
      <c r="AN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</row>
    <row r="540" spans="17:193" ht="12.75">
      <c r="Q540" s="5"/>
      <c r="R540" s="5"/>
      <c r="S540" s="5"/>
      <c r="T540" s="5"/>
      <c r="AK540" s="5"/>
      <c r="AL540" s="5"/>
      <c r="AM540" s="5"/>
      <c r="AN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</row>
    <row r="541" spans="17:193" ht="12.75">
      <c r="Q541" s="5"/>
      <c r="R541" s="5"/>
      <c r="S541" s="5"/>
      <c r="T541" s="5"/>
      <c r="AK541" s="5"/>
      <c r="AL541" s="5"/>
      <c r="AM541" s="5"/>
      <c r="AN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</row>
    <row r="542" spans="17:193" ht="12.75">
      <c r="Q542" s="5"/>
      <c r="R542" s="5"/>
      <c r="S542" s="5"/>
      <c r="T542" s="5"/>
      <c r="AK542" s="5"/>
      <c r="AL542" s="5"/>
      <c r="AM542" s="5"/>
      <c r="AN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</row>
    <row r="543" spans="17:193" ht="12.75">
      <c r="Q543" s="5"/>
      <c r="R543" s="5"/>
      <c r="S543" s="5"/>
      <c r="T543" s="5"/>
      <c r="AK543" s="5"/>
      <c r="AL543" s="5"/>
      <c r="AM543" s="5"/>
      <c r="AN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</row>
    <row r="544" spans="17:193" ht="12.75">
      <c r="Q544" s="5"/>
      <c r="R544" s="5"/>
      <c r="S544" s="5"/>
      <c r="T544" s="5"/>
      <c r="AK544" s="5"/>
      <c r="AL544" s="5"/>
      <c r="AM544" s="5"/>
      <c r="AN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</row>
    <row r="545" spans="17:193" ht="12.75">
      <c r="Q545" s="5"/>
      <c r="R545" s="5"/>
      <c r="S545" s="5"/>
      <c r="T545" s="5"/>
      <c r="AK545" s="5"/>
      <c r="AL545" s="5"/>
      <c r="AM545" s="5"/>
      <c r="AN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</row>
    <row r="546" spans="17:193" ht="12.75">
      <c r="Q546" s="5"/>
      <c r="R546" s="5"/>
      <c r="S546" s="5"/>
      <c r="T546" s="5"/>
      <c r="AK546" s="5"/>
      <c r="AL546" s="5"/>
      <c r="AM546" s="5"/>
      <c r="AN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</row>
    <row r="547" spans="17:193" ht="12.75">
      <c r="Q547" s="5"/>
      <c r="R547" s="5"/>
      <c r="S547" s="5"/>
      <c r="T547" s="5"/>
      <c r="AK547" s="5"/>
      <c r="AL547" s="5"/>
      <c r="AM547" s="5"/>
      <c r="AN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</row>
    <row r="548" spans="17:193" ht="12.75">
      <c r="Q548" s="5"/>
      <c r="R548" s="5"/>
      <c r="S548" s="5"/>
      <c r="T548" s="5"/>
      <c r="AK548" s="5"/>
      <c r="AL548" s="5"/>
      <c r="AM548" s="5"/>
      <c r="AN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</row>
    <row r="549" spans="17:193" ht="12.75">
      <c r="Q549" s="5"/>
      <c r="R549" s="5"/>
      <c r="S549" s="5"/>
      <c r="T549" s="5"/>
      <c r="AK549" s="5"/>
      <c r="AL549" s="5"/>
      <c r="AM549" s="5"/>
      <c r="AN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</row>
    <row r="550" spans="17:193" ht="12.75">
      <c r="Q550" s="5"/>
      <c r="R550" s="5"/>
      <c r="S550" s="5"/>
      <c r="T550" s="5"/>
      <c r="AK550" s="5"/>
      <c r="AL550" s="5"/>
      <c r="AM550" s="5"/>
      <c r="AN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</row>
    <row r="551" spans="17:193" ht="12.75">
      <c r="Q551" s="5"/>
      <c r="R551" s="5"/>
      <c r="S551" s="5"/>
      <c r="T551" s="5"/>
      <c r="AK551" s="5"/>
      <c r="AL551" s="5"/>
      <c r="AM551" s="5"/>
      <c r="AN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</row>
    <row r="552" spans="17:193" ht="12.75">
      <c r="Q552" s="5"/>
      <c r="R552" s="5"/>
      <c r="S552" s="5"/>
      <c r="T552" s="5"/>
      <c r="AK552" s="5"/>
      <c r="AL552" s="5"/>
      <c r="AM552" s="5"/>
      <c r="AN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</row>
    <row r="553" spans="17:193" ht="12.75">
      <c r="Q553" s="5"/>
      <c r="R553" s="5"/>
      <c r="S553" s="5"/>
      <c r="T553" s="5"/>
      <c r="AK553" s="5"/>
      <c r="AL553" s="5"/>
      <c r="AM553" s="5"/>
      <c r="AN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</row>
    <row r="554" spans="17:193" ht="12.75">
      <c r="Q554" s="5"/>
      <c r="R554" s="5"/>
      <c r="S554" s="5"/>
      <c r="T554" s="5"/>
      <c r="AK554" s="5"/>
      <c r="AL554" s="5"/>
      <c r="AM554" s="5"/>
      <c r="AN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</row>
    <row r="555" spans="17:193" ht="12.75">
      <c r="Q555" s="5"/>
      <c r="R555" s="5"/>
      <c r="S555" s="5"/>
      <c r="T555" s="5"/>
      <c r="AK555" s="5"/>
      <c r="AL555" s="5"/>
      <c r="AM555" s="5"/>
      <c r="AN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</row>
    <row r="556" spans="17:193" ht="12.75">
      <c r="Q556" s="5"/>
      <c r="R556" s="5"/>
      <c r="S556" s="5"/>
      <c r="T556" s="5"/>
      <c r="AK556" s="5"/>
      <c r="AL556" s="5"/>
      <c r="AM556" s="5"/>
      <c r="AN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</row>
    <row r="557" spans="17:193" ht="12.75">
      <c r="Q557" s="5"/>
      <c r="R557" s="5"/>
      <c r="S557" s="5"/>
      <c r="T557" s="5"/>
      <c r="AK557" s="5"/>
      <c r="AL557" s="5"/>
      <c r="AM557" s="5"/>
      <c r="AN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</row>
    <row r="558" spans="17:193" ht="12.75">
      <c r="Q558" s="5"/>
      <c r="R558" s="5"/>
      <c r="S558" s="5"/>
      <c r="T558" s="5"/>
      <c r="AK558" s="5"/>
      <c r="AL558" s="5"/>
      <c r="AM558" s="5"/>
      <c r="AN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</row>
    <row r="559" spans="17:193" ht="12.75">
      <c r="Q559" s="5"/>
      <c r="R559" s="5"/>
      <c r="S559" s="5"/>
      <c r="T559" s="5"/>
      <c r="AK559" s="5"/>
      <c r="AL559" s="5"/>
      <c r="AM559" s="5"/>
      <c r="AN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</row>
    <row r="560" spans="17:193" ht="12.75">
      <c r="Q560" s="5"/>
      <c r="R560" s="5"/>
      <c r="S560" s="5"/>
      <c r="T560" s="5"/>
      <c r="AK560" s="5"/>
      <c r="AL560" s="5"/>
      <c r="AM560" s="5"/>
      <c r="AN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</row>
    <row r="561" spans="17:193" ht="12.75">
      <c r="Q561" s="5"/>
      <c r="R561" s="5"/>
      <c r="S561" s="5"/>
      <c r="T561" s="5"/>
      <c r="AK561" s="5"/>
      <c r="AL561" s="5"/>
      <c r="AM561" s="5"/>
      <c r="AN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</row>
    <row r="562" spans="17:193" ht="12.75">
      <c r="Q562" s="5"/>
      <c r="R562" s="5"/>
      <c r="S562" s="5"/>
      <c r="T562" s="5"/>
      <c r="AK562" s="5"/>
      <c r="AL562" s="5"/>
      <c r="AM562" s="5"/>
      <c r="AN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</row>
    <row r="563" spans="17:193" ht="12.75">
      <c r="Q563" s="5"/>
      <c r="R563" s="5"/>
      <c r="S563" s="5"/>
      <c r="T563" s="5"/>
      <c r="AK563" s="5"/>
      <c r="AL563" s="5"/>
      <c r="AM563" s="5"/>
      <c r="AN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Z73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4" sqref="H14"/>
    </sheetView>
  </sheetViews>
  <sheetFormatPr defaultColWidth="8.8515625" defaultRowHeight="12.75"/>
  <cols>
    <col min="1" max="1" width="9.7109375" style="40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2.7109375" style="5" customWidth="1"/>
    <col min="132" max="132" width="3.7109375" style="5" customWidth="1"/>
    <col min="133" max="136" width="13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0" customWidth="1"/>
    <col min="147" max="147" width="3.7109375" style="0" customWidth="1"/>
    <col min="148" max="150" width="13.7109375" style="0" customWidth="1"/>
    <col min="151" max="151" width="13.140625" style="0" customWidth="1"/>
  </cols>
  <sheetData>
    <row r="1" spans="1:148" ht="12.75">
      <c r="A1" s="1"/>
      <c r="B1" s="2"/>
      <c r="C1" s="4"/>
      <c r="D1" s="4"/>
      <c r="H1" s="4" t="s">
        <v>137</v>
      </c>
      <c r="R1" s="4"/>
      <c r="W1" s="4" t="s">
        <v>0</v>
      </c>
      <c r="AQ1" s="4" t="s">
        <v>0</v>
      </c>
      <c r="BU1" s="4" t="s">
        <v>0</v>
      </c>
      <c r="CE1" s="4"/>
      <c r="CT1" s="4" t="s">
        <v>0</v>
      </c>
      <c r="DI1" s="4" t="s">
        <v>0</v>
      </c>
      <c r="EC1" s="4" t="s">
        <v>0</v>
      </c>
      <c r="EM1" s="4"/>
      <c r="ER1" s="4"/>
    </row>
    <row r="2" spans="1:148" ht="12.75">
      <c r="A2" s="1"/>
      <c r="B2" s="2"/>
      <c r="C2" s="4"/>
      <c r="D2" s="4"/>
      <c r="H2" s="4" t="s">
        <v>136</v>
      </c>
      <c r="R2" s="4"/>
      <c r="W2" s="4" t="s">
        <v>1</v>
      </c>
      <c r="AQ2" s="4" t="s">
        <v>1</v>
      </c>
      <c r="BU2" s="4" t="s">
        <v>1</v>
      </c>
      <c r="CE2" s="4"/>
      <c r="CT2" s="4" t="s">
        <v>1</v>
      </c>
      <c r="DI2" s="4" t="s">
        <v>1</v>
      </c>
      <c r="EC2" s="4" t="s">
        <v>1</v>
      </c>
      <c r="EM2" s="4"/>
      <c r="ER2" s="4"/>
    </row>
    <row r="3" spans="1:148" ht="12.75">
      <c r="A3" s="1"/>
      <c r="B3" s="2"/>
      <c r="C3" s="7"/>
      <c r="D3" s="7"/>
      <c r="H3" s="4" t="s">
        <v>135</v>
      </c>
      <c r="R3" s="4"/>
      <c r="W3" s="4" t="s">
        <v>2</v>
      </c>
      <c r="AQ3" s="4" t="s">
        <v>2</v>
      </c>
      <c r="BU3" s="4" t="s">
        <v>2</v>
      </c>
      <c r="CE3" s="4"/>
      <c r="CT3" s="4" t="s">
        <v>2</v>
      </c>
      <c r="DI3" s="4" t="s">
        <v>2</v>
      </c>
      <c r="EC3" s="4" t="s">
        <v>2</v>
      </c>
      <c r="EM3" s="4"/>
      <c r="ER3" s="4"/>
    </row>
    <row r="4" spans="1:4" ht="12.75">
      <c r="A4" s="1"/>
      <c r="B4" s="2"/>
      <c r="C4" s="4"/>
      <c r="D4" s="4"/>
    </row>
    <row r="5" spans="1:151" ht="12.75">
      <c r="A5" s="9" t="s">
        <v>3</v>
      </c>
      <c r="C5" s="10" t="s">
        <v>156</v>
      </c>
      <c r="D5" s="11"/>
      <c r="E5" s="12"/>
      <c r="F5" s="12"/>
      <c r="H5" s="13" t="s">
        <v>134</v>
      </c>
      <c r="I5" s="16"/>
      <c r="J5" s="15"/>
      <c r="K5" s="12"/>
      <c r="M5" s="43" t="s">
        <v>33</v>
      </c>
      <c r="N5" s="14"/>
      <c r="O5" s="15"/>
      <c r="P5" s="12"/>
      <c r="R5" s="43" t="s">
        <v>34</v>
      </c>
      <c r="S5" s="14"/>
      <c r="T5" s="15"/>
      <c r="U5" s="12"/>
      <c r="W5" s="43" t="s">
        <v>35</v>
      </c>
      <c r="X5" s="14"/>
      <c r="Y5" s="15"/>
      <c r="Z5" s="12"/>
      <c r="AB5" s="79" t="s">
        <v>159</v>
      </c>
      <c r="AC5" s="14"/>
      <c r="AD5" s="15"/>
      <c r="AE5" s="80"/>
      <c r="AG5" s="43" t="s">
        <v>36</v>
      </c>
      <c r="AH5" s="14"/>
      <c r="AI5" s="15"/>
      <c r="AJ5" s="12"/>
      <c r="AL5" s="43" t="s">
        <v>37</v>
      </c>
      <c r="AM5" s="14"/>
      <c r="AN5" s="15"/>
      <c r="AO5" s="12"/>
      <c r="AQ5" s="43" t="s">
        <v>38</v>
      </c>
      <c r="AR5" s="14"/>
      <c r="AS5" s="15"/>
      <c r="AT5" s="12"/>
      <c r="AV5" s="43" t="s">
        <v>138</v>
      </c>
      <c r="AW5" s="14"/>
      <c r="AX5" s="15"/>
      <c r="AY5" s="12"/>
      <c r="BA5" s="43" t="s">
        <v>39</v>
      </c>
      <c r="BB5" s="14"/>
      <c r="BC5" s="15"/>
      <c r="BD5" s="12"/>
      <c r="BF5" s="43" t="s">
        <v>140</v>
      </c>
      <c r="BG5" s="14"/>
      <c r="BH5" s="15"/>
      <c r="BI5" s="12"/>
      <c r="BK5" s="13" t="s">
        <v>40</v>
      </c>
      <c r="BL5" s="14"/>
      <c r="BM5" s="15"/>
      <c r="BN5" s="12"/>
      <c r="BP5" s="79" t="s">
        <v>160</v>
      </c>
      <c r="BQ5" s="14"/>
      <c r="BR5" s="15"/>
      <c r="BS5" s="80"/>
      <c r="BU5" s="13" t="s">
        <v>141</v>
      </c>
      <c r="BV5" s="14"/>
      <c r="BW5" s="15"/>
      <c r="BX5" s="12"/>
      <c r="BZ5" s="13" t="s">
        <v>142</v>
      </c>
      <c r="CA5" s="14"/>
      <c r="CB5" s="15"/>
      <c r="CC5" s="12"/>
      <c r="CE5" s="43" t="s">
        <v>41</v>
      </c>
      <c r="CF5" s="14"/>
      <c r="CG5" s="15"/>
      <c r="CH5" s="12"/>
      <c r="CJ5" s="13" t="s">
        <v>42</v>
      </c>
      <c r="CK5" s="16"/>
      <c r="CL5" s="15"/>
      <c r="CM5" s="12"/>
      <c r="CO5" s="13" t="s">
        <v>143</v>
      </c>
      <c r="CP5" s="16"/>
      <c r="CQ5" s="15"/>
      <c r="CR5" s="12"/>
      <c r="CT5" s="43" t="s">
        <v>43</v>
      </c>
      <c r="CU5" s="16"/>
      <c r="CV5" s="15"/>
      <c r="CW5" s="12"/>
      <c r="CY5" s="43" t="s">
        <v>44</v>
      </c>
      <c r="CZ5" s="16"/>
      <c r="DA5" s="15"/>
      <c r="DB5" s="12"/>
      <c r="DD5" s="43" t="s">
        <v>45</v>
      </c>
      <c r="DE5" s="16"/>
      <c r="DF5" s="15"/>
      <c r="DG5" s="12"/>
      <c r="DH5" s="46"/>
      <c r="DI5" s="43" t="s">
        <v>46</v>
      </c>
      <c r="DJ5" s="16"/>
      <c r="DK5" s="15"/>
      <c r="DL5" s="12"/>
      <c r="DM5" s="47"/>
      <c r="DN5" s="43" t="s">
        <v>47</v>
      </c>
      <c r="DO5" s="16"/>
      <c r="DP5" s="15"/>
      <c r="DQ5" s="12"/>
      <c r="DR5" s="47"/>
      <c r="DS5" s="43" t="s">
        <v>144</v>
      </c>
      <c r="DT5" s="16"/>
      <c r="DU5" s="15"/>
      <c r="DV5" s="12"/>
      <c r="DW5" s="47"/>
      <c r="DX5" s="13" t="s">
        <v>48</v>
      </c>
      <c r="DY5" s="16"/>
      <c r="DZ5" s="15"/>
      <c r="EA5" s="12"/>
      <c r="EB5" s="47"/>
      <c r="EC5" s="13" t="s">
        <v>49</v>
      </c>
      <c r="ED5" s="16"/>
      <c r="EE5" s="15"/>
      <c r="EF5" s="12"/>
      <c r="EG5" s="47"/>
      <c r="EH5" s="13" t="s">
        <v>145</v>
      </c>
      <c r="EI5" s="16"/>
      <c r="EJ5" s="15"/>
      <c r="EK5" s="12"/>
      <c r="EL5" s="47"/>
      <c r="EM5" s="13" t="s">
        <v>50</v>
      </c>
      <c r="EN5" s="16"/>
      <c r="EO5" s="15"/>
      <c r="EP5" s="12"/>
      <c r="ER5" s="13" t="s">
        <v>146</v>
      </c>
      <c r="ES5" s="16"/>
      <c r="ET5" s="15"/>
      <c r="EU5" s="12"/>
    </row>
    <row r="6" spans="1:156" ht="12.75">
      <c r="A6" s="22" t="s">
        <v>28</v>
      </c>
      <c r="B6" s="8"/>
      <c r="C6" s="44"/>
      <c r="D6" s="45" t="s">
        <v>32</v>
      </c>
      <c r="E6" s="15"/>
      <c r="F6" s="78" t="s">
        <v>157</v>
      </c>
      <c r="H6" s="23"/>
      <c r="I6" s="24">
        <f>N6+S6+AC6+AH6+AW6+BB6+BL6+BV6+CK6+DE6+DY6+ED6+X6+AM6+AR6+CU6+CZ6+DJ6+DO6+EN6</f>
        <v>0.14414290000000002</v>
      </c>
      <c r="J6" s="25">
        <f>O6+T6+Y6+AD6+AI6+AX6+BC6+BH6+BM6+BW6+CL6+CQ6+DF6+DZ6+EE6+AN6+AS6+CB6+CV6+DA6+DK6+DP6+EO6+CG6+DU6+EJ6+ET6</f>
        <v>0.14317110300000002</v>
      </c>
      <c r="K6" s="78" t="s">
        <v>157</v>
      </c>
      <c r="M6" s="48"/>
      <c r="N6" s="8">
        <v>0.022072</v>
      </c>
      <c r="O6" s="25">
        <v>0.0331161</v>
      </c>
      <c r="P6" s="78" t="s">
        <v>157</v>
      </c>
      <c r="R6" s="48"/>
      <c r="S6" s="8">
        <v>0.003547</v>
      </c>
      <c r="T6" s="25">
        <v>0.0035188</v>
      </c>
      <c r="U6" s="78" t="s">
        <v>157</v>
      </c>
      <c r="W6" s="48"/>
      <c r="X6" s="8">
        <v>0.0003287</v>
      </c>
      <c r="Y6" s="25">
        <v>0.0012052</v>
      </c>
      <c r="Z6" s="78" t="s">
        <v>157</v>
      </c>
      <c r="AB6" s="48"/>
      <c r="AC6" s="8"/>
      <c r="AD6" s="25">
        <v>0.000692303</v>
      </c>
      <c r="AE6" s="78" t="s">
        <v>157</v>
      </c>
      <c r="AG6" s="48"/>
      <c r="AH6" s="8">
        <v>0.000666</v>
      </c>
      <c r="AI6" s="25">
        <v>0.0053396</v>
      </c>
      <c r="AJ6" s="78" t="s">
        <v>157</v>
      </c>
      <c r="AL6" s="48"/>
      <c r="AM6" s="8">
        <v>0.0555271</v>
      </c>
      <c r="AN6" s="25">
        <v>0.0326129</v>
      </c>
      <c r="AO6" s="78" t="s">
        <v>157</v>
      </c>
      <c r="AQ6" s="48"/>
      <c r="AR6" s="8">
        <v>0.0005499</v>
      </c>
      <c r="AS6" s="25">
        <v>0.0015564</v>
      </c>
      <c r="AT6" s="78" t="s">
        <v>157</v>
      </c>
      <c r="AV6" s="48"/>
      <c r="AW6" s="8">
        <v>0</v>
      </c>
      <c r="AX6" s="25">
        <v>0.0025266</v>
      </c>
      <c r="AY6" s="78" t="s">
        <v>157</v>
      </c>
      <c r="BA6" s="48"/>
      <c r="BB6" s="8">
        <v>0.0034184</v>
      </c>
      <c r="BC6" s="25">
        <v>0.0062159</v>
      </c>
      <c r="BD6" s="78" t="s">
        <v>157</v>
      </c>
      <c r="BF6" s="48"/>
      <c r="BG6" s="8">
        <v>0</v>
      </c>
      <c r="BH6" s="25">
        <v>0.0002986</v>
      </c>
      <c r="BI6" s="78" t="s">
        <v>157</v>
      </c>
      <c r="BK6" s="48"/>
      <c r="BL6" s="8">
        <v>0.0005986</v>
      </c>
      <c r="BM6" s="25">
        <v>0.0031881</v>
      </c>
      <c r="BN6" s="78" t="s">
        <v>157</v>
      </c>
      <c r="BP6" s="48"/>
      <c r="BQ6" s="8"/>
      <c r="BR6" s="25">
        <v>0.00014179700000000004</v>
      </c>
      <c r="BS6" s="78" t="s">
        <v>157</v>
      </c>
      <c r="BU6" s="48"/>
      <c r="BV6" s="8">
        <v>0.0002762</v>
      </c>
      <c r="BW6" s="25">
        <v>9.51E-05</v>
      </c>
      <c r="BX6" s="78" t="s">
        <v>157</v>
      </c>
      <c r="BZ6" s="48"/>
      <c r="CA6" s="8">
        <v>0</v>
      </c>
      <c r="CB6" s="25">
        <v>0.0001589</v>
      </c>
      <c r="CC6" s="78" t="s">
        <v>157</v>
      </c>
      <c r="CE6" s="48"/>
      <c r="CF6" s="8">
        <v>0</v>
      </c>
      <c r="CG6" s="25">
        <v>0.0030315</v>
      </c>
      <c r="CH6" s="78" t="s">
        <v>157</v>
      </c>
      <c r="CJ6" s="48"/>
      <c r="CK6" s="24">
        <v>0.0001864</v>
      </c>
      <c r="CL6" s="25">
        <v>0.0024469</v>
      </c>
      <c r="CM6" s="78" t="s">
        <v>157</v>
      </c>
      <c r="CO6" s="48"/>
      <c r="CP6" s="24">
        <v>0</v>
      </c>
      <c r="CQ6" s="25">
        <v>0.0004437</v>
      </c>
      <c r="CR6" s="78" t="s">
        <v>157</v>
      </c>
      <c r="CT6" s="48"/>
      <c r="CU6" s="24">
        <v>0.000159</v>
      </c>
      <c r="CV6" s="25">
        <v>0.0001785</v>
      </c>
      <c r="CW6" s="78" t="s">
        <v>157</v>
      </c>
      <c r="CY6" s="48"/>
      <c r="CZ6" s="24">
        <v>0.0010773</v>
      </c>
      <c r="DA6" s="25">
        <v>0.0014359</v>
      </c>
      <c r="DB6" s="78" t="s">
        <v>157</v>
      </c>
      <c r="DD6" s="48"/>
      <c r="DE6" s="24">
        <v>0.021679</v>
      </c>
      <c r="DF6" s="25">
        <v>0.0182286</v>
      </c>
      <c r="DG6" s="78" t="s">
        <v>157</v>
      </c>
      <c r="DH6" s="46"/>
      <c r="DI6" s="48"/>
      <c r="DJ6" s="24">
        <v>0.0009203</v>
      </c>
      <c r="DK6" s="25">
        <v>0.0015272</v>
      </c>
      <c r="DL6" s="78" t="s">
        <v>157</v>
      </c>
      <c r="DM6" s="47"/>
      <c r="DN6" s="48"/>
      <c r="DO6" s="24">
        <v>0.0015257</v>
      </c>
      <c r="DP6" s="25">
        <v>0.0005991</v>
      </c>
      <c r="DQ6" s="78" t="s">
        <v>157</v>
      </c>
      <c r="DR6" s="47"/>
      <c r="DS6" s="48"/>
      <c r="DT6" s="24">
        <v>0</v>
      </c>
      <c r="DU6" s="25">
        <v>0.0004914</v>
      </c>
      <c r="DV6" s="78" t="s">
        <v>157</v>
      </c>
      <c r="DW6" s="47"/>
      <c r="DX6" s="48"/>
      <c r="DY6" s="24">
        <v>0.0012825</v>
      </c>
      <c r="DZ6" s="25">
        <v>0.0044851</v>
      </c>
      <c r="EA6" s="78" t="s">
        <v>157</v>
      </c>
      <c r="EB6" s="47"/>
      <c r="EC6" s="48"/>
      <c r="ED6" s="24">
        <v>0.0268066</v>
      </c>
      <c r="EE6" s="25">
        <v>0.0129373</v>
      </c>
      <c r="EF6" s="78" t="s">
        <v>157</v>
      </c>
      <c r="EG6" s="37"/>
      <c r="EH6" s="48"/>
      <c r="EI6" s="24">
        <v>0</v>
      </c>
      <c r="EJ6" s="25">
        <v>0.0001326</v>
      </c>
      <c r="EK6" s="78" t="s">
        <v>157</v>
      </c>
      <c r="EL6" s="37"/>
      <c r="EM6" s="48"/>
      <c r="EN6" s="24">
        <v>0.0035222</v>
      </c>
      <c r="EO6" s="25">
        <v>0.0062666</v>
      </c>
      <c r="EP6" s="78" t="s">
        <v>157</v>
      </c>
      <c r="EQ6" s="8"/>
      <c r="ER6" s="48"/>
      <c r="ES6" s="24">
        <v>0</v>
      </c>
      <c r="ET6" s="25">
        <v>0.0004422</v>
      </c>
      <c r="EU6" s="78" t="s">
        <v>157</v>
      </c>
      <c r="EV6" s="8"/>
      <c r="EW6" s="8"/>
      <c r="EX6" s="8"/>
      <c r="EY6" s="8"/>
      <c r="EZ6" s="8"/>
    </row>
    <row r="7" spans="1:151" ht="12.75">
      <c r="A7" s="31"/>
      <c r="C7" s="32" t="s">
        <v>29</v>
      </c>
      <c r="D7" s="32" t="s">
        <v>30</v>
      </c>
      <c r="E7" s="32" t="s">
        <v>31</v>
      </c>
      <c r="F7" s="32" t="s">
        <v>158</v>
      </c>
      <c r="H7" s="32" t="s">
        <v>29</v>
      </c>
      <c r="I7" s="32" t="s">
        <v>30</v>
      </c>
      <c r="J7" s="32" t="s">
        <v>31</v>
      </c>
      <c r="K7" s="32" t="s">
        <v>158</v>
      </c>
      <c r="M7" s="32" t="s">
        <v>29</v>
      </c>
      <c r="N7" s="32" t="s">
        <v>30</v>
      </c>
      <c r="O7" s="32" t="s">
        <v>31</v>
      </c>
      <c r="P7" s="32" t="s">
        <v>158</v>
      </c>
      <c r="R7" s="32" t="s">
        <v>29</v>
      </c>
      <c r="S7" s="32" t="s">
        <v>30</v>
      </c>
      <c r="T7" s="32" t="s">
        <v>31</v>
      </c>
      <c r="U7" s="32" t="s">
        <v>158</v>
      </c>
      <c r="W7" s="32" t="s">
        <v>29</v>
      </c>
      <c r="X7" s="32" t="s">
        <v>30</v>
      </c>
      <c r="Y7" s="32" t="s">
        <v>31</v>
      </c>
      <c r="Z7" s="32" t="s">
        <v>158</v>
      </c>
      <c r="AB7" s="32" t="s">
        <v>29</v>
      </c>
      <c r="AC7" s="32" t="s">
        <v>30</v>
      </c>
      <c r="AD7" s="32" t="s">
        <v>31</v>
      </c>
      <c r="AE7" s="32" t="s">
        <v>158</v>
      </c>
      <c r="AG7" s="32" t="s">
        <v>29</v>
      </c>
      <c r="AH7" s="32" t="s">
        <v>30</v>
      </c>
      <c r="AI7" s="32" t="s">
        <v>31</v>
      </c>
      <c r="AJ7" s="32" t="s">
        <v>158</v>
      </c>
      <c r="AL7" s="32" t="s">
        <v>29</v>
      </c>
      <c r="AM7" s="32" t="s">
        <v>30</v>
      </c>
      <c r="AN7" s="32" t="s">
        <v>31</v>
      </c>
      <c r="AO7" s="32" t="s">
        <v>158</v>
      </c>
      <c r="AQ7" s="32" t="s">
        <v>29</v>
      </c>
      <c r="AR7" s="32" t="s">
        <v>30</v>
      </c>
      <c r="AS7" s="32" t="s">
        <v>31</v>
      </c>
      <c r="AT7" s="32" t="s">
        <v>158</v>
      </c>
      <c r="AV7" s="32" t="s">
        <v>29</v>
      </c>
      <c r="AW7" s="32" t="s">
        <v>30</v>
      </c>
      <c r="AX7" s="32" t="s">
        <v>31</v>
      </c>
      <c r="AY7" s="32" t="s">
        <v>158</v>
      </c>
      <c r="BA7" s="32" t="s">
        <v>29</v>
      </c>
      <c r="BB7" s="32" t="s">
        <v>30</v>
      </c>
      <c r="BC7" s="32" t="s">
        <v>31</v>
      </c>
      <c r="BD7" s="32" t="s">
        <v>158</v>
      </c>
      <c r="BF7" s="32" t="s">
        <v>29</v>
      </c>
      <c r="BG7" s="32" t="s">
        <v>30</v>
      </c>
      <c r="BH7" s="32" t="s">
        <v>31</v>
      </c>
      <c r="BI7" s="32" t="s">
        <v>158</v>
      </c>
      <c r="BK7" s="32" t="s">
        <v>29</v>
      </c>
      <c r="BL7" s="32" t="s">
        <v>30</v>
      </c>
      <c r="BM7" s="32" t="s">
        <v>31</v>
      </c>
      <c r="BN7" s="32" t="s">
        <v>158</v>
      </c>
      <c r="BP7" s="32" t="s">
        <v>29</v>
      </c>
      <c r="BQ7" s="32" t="s">
        <v>30</v>
      </c>
      <c r="BR7" s="32" t="s">
        <v>31</v>
      </c>
      <c r="BS7" s="32" t="s">
        <v>158</v>
      </c>
      <c r="BU7" s="32" t="s">
        <v>29</v>
      </c>
      <c r="BV7" s="32" t="s">
        <v>30</v>
      </c>
      <c r="BW7" s="32" t="s">
        <v>31</v>
      </c>
      <c r="BX7" s="32" t="s">
        <v>158</v>
      </c>
      <c r="BZ7" s="32" t="s">
        <v>29</v>
      </c>
      <c r="CA7" s="32" t="s">
        <v>30</v>
      </c>
      <c r="CB7" s="32" t="s">
        <v>31</v>
      </c>
      <c r="CC7" s="32" t="s">
        <v>158</v>
      </c>
      <c r="CE7" s="32" t="s">
        <v>29</v>
      </c>
      <c r="CF7" s="32" t="s">
        <v>30</v>
      </c>
      <c r="CG7" s="32" t="s">
        <v>31</v>
      </c>
      <c r="CH7" s="32" t="s">
        <v>158</v>
      </c>
      <c r="CJ7" s="32" t="s">
        <v>29</v>
      </c>
      <c r="CK7" s="32" t="s">
        <v>30</v>
      </c>
      <c r="CL7" s="32" t="s">
        <v>31</v>
      </c>
      <c r="CM7" s="32" t="s">
        <v>158</v>
      </c>
      <c r="CO7" s="32" t="s">
        <v>29</v>
      </c>
      <c r="CP7" s="32" t="s">
        <v>30</v>
      </c>
      <c r="CQ7" s="32" t="s">
        <v>31</v>
      </c>
      <c r="CR7" s="32" t="s">
        <v>158</v>
      </c>
      <c r="CT7" s="32" t="s">
        <v>29</v>
      </c>
      <c r="CU7" s="32" t="s">
        <v>30</v>
      </c>
      <c r="CV7" s="32" t="s">
        <v>31</v>
      </c>
      <c r="CW7" s="32" t="s">
        <v>158</v>
      </c>
      <c r="CY7" s="32" t="s">
        <v>29</v>
      </c>
      <c r="CZ7" s="32" t="s">
        <v>30</v>
      </c>
      <c r="DA7" s="32" t="s">
        <v>31</v>
      </c>
      <c r="DB7" s="32" t="s">
        <v>158</v>
      </c>
      <c r="DD7" s="32" t="s">
        <v>29</v>
      </c>
      <c r="DE7" s="32" t="s">
        <v>30</v>
      </c>
      <c r="DF7" s="32" t="s">
        <v>31</v>
      </c>
      <c r="DG7" s="32" t="s">
        <v>158</v>
      </c>
      <c r="DH7" s="49"/>
      <c r="DI7" s="32" t="s">
        <v>29</v>
      </c>
      <c r="DJ7" s="32" t="s">
        <v>30</v>
      </c>
      <c r="DK7" s="32" t="s">
        <v>31</v>
      </c>
      <c r="DL7" s="32" t="s">
        <v>158</v>
      </c>
      <c r="DM7" s="49"/>
      <c r="DN7" s="32" t="s">
        <v>29</v>
      </c>
      <c r="DO7" s="32" t="s">
        <v>30</v>
      </c>
      <c r="DP7" s="32" t="s">
        <v>31</v>
      </c>
      <c r="DQ7" s="32" t="s">
        <v>158</v>
      </c>
      <c r="DR7" s="49"/>
      <c r="DS7" s="32" t="s">
        <v>29</v>
      </c>
      <c r="DT7" s="32" t="s">
        <v>30</v>
      </c>
      <c r="DU7" s="32" t="s">
        <v>31</v>
      </c>
      <c r="DV7" s="32" t="s">
        <v>158</v>
      </c>
      <c r="DW7" s="49"/>
      <c r="DX7" s="32" t="s">
        <v>29</v>
      </c>
      <c r="DY7" s="32" t="s">
        <v>30</v>
      </c>
      <c r="DZ7" s="32" t="s">
        <v>31</v>
      </c>
      <c r="EA7" s="32" t="s">
        <v>158</v>
      </c>
      <c r="EB7" s="49"/>
      <c r="EC7" s="32" t="s">
        <v>29</v>
      </c>
      <c r="ED7" s="32" t="s">
        <v>30</v>
      </c>
      <c r="EE7" s="32" t="s">
        <v>31</v>
      </c>
      <c r="EF7" s="32" t="s">
        <v>158</v>
      </c>
      <c r="EG7" s="49"/>
      <c r="EH7" s="32" t="s">
        <v>29</v>
      </c>
      <c r="EI7" s="32" t="s">
        <v>30</v>
      </c>
      <c r="EJ7" s="32" t="s">
        <v>31</v>
      </c>
      <c r="EK7" s="32" t="s">
        <v>158</v>
      </c>
      <c r="EL7" s="49"/>
      <c r="EM7" s="32" t="s">
        <v>29</v>
      </c>
      <c r="EN7" s="32" t="s">
        <v>30</v>
      </c>
      <c r="EO7" s="32" t="s">
        <v>31</v>
      </c>
      <c r="EP7" s="32" t="s">
        <v>158</v>
      </c>
      <c r="ER7" s="32" t="s">
        <v>29</v>
      </c>
      <c r="ES7" s="32" t="s">
        <v>30</v>
      </c>
      <c r="ET7" s="32" t="s">
        <v>31</v>
      </c>
      <c r="EU7" s="32" t="s">
        <v>158</v>
      </c>
    </row>
    <row r="8" spans="1:151" ht="12.75">
      <c r="A8" s="40">
        <v>43374</v>
      </c>
      <c r="C8" s="77"/>
      <c r="D8" s="77">
        <v>1308607</v>
      </c>
      <c r="E8" s="37">
        <f aca="true" t="shared" si="0" ref="E8:E31">C8+D8</f>
        <v>1308607</v>
      </c>
      <c r="F8" s="37">
        <v>71341</v>
      </c>
      <c r="H8" s="50"/>
      <c r="I8" s="38">
        <f aca="true" t="shared" si="1" ref="I8:I31">N8+S8+AC8+AH8+AW8+BB8+BG8+BL8+BV8+CA8+CK8+CP8+DE8+DY8+ED8+X8+AM8+AR8+CU8+CZ8+DJ8+DO8+EN8+CF8+DT8+EI8+ES8+BQ8</f>
        <v>187540.2641303</v>
      </c>
      <c r="J8" s="38">
        <f aca="true" t="shared" si="2" ref="J8:J31">H8+I8</f>
        <v>187540.2641303</v>
      </c>
      <c r="K8" s="38">
        <f aca="true" t="shared" si="3" ref="K8:K31">P8+U8+AE8+AJ8+AY8+BD8+BI8+BN8+BX8+CC8+CM8+CR8+DG8+EA8+EF8+Z8+AO8+AT8+CW8+DB8+DL8+DQ8+EP8+CH8+DV8+EK8+EU8+BS8</f>
        <v>10224.0855989</v>
      </c>
      <c r="N8" s="5">
        <f aca="true" t="shared" si="4" ref="N8:N31">D8*$O$6</f>
        <v>43335.9602727</v>
      </c>
      <c r="O8" s="5">
        <f aca="true" t="shared" si="5" ref="O8:O31">M8+N8</f>
        <v>43335.9602727</v>
      </c>
      <c r="P8" s="38">
        <f aca="true" t="shared" si="6" ref="P8:P31">O$6*$F8</f>
        <v>2362.5356901</v>
      </c>
      <c r="S8" s="38">
        <f aca="true" t="shared" si="7" ref="S8:S31">D8*$T$6</f>
        <v>4604.7263115999995</v>
      </c>
      <c r="T8" s="38">
        <f aca="true" t="shared" si="8" ref="T8:T31">R8+S8</f>
        <v>4604.7263115999995</v>
      </c>
      <c r="U8" s="38">
        <f aca="true" t="shared" si="9" ref="U8:U31">T$6*$F8</f>
        <v>251.0347108</v>
      </c>
      <c r="X8" s="5">
        <f aca="true" t="shared" si="10" ref="X8:X31">D8*$Y$6</f>
        <v>1577.1331564</v>
      </c>
      <c r="Y8" s="5">
        <f aca="true" t="shared" si="11" ref="Y8:Y31">W8+X8</f>
        <v>1577.1331564</v>
      </c>
      <c r="Z8" s="38">
        <f aca="true" t="shared" si="12" ref="Z8:Z31">Y$6*$F8</f>
        <v>85.9801732</v>
      </c>
      <c r="AC8" s="5">
        <f aca="true" t="shared" si="13" ref="AC8:AC31">D8*$AD$6</f>
        <v>905.952551921</v>
      </c>
      <c r="AD8" s="5">
        <f aca="true" t="shared" si="14" ref="AD8:AD31">AB8+AC8</f>
        <v>905.952551921</v>
      </c>
      <c r="AE8" s="38">
        <f aca="true" t="shared" si="15" ref="AE8:AE31">AD$6*$F8</f>
        <v>49.389588323</v>
      </c>
      <c r="AH8" s="5">
        <f aca="true" t="shared" si="16" ref="AH8:AH31">D8*$AI$6</f>
        <v>6987.4379372</v>
      </c>
      <c r="AI8" s="5">
        <f aca="true" t="shared" si="17" ref="AI8:AI31">AG8+AH8</f>
        <v>6987.4379372</v>
      </c>
      <c r="AJ8" s="38">
        <f aca="true" t="shared" si="18" ref="AJ8:AJ31">AI$6*$F8</f>
        <v>380.9324036</v>
      </c>
      <c r="AM8" s="5">
        <f aca="true" t="shared" si="19" ref="AM8:AM31">D8*$AN$6</f>
        <v>42677.4692303</v>
      </c>
      <c r="AN8" s="5">
        <f aca="true" t="shared" si="20" ref="AN8:AN31">AL8+AM8</f>
        <v>42677.4692303</v>
      </c>
      <c r="AO8" s="38">
        <f aca="true" t="shared" si="21" ref="AO8:AO31">AN$6*$F8</f>
        <v>2326.6368989000002</v>
      </c>
      <c r="AR8" s="5">
        <f aca="true" t="shared" si="22" ref="AR8:AR31">D8*$AS$6</f>
        <v>2036.7159348000002</v>
      </c>
      <c r="AS8" s="5">
        <f aca="true" t="shared" si="23" ref="AS8:AS31">AQ8+AR8</f>
        <v>2036.7159348000002</v>
      </c>
      <c r="AT8" s="38">
        <f aca="true" t="shared" si="24" ref="AT8:AT31">AS$6*$F8</f>
        <v>111.03513240000001</v>
      </c>
      <c r="AW8" s="5">
        <f aca="true" t="shared" si="25" ref="AW8:AW31">D8*$AX$6</f>
        <v>3306.3264461999997</v>
      </c>
      <c r="AX8" s="5">
        <f aca="true" t="shared" si="26" ref="AX8:AX31">AV8+AW8</f>
        <v>3306.3264461999997</v>
      </c>
      <c r="AY8" s="38">
        <f aca="true" t="shared" si="27" ref="AY8:AY31">AX$6*$F8</f>
        <v>180.2501706</v>
      </c>
      <c r="BA8" s="38"/>
      <c r="BB8" s="5">
        <f aca="true" t="shared" si="28" ref="BB8:BB31">D8*$BC$6</f>
        <v>8134.1702513</v>
      </c>
      <c r="BC8" s="38">
        <f aca="true" t="shared" si="29" ref="BC8:BC31">BA8+BB8</f>
        <v>8134.1702513</v>
      </c>
      <c r="BD8" s="38">
        <f aca="true" t="shared" si="30" ref="BD8:BD31">BC$6*$F8</f>
        <v>443.4485219</v>
      </c>
      <c r="BG8" s="5">
        <f aca="true" t="shared" si="31" ref="BG8:BG31">D8*$BH$6</f>
        <v>390.7500502</v>
      </c>
      <c r="BH8" s="5">
        <f aca="true" t="shared" si="32" ref="BH8:BH31">BF8+BG8</f>
        <v>390.7500502</v>
      </c>
      <c r="BI8" s="38">
        <f aca="true" t="shared" si="33" ref="BI8:BI31">BH$6*$F8</f>
        <v>21.3024226</v>
      </c>
      <c r="BL8" s="5">
        <f aca="true" t="shared" si="34" ref="BL8:BL31">D8*$BM$6</f>
        <v>4171.9699767</v>
      </c>
      <c r="BM8" s="5">
        <f aca="true" t="shared" si="35" ref="BM8:BM31">BK8+BL8</f>
        <v>4171.9699767</v>
      </c>
      <c r="BN8" s="38">
        <f aca="true" t="shared" si="36" ref="BN8:BN31">BM$6*$F8</f>
        <v>227.44224210000002</v>
      </c>
      <c r="BQ8" s="5">
        <f aca="true" t="shared" si="37" ref="BQ8:BQ31">$D8*BR$6</f>
        <v>185.55654677900006</v>
      </c>
      <c r="BR8" s="5">
        <f aca="true" t="shared" si="38" ref="BR8:BR31">SUM(BP8:BQ8)</f>
        <v>185.55654677900006</v>
      </c>
      <c r="BS8" s="38">
        <f aca="true" t="shared" si="39" ref="BS8:BS31">BR$6*$F8</f>
        <v>10.115939777000003</v>
      </c>
      <c r="BV8" s="5">
        <f aca="true" t="shared" si="40" ref="BV8:BV31">D8*$BW$6</f>
        <v>124.44852569999999</v>
      </c>
      <c r="BW8" s="5">
        <f aca="true" t="shared" si="41" ref="BW8:BW31">BU8+BV8</f>
        <v>124.44852569999999</v>
      </c>
      <c r="BX8" s="38">
        <f aca="true" t="shared" si="42" ref="BX8:BX31">BW$6*$F8</f>
        <v>6.784529099999999</v>
      </c>
      <c r="CA8" s="5">
        <f aca="true" t="shared" si="43" ref="CA8:CA31">D8*$CB$6</f>
        <v>207.93765230000002</v>
      </c>
      <c r="CB8" s="5">
        <f aca="true" t="shared" si="44" ref="CB8:CB31">BZ8+CA8</f>
        <v>207.93765230000002</v>
      </c>
      <c r="CC8" s="38">
        <f aca="true" t="shared" si="45" ref="CC8:CC31">CB$6*$F8</f>
        <v>11.336084900000001</v>
      </c>
      <c r="CF8" s="5">
        <f aca="true" t="shared" si="46" ref="CF8:CF31">D8*$CG$6</f>
        <v>3967.0421205</v>
      </c>
      <c r="CG8" s="5">
        <f aca="true" t="shared" si="47" ref="CG8:CG31">CE8+CF8</f>
        <v>3967.0421205</v>
      </c>
      <c r="CH8" s="38">
        <f aca="true" t="shared" si="48" ref="CH8:CH31">CG$6*$F8</f>
        <v>216.2702415</v>
      </c>
      <c r="CK8" s="5">
        <f aca="true" t="shared" si="49" ref="CK8:CK31">D8*$CL$6</f>
        <v>3202.0304683</v>
      </c>
      <c r="CL8" s="38">
        <f aca="true" t="shared" si="50" ref="CL8:CL31">CJ8+CK8</f>
        <v>3202.0304683</v>
      </c>
      <c r="CM8" s="38">
        <f aca="true" t="shared" si="51" ref="CM8:CM31">CL$6*$F8</f>
        <v>174.5642929</v>
      </c>
      <c r="CP8" s="5">
        <f aca="true" t="shared" si="52" ref="CP8:CP31">D8*$CQ$6</f>
        <v>580.6289259</v>
      </c>
      <c r="CQ8" s="5">
        <f aca="true" t="shared" si="53" ref="CQ8:CQ31">CO8+CP8</f>
        <v>580.6289259</v>
      </c>
      <c r="CR8" s="38">
        <f aca="true" t="shared" si="54" ref="CR8:CR31">CQ$6*$F8</f>
        <v>31.6540017</v>
      </c>
      <c r="CU8" s="5">
        <f aca="true" t="shared" si="55" ref="CU8:CU31">D8*$CV$6</f>
        <v>233.5863495</v>
      </c>
      <c r="CV8" s="5">
        <f aca="true" t="shared" si="56" ref="CV8:CV31">CT8+CU8</f>
        <v>233.5863495</v>
      </c>
      <c r="CW8" s="38">
        <f aca="true" t="shared" si="57" ref="CW8:CW31">CV$6*$F8</f>
        <v>12.7343685</v>
      </c>
      <c r="CZ8" s="5">
        <f aca="true" t="shared" si="58" ref="CZ8:CZ31">D8*$DA$6</f>
        <v>1879.0287913</v>
      </c>
      <c r="DA8" s="5">
        <f aca="true" t="shared" si="59" ref="DA8:DA31">CY8+CZ8</f>
        <v>1879.0287913</v>
      </c>
      <c r="DB8" s="38">
        <f aca="true" t="shared" si="60" ref="DB8:DB31">DA$6*$F8</f>
        <v>102.43854189999999</v>
      </c>
      <c r="DE8" s="5">
        <f aca="true" t="shared" si="61" ref="DE8:DE31">D8*$DF$6</f>
        <v>23854.073560200002</v>
      </c>
      <c r="DF8" s="38">
        <f aca="true" t="shared" si="62" ref="DF8:DF31">DD8+DE8</f>
        <v>23854.073560200002</v>
      </c>
      <c r="DG8" s="38">
        <f aca="true" t="shared" si="63" ref="DG8:DG31">DF$6*$F8</f>
        <v>1300.4465526000001</v>
      </c>
      <c r="DJ8" s="38">
        <f aca="true" t="shared" si="64" ref="DJ8:DJ31">D8*$DK$6</f>
        <v>1998.5046104</v>
      </c>
      <c r="DK8" s="38">
        <f aca="true" t="shared" si="65" ref="DK8:DK31">DI8+DJ8</f>
        <v>1998.5046104</v>
      </c>
      <c r="DL8" s="38">
        <f aca="true" t="shared" si="66" ref="DL8:DL31">DK$6*$F8</f>
        <v>108.9519752</v>
      </c>
      <c r="DO8" s="38">
        <f aca="true" t="shared" si="67" ref="DO8:DO31">D8*$DP$6</f>
        <v>783.9864537</v>
      </c>
      <c r="DP8" s="38">
        <f aca="true" t="shared" si="68" ref="DP8:DP31">DN8+DO8</f>
        <v>783.9864537</v>
      </c>
      <c r="DQ8" s="38">
        <f aca="true" t="shared" si="69" ref="DQ8:DQ31">DP$6*$F8</f>
        <v>42.7403931</v>
      </c>
      <c r="DT8" s="5">
        <f aca="true" t="shared" si="70" ref="DT8:DT31">D8*$DU$6</f>
        <v>643.0494798</v>
      </c>
      <c r="DU8" s="5">
        <f aca="true" t="shared" si="71" ref="DU8:DU31">DS8+DT8</f>
        <v>643.0494798</v>
      </c>
      <c r="DV8" s="38">
        <f aca="true" t="shared" si="72" ref="DV8:DV31">DU$6*$F8</f>
        <v>35.0569674</v>
      </c>
      <c r="DX8" s="38"/>
      <c r="DY8" s="38">
        <f aca="true" t="shared" si="73" ref="DY8:DY31">D8*$DZ$6</f>
        <v>5869.2332557</v>
      </c>
      <c r="DZ8" s="5">
        <f aca="true" t="shared" si="74" ref="DZ8:DZ31">DX8+DY8</f>
        <v>5869.2332557</v>
      </c>
      <c r="EA8" s="38">
        <f aca="true" t="shared" si="75" ref="EA8:EA31">DZ$6*$F8</f>
        <v>319.97151909999997</v>
      </c>
      <c r="EC8" s="38"/>
      <c r="ED8" s="38">
        <f aca="true" t="shared" si="76" ref="ED8:ED31">D8*$EE$6</f>
        <v>16929.8413411</v>
      </c>
      <c r="EE8" s="5">
        <f aca="true" t="shared" si="77" ref="EE8:EE31">EC8+ED8</f>
        <v>16929.8413411</v>
      </c>
      <c r="EF8" s="38">
        <f aca="true" t="shared" si="78" ref="EF8:EF31">EE$6*$F8</f>
        <v>922.9599193</v>
      </c>
      <c r="EI8" s="5">
        <f aca="true" t="shared" si="79" ref="EI8:EI31">D8*$EJ$6</f>
        <v>173.5212882</v>
      </c>
      <c r="EJ8" s="5">
        <f aca="true" t="shared" si="80" ref="EJ8:EJ31">EH8+EI8</f>
        <v>173.5212882</v>
      </c>
      <c r="EK8" s="38">
        <f aca="true" t="shared" si="81" ref="EK8:EK31">EJ$6*$F8</f>
        <v>9.4598166</v>
      </c>
      <c r="EM8" s="5"/>
      <c r="EN8" s="5">
        <f aca="true" t="shared" si="82" ref="EN8:EN31">D8*$EO$6</f>
        <v>8200.5166262</v>
      </c>
      <c r="EO8" s="5">
        <f aca="true" t="shared" si="83" ref="EO8:EO31">EM8+EN8</f>
        <v>8200.5166262</v>
      </c>
      <c r="EP8" s="38">
        <f aca="true" t="shared" si="84" ref="EP8:EP31">EO$6*$F8</f>
        <v>447.0655106</v>
      </c>
      <c r="ER8" s="5"/>
      <c r="ES8" s="5">
        <f aca="true" t="shared" si="85" ref="ES8:ES31">D8*$ET$6</f>
        <v>578.6660154</v>
      </c>
      <c r="ET8" s="5">
        <f aca="true" t="shared" si="86" ref="ET8:ET31">ER8+ES8</f>
        <v>578.6660154</v>
      </c>
      <c r="EU8" s="38">
        <f aca="true" t="shared" si="87" ref="EU8:EU31">ET$6*$F8</f>
        <v>31.5469902</v>
      </c>
    </row>
    <row r="9" spans="1:151" ht="12.75">
      <c r="A9" s="40">
        <v>43556</v>
      </c>
      <c r="C9" s="77">
        <v>5705000</v>
      </c>
      <c r="D9" s="77">
        <v>1308607</v>
      </c>
      <c r="E9" s="37">
        <f t="shared" si="0"/>
        <v>7013607</v>
      </c>
      <c r="F9" s="37">
        <v>71341</v>
      </c>
      <c r="H9" s="50">
        <f aca="true" t="shared" si="88" ref="H9:H31">M9+R9+W9+AB9+AG9+AV9+BA9+BF9+BK9+BU9+CJ9+DD9+DX9+EC9+AL9+AQ9+BZ9+CO9+CT9+CY9+DI9+DN9+EM9+CE9+DS9+EH9+ER9+BP9</f>
        <v>817600.0945000001</v>
      </c>
      <c r="I9" s="38">
        <f t="shared" si="1"/>
        <v>187540.2641303</v>
      </c>
      <c r="J9" s="38">
        <f t="shared" si="2"/>
        <v>1005140.3586303002</v>
      </c>
      <c r="K9" s="38">
        <f t="shared" si="3"/>
        <v>10224.0855989</v>
      </c>
      <c r="M9" s="5">
        <f aca="true" t="shared" si="89" ref="M9:M31">C9*$O$6</f>
        <v>188927.3505</v>
      </c>
      <c r="N9" s="5">
        <f t="shared" si="4"/>
        <v>43335.9602727</v>
      </c>
      <c r="O9" s="5">
        <f t="shared" si="5"/>
        <v>232263.3107727</v>
      </c>
      <c r="P9" s="38">
        <f t="shared" si="6"/>
        <v>2362.5356901</v>
      </c>
      <c r="R9" s="5">
        <f aca="true" t="shared" si="90" ref="R9:R31">C9*$T$6</f>
        <v>20074.754</v>
      </c>
      <c r="S9" s="38">
        <f t="shared" si="7"/>
        <v>4604.7263115999995</v>
      </c>
      <c r="T9" s="38">
        <f t="shared" si="8"/>
        <v>24679.4803116</v>
      </c>
      <c r="U9" s="38">
        <f t="shared" si="9"/>
        <v>251.0347108</v>
      </c>
      <c r="W9" s="5">
        <f aca="true" t="shared" si="91" ref="W9:W31">C9*$Y$6</f>
        <v>6875.666</v>
      </c>
      <c r="X9" s="5">
        <f t="shared" si="10"/>
        <v>1577.1331564</v>
      </c>
      <c r="Y9" s="5">
        <f t="shared" si="11"/>
        <v>8452.7991564</v>
      </c>
      <c r="Z9" s="38">
        <f t="shared" si="12"/>
        <v>85.9801732</v>
      </c>
      <c r="AB9" s="5">
        <f aca="true" t="shared" si="92" ref="AB9:AB31">C9*$AD$6</f>
        <v>3949.588615</v>
      </c>
      <c r="AC9" s="5">
        <f t="shared" si="13"/>
        <v>905.952551921</v>
      </c>
      <c r="AD9" s="5">
        <f t="shared" si="14"/>
        <v>4855.541166921</v>
      </c>
      <c r="AE9" s="38">
        <f t="shared" si="15"/>
        <v>49.389588323</v>
      </c>
      <c r="AG9" s="5">
        <f aca="true" t="shared" si="93" ref="AG9:AG31">C9*$AI$6</f>
        <v>30462.417999999998</v>
      </c>
      <c r="AH9" s="5">
        <f t="shared" si="16"/>
        <v>6987.4379372</v>
      </c>
      <c r="AI9" s="5">
        <f t="shared" si="17"/>
        <v>37449.8559372</v>
      </c>
      <c r="AJ9" s="38">
        <f t="shared" si="18"/>
        <v>380.9324036</v>
      </c>
      <c r="AL9" s="5">
        <f aca="true" t="shared" si="94" ref="AL9:AL31">C9*$AN$6</f>
        <v>186056.5945</v>
      </c>
      <c r="AM9" s="5">
        <f t="shared" si="19"/>
        <v>42677.4692303</v>
      </c>
      <c r="AN9" s="5">
        <f t="shared" si="20"/>
        <v>228734.0637303</v>
      </c>
      <c r="AO9" s="38">
        <f t="shared" si="21"/>
        <v>2326.6368989000002</v>
      </c>
      <c r="AQ9" s="5">
        <f aca="true" t="shared" si="95" ref="AQ9:AQ31">C9*$AS$6</f>
        <v>8879.262</v>
      </c>
      <c r="AR9" s="5">
        <f t="shared" si="22"/>
        <v>2036.7159348000002</v>
      </c>
      <c r="AS9" s="5">
        <f t="shared" si="23"/>
        <v>10915.977934800001</v>
      </c>
      <c r="AT9" s="38">
        <f t="shared" si="24"/>
        <v>111.03513240000001</v>
      </c>
      <c r="AV9" s="5">
        <f>C9*$AX$6</f>
        <v>14414.252999999999</v>
      </c>
      <c r="AW9" s="5">
        <f t="shared" si="25"/>
        <v>3306.3264461999997</v>
      </c>
      <c r="AX9" s="5">
        <f t="shared" si="26"/>
        <v>17720.579446199998</v>
      </c>
      <c r="AY9" s="38">
        <f t="shared" si="27"/>
        <v>180.2501706</v>
      </c>
      <c r="BA9" s="38">
        <f aca="true" t="shared" si="96" ref="BA9:BA31">C9*$BC$6</f>
        <v>35461.7095</v>
      </c>
      <c r="BB9" s="5">
        <f t="shared" si="28"/>
        <v>8134.1702513</v>
      </c>
      <c r="BC9" s="38">
        <f t="shared" si="29"/>
        <v>43595.879751299995</v>
      </c>
      <c r="BD9" s="38">
        <f t="shared" si="30"/>
        <v>443.4485219</v>
      </c>
      <c r="BF9" s="5">
        <f aca="true" t="shared" si="97" ref="BF9:BF31">C9*$BH$6</f>
        <v>1703.513</v>
      </c>
      <c r="BG9" s="5">
        <f t="shared" si="31"/>
        <v>390.7500502</v>
      </c>
      <c r="BH9" s="5">
        <f t="shared" si="32"/>
        <v>2094.2630501999997</v>
      </c>
      <c r="BI9" s="38">
        <f t="shared" si="33"/>
        <v>21.3024226</v>
      </c>
      <c r="BK9" s="5">
        <f aca="true" t="shared" si="98" ref="BK9:BK31">C9*$BM$6</f>
        <v>18188.110500000003</v>
      </c>
      <c r="BL9" s="5">
        <f t="shared" si="34"/>
        <v>4171.9699767</v>
      </c>
      <c r="BM9" s="5">
        <f t="shared" si="35"/>
        <v>22360.0804767</v>
      </c>
      <c r="BN9" s="38">
        <f t="shared" si="36"/>
        <v>227.44224210000002</v>
      </c>
      <c r="BP9" s="5">
        <f aca="true" t="shared" si="99" ref="BP9:BP31">$C9*BR$6</f>
        <v>808.9518850000002</v>
      </c>
      <c r="BQ9" s="5">
        <f t="shared" si="37"/>
        <v>185.55654677900006</v>
      </c>
      <c r="BR9" s="5">
        <f t="shared" si="38"/>
        <v>994.5084317790003</v>
      </c>
      <c r="BS9" s="38">
        <f t="shared" si="39"/>
        <v>10.115939777000003</v>
      </c>
      <c r="BU9" s="5">
        <f aca="true" t="shared" si="100" ref="BU9:BU31">C9*$BW$6</f>
        <v>542.5455</v>
      </c>
      <c r="BV9" s="5">
        <f t="shared" si="40"/>
        <v>124.44852569999999</v>
      </c>
      <c r="BW9" s="5">
        <f t="shared" si="41"/>
        <v>666.9940257</v>
      </c>
      <c r="BX9" s="38">
        <f t="shared" si="42"/>
        <v>6.784529099999999</v>
      </c>
      <c r="BZ9" s="5">
        <f aca="true" t="shared" si="101" ref="BZ9:BZ31">C9*$CB$6</f>
        <v>906.5245000000001</v>
      </c>
      <c r="CA9" s="5">
        <f t="shared" si="43"/>
        <v>207.93765230000002</v>
      </c>
      <c r="CB9" s="5">
        <f t="shared" si="44"/>
        <v>1114.4621523</v>
      </c>
      <c r="CC9" s="38">
        <f t="shared" si="45"/>
        <v>11.336084900000001</v>
      </c>
      <c r="CE9" s="5">
        <f aca="true" t="shared" si="102" ref="CE9:CE31">C9*$CG$6</f>
        <v>17294.7075</v>
      </c>
      <c r="CF9" s="5">
        <f t="shared" si="46"/>
        <v>3967.0421205</v>
      </c>
      <c r="CG9" s="5">
        <f t="shared" si="47"/>
        <v>21261.7496205</v>
      </c>
      <c r="CH9" s="38">
        <f t="shared" si="48"/>
        <v>216.2702415</v>
      </c>
      <c r="CJ9" s="5">
        <f aca="true" t="shared" si="103" ref="CJ9:CJ31">C9*$CL$6</f>
        <v>13959.5645</v>
      </c>
      <c r="CK9" s="5">
        <f t="shared" si="49"/>
        <v>3202.0304683</v>
      </c>
      <c r="CL9" s="38">
        <f t="shared" si="50"/>
        <v>17161.5949683</v>
      </c>
      <c r="CM9" s="38">
        <f t="shared" si="51"/>
        <v>174.5642929</v>
      </c>
      <c r="CO9" s="5">
        <f aca="true" t="shared" si="104" ref="CO9:CO31">C9*$CQ$6</f>
        <v>2531.3085</v>
      </c>
      <c r="CP9" s="5">
        <f t="shared" si="52"/>
        <v>580.6289259</v>
      </c>
      <c r="CQ9" s="5">
        <f t="shared" si="53"/>
        <v>3111.9374259</v>
      </c>
      <c r="CR9" s="38">
        <f t="shared" si="54"/>
        <v>31.6540017</v>
      </c>
      <c r="CT9" s="5">
        <f aca="true" t="shared" si="105" ref="CT9:CT31">C9*$CV$6</f>
        <v>1018.3425</v>
      </c>
      <c r="CU9" s="5">
        <f t="shared" si="55"/>
        <v>233.5863495</v>
      </c>
      <c r="CV9" s="5">
        <f t="shared" si="56"/>
        <v>1251.9288495</v>
      </c>
      <c r="CW9" s="38">
        <f t="shared" si="57"/>
        <v>12.7343685</v>
      </c>
      <c r="CY9" s="5">
        <f aca="true" t="shared" si="106" ref="CY9:CY31">C9*$DA$6</f>
        <v>8191.809499999999</v>
      </c>
      <c r="CZ9" s="5">
        <f t="shared" si="58"/>
        <v>1879.0287913</v>
      </c>
      <c r="DA9" s="5">
        <f t="shared" si="59"/>
        <v>10070.838291299999</v>
      </c>
      <c r="DB9" s="38">
        <f t="shared" si="60"/>
        <v>102.43854189999999</v>
      </c>
      <c r="DD9" s="5">
        <f aca="true" t="shared" si="107" ref="DD9:DD31">C9*$DF$6</f>
        <v>103994.163</v>
      </c>
      <c r="DE9" s="5">
        <f t="shared" si="61"/>
        <v>23854.073560200002</v>
      </c>
      <c r="DF9" s="38">
        <f t="shared" si="62"/>
        <v>127848.2365602</v>
      </c>
      <c r="DG9" s="38">
        <f t="shared" si="63"/>
        <v>1300.4465526000001</v>
      </c>
      <c r="DI9" s="5">
        <f aca="true" t="shared" si="108" ref="DI9:DI31">C9*$DK$6</f>
        <v>8712.676</v>
      </c>
      <c r="DJ9" s="38">
        <f t="shared" si="64"/>
        <v>1998.5046104</v>
      </c>
      <c r="DK9" s="38">
        <f t="shared" si="65"/>
        <v>10711.180610399999</v>
      </c>
      <c r="DL9" s="38">
        <f t="shared" si="66"/>
        <v>108.9519752</v>
      </c>
      <c r="DN9" s="5">
        <f aca="true" t="shared" si="109" ref="DN9:DN31">C9*$DP$6</f>
        <v>3417.8655</v>
      </c>
      <c r="DO9" s="38">
        <f t="shared" si="67"/>
        <v>783.9864537</v>
      </c>
      <c r="DP9" s="38">
        <f t="shared" si="68"/>
        <v>4201.8519537</v>
      </c>
      <c r="DQ9" s="38">
        <f t="shared" si="69"/>
        <v>42.7403931</v>
      </c>
      <c r="DS9" s="5">
        <f aca="true" t="shared" si="110" ref="DS9:DS31">C9*$DU$6</f>
        <v>2803.437</v>
      </c>
      <c r="DT9" s="5">
        <f t="shared" si="70"/>
        <v>643.0494798</v>
      </c>
      <c r="DU9" s="5">
        <f t="shared" si="71"/>
        <v>3446.4864798</v>
      </c>
      <c r="DV9" s="38">
        <f t="shared" si="72"/>
        <v>35.0569674</v>
      </c>
      <c r="DX9" s="38">
        <f aca="true" t="shared" si="111" ref="DX9:DX31">C9*$DZ$6</f>
        <v>25587.495499999997</v>
      </c>
      <c r="DY9" s="38">
        <f t="shared" si="73"/>
        <v>5869.2332557</v>
      </c>
      <c r="DZ9" s="5">
        <f t="shared" si="74"/>
        <v>31456.728755699998</v>
      </c>
      <c r="EA9" s="38">
        <f t="shared" si="75"/>
        <v>319.97151909999997</v>
      </c>
      <c r="EC9" s="38">
        <f aca="true" t="shared" si="112" ref="EC9:EC31">C9*$EE$6</f>
        <v>73807.2965</v>
      </c>
      <c r="ED9" s="38">
        <f t="shared" si="76"/>
        <v>16929.8413411</v>
      </c>
      <c r="EE9" s="5">
        <f t="shared" si="77"/>
        <v>90737.13784109999</v>
      </c>
      <c r="EF9" s="38">
        <f t="shared" si="78"/>
        <v>922.9599193</v>
      </c>
      <c r="EH9" s="5">
        <f aca="true" t="shared" si="113" ref="EH9:EH31">C9*$EJ$6</f>
        <v>756.483</v>
      </c>
      <c r="EI9" s="5">
        <f t="shared" si="79"/>
        <v>173.5212882</v>
      </c>
      <c r="EJ9" s="5">
        <f t="shared" si="80"/>
        <v>930.0042881999999</v>
      </c>
      <c r="EK9" s="38">
        <f t="shared" si="81"/>
        <v>9.4598166</v>
      </c>
      <c r="EM9" s="5">
        <f aca="true" t="shared" si="114" ref="EM9:EM31">C9*$EO$6</f>
        <v>35750.953</v>
      </c>
      <c r="EN9" s="5">
        <f t="shared" si="82"/>
        <v>8200.5166262</v>
      </c>
      <c r="EO9" s="5">
        <f t="shared" si="83"/>
        <v>43951.4696262</v>
      </c>
      <c r="EP9" s="38">
        <f t="shared" si="84"/>
        <v>447.0655106</v>
      </c>
      <c r="ER9" s="5">
        <f aca="true" t="shared" si="115" ref="ER9:ER31">C9*$ET$6</f>
        <v>2522.751</v>
      </c>
      <c r="ES9" s="5">
        <f t="shared" si="85"/>
        <v>578.6660154</v>
      </c>
      <c r="ET9" s="5">
        <f t="shared" si="86"/>
        <v>3101.4170154000003</v>
      </c>
      <c r="EU9" s="38">
        <f t="shared" si="87"/>
        <v>31.5469902</v>
      </c>
    </row>
    <row r="10" spans="1:151" ht="12.75">
      <c r="A10" s="40">
        <v>43739</v>
      </c>
      <c r="C10" s="77"/>
      <c r="D10" s="77">
        <v>1227953</v>
      </c>
      <c r="E10" s="37">
        <f t="shared" si="0"/>
        <v>1227953</v>
      </c>
      <c r="F10" s="37">
        <v>71341</v>
      </c>
      <c r="H10" s="50"/>
      <c r="I10" s="38">
        <f t="shared" si="1"/>
        <v>175981.50549369998</v>
      </c>
      <c r="J10" s="38">
        <f t="shared" si="2"/>
        <v>175981.50549369998</v>
      </c>
      <c r="K10" s="38">
        <f t="shared" si="3"/>
        <v>10224.0855989</v>
      </c>
      <c r="N10" s="5">
        <f t="shared" si="4"/>
        <v>40665.014343300005</v>
      </c>
      <c r="O10" s="5">
        <f t="shared" si="5"/>
        <v>40665.014343300005</v>
      </c>
      <c r="P10" s="38">
        <f t="shared" si="6"/>
        <v>2362.5356901</v>
      </c>
      <c r="S10" s="38">
        <f t="shared" si="7"/>
        <v>4320.9210164</v>
      </c>
      <c r="T10" s="38">
        <f t="shared" si="8"/>
        <v>4320.9210164</v>
      </c>
      <c r="U10" s="38">
        <f t="shared" si="9"/>
        <v>251.0347108</v>
      </c>
      <c r="X10" s="5">
        <f t="shared" si="10"/>
        <v>1479.9289556</v>
      </c>
      <c r="Y10" s="5">
        <f t="shared" si="11"/>
        <v>1479.9289556</v>
      </c>
      <c r="Z10" s="38">
        <f t="shared" si="12"/>
        <v>85.9801732</v>
      </c>
      <c r="AC10" s="5">
        <f t="shared" si="13"/>
        <v>850.115545759</v>
      </c>
      <c r="AD10" s="5">
        <f t="shared" si="14"/>
        <v>850.115545759</v>
      </c>
      <c r="AE10" s="38">
        <f t="shared" si="15"/>
        <v>49.389588323</v>
      </c>
      <c r="AH10" s="5">
        <f t="shared" si="16"/>
        <v>6556.7778388</v>
      </c>
      <c r="AI10" s="5">
        <f t="shared" si="17"/>
        <v>6556.7778388</v>
      </c>
      <c r="AJ10" s="38">
        <f t="shared" si="18"/>
        <v>380.9324036</v>
      </c>
      <c r="AM10" s="5">
        <f t="shared" si="19"/>
        <v>40047.1083937</v>
      </c>
      <c r="AN10" s="5">
        <f t="shared" si="20"/>
        <v>40047.1083937</v>
      </c>
      <c r="AO10" s="38">
        <f t="shared" si="21"/>
        <v>2326.6368989000002</v>
      </c>
      <c r="AR10" s="5">
        <f t="shared" si="22"/>
        <v>1911.1860492</v>
      </c>
      <c r="AS10" s="5">
        <f t="shared" si="23"/>
        <v>1911.1860492</v>
      </c>
      <c r="AT10" s="38">
        <f t="shared" si="24"/>
        <v>111.03513240000001</v>
      </c>
      <c r="AW10" s="5">
        <f t="shared" si="25"/>
        <v>3102.5460497999998</v>
      </c>
      <c r="AX10" s="5">
        <f t="shared" si="26"/>
        <v>3102.5460497999998</v>
      </c>
      <c r="AY10" s="38">
        <f t="shared" si="27"/>
        <v>180.2501706</v>
      </c>
      <c r="BA10" s="38"/>
      <c r="BB10" s="5">
        <f t="shared" si="28"/>
        <v>7632.8330527</v>
      </c>
      <c r="BC10" s="38">
        <f t="shared" si="29"/>
        <v>7632.8330527</v>
      </c>
      <c r="BD10" s="38">
        <f t="shared" si="30"/>
        <v>443.4485219</v>
      </c>
      <c r="BG10" s="5">
        <f t="shared" si="31"/>
        <v>366.6667658</v>
      </c>
      <c r="BH10" s="5">
        <f t="shared" si="32"/>
        <v>366.6667658</v>
      </c>
      <c r="BI10" s="38">
        <f t="shared" si="33"/>
        <v>21.3024226</v>
      </c>
      <c r="BL10" s="5">
        <f t="shared" si="34"/>
        <v>3914.8369593</v>
      </c>
      <c r="BM10" s="5">
        <f t="shared" si="35"/>
        <v>3914.8369593</v>
      </c>
      <c r="BN10" s="38">
        <f t="shared" si="36"/>
        <v>227.44224210000002</v>
      </c>
      <c r="BQ10" s="5">
        <f t="shared" si="37"/>
        <v>174.12005154100004</v>
      </c>
      <c r="BR10" s="5">
        <f t="shared" si="38"/>
        <v>174.12005154100004</v>
      </c>
      <c r="BS10" s="38">
        <f t="shared" si="39"/>
        <v>10.115939777000003</v>
      </c>
      <c r="BV10" s="5">
        <f t="shared" si="40"/>
        <v>116.7783303</v>
      </c>
      <c r="BW10" s="5">
        <f t="shared" si="41"/>
        <v>116.7783303</v>
      </c>
      <c r="BX10" s="38">
        <f t="shared" si="42"/>
        <v>6.784529099999999</v>
      </c>
      <c r="CA10" s="5">
        <f t="shared" si="43"/>
        <v>195.12173170000003</v>
      </c>
      <c r="CB10" s="5">
        <f t="shared" si="44"/>
        <v>195.12173170000003</v>
      </c>
      <c r="CC10" s="38">
        <f t="shared" si="45"/>
        <v>11.336084900000001</v>
      </c>
      <c r="CF10" s="5">
        <f t="shared" si="46"/>
        <v>3722.5395195</v>
      </c>
      <c r="CG10" s="5">
        <f t="shared" si="47"/>
        <v>3722.5395195</v>
      </c>
      <c r="CH10" s="38">
        <f t="shared" si="48"/>
        <v>216.2702415</v>
      </c>
      <c r="CK10" s="5">
        <f t="shared" si="49"/>
        <v>3004.6781957000003</v>
      </c>
      <c r="CL10" s="38">
        <f t="shared" si="50"/>
        <v>3004.6781957000003</v>
      </c>
      <c r="CM10" s="38">
        <f t="shared" si="51"/>
        <v>174.5642929</v>
      </c>
      <c r="CP10" s="5">
        <f t="shared" si="52"/>
        <v>544.8427461</v>
      </c>
      <c r="CQ10" s="5">
        <f t="shared" si="53"/>
        <v>544.8427461</v>
      </c>
      <c r="CR10" s="38">
        <f t="shared" si="54"/>
        <v>31.6540017</v>
      </c>
      <c r="CU10" s="5">
        <f t="shared" si="55"/>
        <v>219.18961050000001</v>
      </c>
      <c r="CV10" s="5">
        <f t="shared" si="56"/>
        <v>219.18961050000001</v>
      </c>
      <c r="CW10" s="38">
        <f t="shared" si="57"/>
        <v>12.7343685</v>
      </c>
      <c r="CZ10" s="5">
        <f t="shared" si="58"/>
        <v>1763.2177127</v>
      </c>
      <c r="DA10" s="5">
        <f t="shared" si="59"/>
        <v>1763.2177127</v>
      </c>
      <c r="DB10" s="38">
        <f t="shared" si="60"/>
        <v>102.43854189999999</v>
      </c>
      <c r="DE10" s="5">
        <f t="shared" si="61"/>
        <v>22383.8640558</v>
      </c>
      <c r="DF10" s="38">
        <f t="shared" si="62"/>
        <v>22383.8640558</v>
      </c>
      <c r="DG10" s="38">
        <f t="shared" si="63"/>
        <v>1300.4465526000001</v>
      </c>
      <c r="DJ10" s="38">
        <f t="shared" si="64"/>
        <v>1875.3298216</v>
      </c>
      <c r="DK10" s="38">
        <f t="shared" si="65"/>
        <v>1875.3298216</v>
      </c>
      <c r="DL10" s="38">
        <f t="shared" si="66"/>
        <v>108.9519752</v>
      </c>
      <c r="DO10" s="38">
        <f t="shared" si="67"/>
        <v>735.6666422999999</v>
      </c>
      <c r="DP10" s="38">
        <f t="shared" si="68"/>
        <v>735.6666422999999</v>
      </c>
      <c r="DQ10" s="38">
        <f t="shared" si="69"/>
        <v>42.7403931</v>
      </c>
      <c r="DT10" s="5">
        <f t="shared" si="70"/>
        <v>603.4161042000001</v>
      </c>
      <c r="DU10" s="5">
        <f t="shared" si="71"/>
        <v>603.4161042000001</v>
      </c>
      <c r="DV10" s="38">
        <f t="shared" si="72"/>
        <v>35.0569674</v>
      </c>
      <c r="DX10" s="38"/>
      <c r="DY10" s="38">
        <f t="shared" si="73"/>
        <v>5507.4920003</v>
      </c>
      <c r="DZ10" s="5">
        <f t="shared" si="74"/>
        <v>5507.4920003</v>
      </c>
      <c r="EA10" s="38">
        <f t="shared" si="75"/>
        <v>319.97151909999997</v>
      </c>
      <c r="EC10" s="38"/>
      <c r="ED10" s="38">
        <f t="shared" si="76"/>
        <v>15886.396346900001</v>
      </c>
      <c r="EE10" s="5">
        <f t="shared" si="77"/>
        <v>15886.396346900001</v>
      </c>
      <c r="EF10" s="38">
        <f t="shared" si="78"/>
        <v>922.9599193</v>
      </c>
      <c r="EI10" s="5">
        <f t="shared" si="79"/>
        <v>162.8265678</v>
      </c>
      <c r="EJ10" s="5">
        <f t="shared" si="80"/>
        <v>162.8265678</v>
      </c>
      <c r="EK10" s="38">
        <f t="shared" si="81"/>
        <v>9.4598166</v>
      </c>
      <c r="EM10" s="5"/>
      <c r="EN10" s="5">
        <f t="shared" si="82"/>
        <v>7695.0902698</v>
      </c>
      <c r="EO10" s="5">
        <f t="shared" si="83"/>
        <v>7695.0902698</v>
      </c>
      <c r="EP10" s="38">
        <f t="shared" si="84"/>
        <v>447.0655106</v>
      </c>
      <c r="ER10" s="5"/>
      <c r="ES10" s="5">
        <f t="shared" si="85"/>
        <v>543.0008166</v>
      </c>
      <c r="ET10" s="5">
        <f t="shared" si="86"/>
        <v>543.0008166</v>
      </c>
      <c r="EU10" s="38">
        <f t="shared" si="87"/>
        <v>31.5469902</v>
      </c>
    </row>
    <row r="11" spans="1:151" ht="12.75">
      <c r="A11" s="40">
        <v>43922</v>
      </c>
      <c r="C11" s="77">
        <v>5870000</v>
      </c>
      <c r="D11" s="77">
        <v>1227953</v>
      </c>
      <c r="E11" s="37">
        <f t="shared" si="0"/>
        <v>7097953</v>
      </c>
      <c r="F11" s="37">
        <v>71341</v>
      </c>
      <c r="H11" s="50">
        <f t="shared" si="88"/>
        <v>841246.7230000001</v>
      </c>
      <c r="I11" s="38">
        <f t="shared" si="1"/>
        <v>175981.50549369998</v>
      </c>
      <c r="J11" s="38">
        <f t="shared" si="2"/>
        <v>1017228.2284937</v>
      </c>
      <c r="K11" s="38">
        <f t="shared" si="3"/>
        <v>10224.0855989</v>
      </c>
      <c r="M11" s="5">
        <f t="shared" si="89"/>
        <v>194391.507</v>
      </c>
      <c r="N11" s="5">
        <f t="shared" si="4"/>
        <v>40665.014343300005</v>
      </c>
      <c r="O11" s="5">
        <f t="shared" si="5"/>
        <v>235056.5213433</v>
      </c>
      <c r="P11" s="38">
        <f t="shared" si="6"/>
        <v>2362.5356901</v>
      </c>
      <c r="R11" s="5">
        <f t="shared" si="90"/>
        <v>20655.356</v>
      </c>
      <c r="S11" s="38">
        <f t="shared" si="7"/>
        <v>4320.9210164</v>
      </c>
      <c r="T11" s="38">
        <f t="shared" si="8"/>
        <v>24976.2770164</v>
      </c>
      <c r="U11" s="38">
        <f t="shared" si="9"/>
        <v>251.0347108</v>
      </c>
      <c r="W11" s="5">
        <f t="shared" si="91"/>
        <v>7074.524</v>
      </c>
      <c r="X11" s="5">
        <f t="shared" si="10"/>
        <v>1479.9289556</v>
      </c>
      <c r="Y11" s="5">
        <f t="shared" si="11"/>
        <v>8554.4529556</v>
      </c>
      <c r="Z11" s="38">
        <f t="shared" si="12"/>
        <v>85.9801732</v>
      </c>
      <c r="AB11" s="5">
        <f t="shared" si="92"/>
        <v>4063.8186100000003</v>
      </c>
      <c r="AC11" s="5">
        <f t="shared" si="13"/>
        <v>850.115545759</v>
      </c>
      <c r="AD11" s="5">
        <f t="shared" si="14"/>
        <v>4913.9341557590005</v>
      </c>
      <c r="AE11" s="38">
        <f t="shared" si="15"/>
        <v>49.389588323</v>
      </c>
      <c r="AG11" s="5">
        <f t="shared" si="93"/>
        <v>31343.452</v>
      </c>
      <c r="AH11" s="5">
        <f t="shared" si="16"/>
        <v>6556.7778388</v>
      </c>
      <c r="AI11" s="5">
        <f t="shared" si="17"/>
        <v>37900.2298388</v>
      </c>
      <c r="AJ11" s="38">
        <f t="shared" si="18"/>
        <v>380.9324036</v>
      </c>
      <c r="AL11" s="5">
        <f t="shared" si="94"/>
        <v>191437.723</v>
      </c>
      <c r="AM11" s="5">
        <f t="shared" si="19"/>
        <v>40047.1083937</v>
      </c>
      <c r="AN11" s="5">
        <f t="shared" si="20"/>
        <v>231484.8313937</v>
      </c>
      <c r="AO11" s="38">
        <f t="shared" si="21"/>
        <v>2326.6368989000002</v>
      </c>
      <c r="AQ11" s="5">
        <f t="shared" si="95"/>
        <v>9136.068000000001</v>
      </c>
      <c r="AR11" s="5">
        <f t="shared" si="22"/>
        <v>1911.1860492</v>
      </c>
      <c r="AS11" s="5">
        <f t="shared" si="23"/>
        <v>11047.2540492</v>
      </c>
      <c r="AT11" s="38">
        <f t="shared" si="24"/>
        <v>111.03513240000001</v>
      </c>
      <c r="AV11" s="5">
        <f>C11*$AX$6</f>
        <v>14831.142</v>
      </c>
      <c r="AW11" s="5">
        <f t="shared" si="25"/>
        <v>3102.5460497999998</v>
      </c>
      <c r="AX11" s="5">
        <f t="shared" si="26"/>
        <v>17933.6880498</v>
      </c>
      <c r="AY11" s="38">
        <f t="shared" si="27"/>
        <v>180.2501706</v>
      </c>
      <c r="BA11" s="38">
        <f t="shared" si="96"/>
        <v>36487.333</v>
      </c>
      <c r="BB11" s="5">
        <f t="shared" si="28"/>
        <v>7632.8330527</v>
      </c>
      <c r="BC11" s="38">
        <f t="shared" si="29"/>
        <v>44120.1660527</v>
      </c>
      <c r="BD11" s="38">
        <f t="shared" si="30"/>
        <v>443.4485219</v>
      </c>
      <c r="BF11" s="5">
        <f t="shared" si="97"/>
        <v>1752.782</v>
      </c>
      <c r="BG11" s="5">
        <f t="shared" si="31"/>
        <v>366.6667658</v>
      </c>
      <c r="BH11" s="5">
        <f t="shared" si="32"/>
        <v>2119.4487658</v>
      </c>
      <c r="BI11" s="38">
        <f t="shared" si="33"/>
        <v>21.3024226</v>
      </c>
      <c r="BK11" s="5">
        <f t="shared" si="98"/>
        <v>18714.147</v>
      </c>
      <c r="BL11" s="5">
        <f t="shared" si="34"/>
        <v>3914.8369593</v>
      </c>
      <c r="BM11" s="5">
        <f t="shared" si="35"/>
        <v>22628.9839593</v>
      </c>
      <c r="BN11" s="38">
        <f t="shared" si="36"/>
        <v>227.44224210000002</v>
      </c>
      <c r="BP11" s="5">
        <f t="shared" si="99"/>
        <v>832.3483900000002</v>
      </c>
      <c r="BQ11" s="5">
        <f t="shared" si="37"/>
        <v>174.12005154100004</v>
      </c>
      <c r="BR11" s="5">
        <f t="shared" si="38"/>
        <v>1006.4684415410003</v>
      </c>
      <c r="BS11" s="38">
        <f t="shared" si="39"/>
        <v>10.115939777000003</v>
      </c>
      <c r="BU11" s="5">
        <f t="shared" si="100"/>
        <v>558.237</v>
      </c>
      <c r="BV11" s="5">
        <f t="shared" si="40"/>
        <v>116.7783303</v>
      </c>
      <c r="BW11" s="5">
        <f t="shared" si="41"/>
        <v>675.0153303</v>
      </c>
      <c r="BX11" s="38">
        <f t="shared" si="42"/>
        <v>6.784529099999999</v>
      </c>
      <c r="BZ11" s="5">
        <f t="shared" si="101"/>
        <v>932.743</v>
      </c>
      <c r="CA11" s="5">
        <f t="shared" si="43"/>
        <v>195.12173170000003</v>
      </c>
      <c r="CB11" s="5">
        <f t="shared" si="44"/>
        <v>1127.8647317</v>
      </c>
      <c r="CC11" s="38">
        <f t="shared" si="45"/>
        <v>11.336084900000001</v>
      </c>
      <c r="CE11" s="5">
        <f t="shared" si="102"/>
        <v>17794.905</v>
      </c>
      <c r="CF11" s="5">
        <f t="shared" si="46"/>
        <v>3722.5395195</v>
      </c>
      <c r="CG11" s="5">
        <f t="shared" si="47"/>
        <v>21517.4445195</v>
      </c>
      <c r="CH11" s="38">
        <f t="shared" si="48"/>
        <v>216.2702415</v>
      </c>
      <c r="CJ11" s="5">
        <f t="shared" si="103"/>
        <v>14363.303</v>
      </c>
      <c r="CK11" s="5">
        <f t="shared" si="49"/>
        <v>3004.6781957000003</v>
      </c>
      <c r="CL11" s="38">
        <f t="shared" si="50"/>
        <v>17367.9811957</v>
      </c>
      <c r="CM11" s="38">
        <f t="shared" si="51"/>
        <v>174.5642929</v>
      </c>
      <c r="CO11" s="5">
        <f t="shared" si="104"/>
        <v>2604.519</v>
      </c>
      <c r="CP11" s="5">
        <f t="shared" si="52"/>
        <v>544.8427461</v>
      </c>
      <c r="CQ11" s="5">
        <f t="shared" si="53"/>
        <v>3149.3617461</v>
      </c>
      <c r="CR11" s="38">
        <f t="shared" si="54"/>
        <v>31.6540017</v>
      </c>
      <c r="CT11" s="5">
        <f t="shared" si="105"/>
        <v>1047.795</v>
      </c>
      <c r="CU11" s="5">
        <f t="shared" si="55"/>
        <v>219.18961050000001</v>
      </c>
      <c r="CV11" s="5">
        <f t="shared" si="56"/>
        <v>1266.9846105000001</v>
      </c>
      <c r="CW11" s="38">
        <f t="shared" si="57"/>
        <v>12.7343685</v>
      </c>
      <c r="CY11" s="5">
        <f t="shared" si="106"/>
        <v>8428.733</v>
      </c>
      <c r="CZ11" s="5">
        <f t="shared" si="58"/>
        <v>1763.2177127</v>
      </c>
      <c r="DA11" s="5">
        <f t="shared" si="59"/>
        <v>10191.9507127</v>
      </c>
      <c r="DB11" s="38">
        <f t="shared" si="60"/>
        <v>102.43854189999999</v>
      </c>
      <c r="DD11" s="5">
        <f t="shared" si="107"/>
        <v>107001.88200000001</v>
      </c>
      <c r="DE11" s="5">
        <f t="shared" si="61"/>
        <v>22383.8640558</v>
      </c>
      <c r="DF11" s="38">
        <f t="shared" si="62"/>
        <v>129385.74605580002</v>
      </c>
      <c r="DG11" s="38">
        <f t="shared" si="63"/>
        <v>1300.4465526000001</v>
      </c>
      <c r="DI11" s="5">
        <f t="shared" si="108"/>
        <v>8964.664</v>
      </c>
      <c r="DJ11" s="38">
        <f t="shared" si="64"/>
        <v>1875.3298216</v>
      </c>
      <c r="DK11" s="38">
        <f t="shared" si="65"/>
        <v>10839.993821600001</v>
      </c>
      <c r="DL11" s="38">
        <f t="shared" si="66"/>
        <v>108.9519752</v>
      </c>
      <c r="DN11" s="5">
        <f t="shared" si="109"/>
        <v>3516.717</v>
      </c>
      <c r="DO11" s="38">
        <f t="shared" si="67"/>
        <v>735.6666422999999</v>
      </c>
      <c r="DP11" s="38">
        <f t="shared" si="68"/>
        <v>4252.3836423</v>
      </c>
      <c r="DQ11" s="38">
        <f t="shared" si="69"/>
        <v>42.7403931</v>
      </c>
      <c r="DS11" s="5">
        <f t="shared" si="110"/>
        <v>2884.518</v>
      </c>
      <c r="DT11" s="5">
        <f t="shared" si="70"/>
        <v>603.4161042000001</v>
      </c>
      <c r="DU11" s="5">
        <f t="shared" si="71"/>
        <v>3487.9341042</v>
      </c>
      <c r="DV11" s="38">
        <f t="shared" si="72"/>
        <v>35.0569674</v>
      </c>
      <c r="DX11" s="38">
        <f t="shared" si="111"/>
        <v>26327.536999999997</v>
      </c>
      <c r="DY11" s="38">
        <f t="shared" si="73"/>
        <v>5507.4920003</v>
      </c>
      <c r="DZ11" s="5">
        <f t="shared" si="74"/>
        <v>31835.029000299997</v>
      </c>
      <c r="EA11" s="38">
        <f t="shared" si="75"/>
        <v>319.97151909999997</v>
      </c>
      <c r="EC11" s="38">
        <f t="shared" si="112"/>
        <v>75941.951</v>
      </c>
      <c r="ED11" s="38">
        <f t="shared" si="76"/>
        <v>15886.396346900001</v>
      </c>
      <c r="EE11" s="5">
        <f t="shared" si="77"/>
        <v>91828.3473469</v>
      </c>
      <c r="EF11" s="38">
        <f t="shared" si="78"/>
        <v>922.9599193</v>
      </c>
      <c r="EH11" s="5">
        <f t="shared" si="113"/>
        <v>778.362</v>
      </c>
      <c r="EI11" s="5">
        <f t="shared" si="79"/>
        <v>162.8265678</v>
      </c>
      <c r="EJ11" s="5">
        <f t="shared" si="80"/>
        <v>941.1885678</v>
      </c>
      <c r="EK11" s="38">
        <f t="shared" si="81"/>
        <v>9.4598166</v>
      </c>
      <c r="EM11" s="5">
        <f t="shared" si="114"/>
        <v>36784.941999999995</v>
      </c>
      <c r="EN11" s="5">
        <f t="shared" si="82"/>
        <v>7695.0902698</v>
      </c>
      <c r="EO11" s="5">
        <f t="shared" si="83"/>
        <v>44480.032269799995</v>
      </c>
      <c r="EP11" s="38">
        <f t="shared" si="84"/>
        <v>447.0655106</v>
      </c>
      <c r="ER11" s="5">
        <f t="shared" si="115"/>
        <v>2595.714</v>
      </c>
      <c r="ES11" s="5">
        <f t="shared" si="85"/>
        <v>543.0008166</v>
      </c>
      <c r="ET11" s="5">
        <f t="shared" si="86"/>
        <v>3138.7148165999997</v>
      </c>
      <c r="EU11" s="38">
        <f t="shared" si="87"/>
        <v>31.5469902</v>
      </c>
    </row>
    <row r="12" spans="1:151" ht="12.75">
      <c r="A12" s="40">
        <v>44105</v>
      </c>
      <c r="C12" s="77"/>
      <c r="D12" s="77">
        <v>1142104</v>
      </c>
      <c r="E12" s="37">
        <f t="shared" si="0"/>
        <v>1142104</v>
      </c>
      <c r="F12" s="37">
        <v>71341</v>
      </c>
      <c r="H12" s="50"/>
      <c r="I12" s="38">
        <f t="shared" si="1"/>
        <v>163678.23634160004</v>
      </c>
      <c r="J12" s="38">
        <f t="shared" si="2"/>
        <v>163678.23634160004</v>
      </c>
      <c r="K12" s="38">
        <f t="shared" si="3"/>
        <v>10224.0855989</v>
      </c>
      <c r="N12" s="5">
        <f t="shared" si="4"/>
        <v>37822.0302744</v>
      </c>
      <c r="O12" s="5">
        <f t="shared" si="5"/>
        <v>37822.0302744</v>
      </c>
      <c r="P12" s="38">
        <f t="shared" si="6"/>
        <v>2362.5356901</v>
      </c>
      <c r="S12" s="38">
        <f t="shared" si="7"/>
        <v>4018.8355552</v>
      </c>
      <c r="T12" s="38">
        <f t="shared" si="8"/>
        <v>4018.8355552</v>
      </c>
      <c r="U12" s="38">
        <f t="shared" si="9"/>
        <v>251.0347108</v>
      </c>
      <c r="X12" s="5">
        <f t="shared" si="10"/>
        <v>1376.4637408</v>
      </c>
      <c r="Y12" s="5">
        <f t="shared" si="11"/>
        <v>1376.4637408</v>
      </c>
      <c r="Z12" s="38">
        <f t="shared" si="12"/>
        <v>85.9801732</v>
      </c>
      <c r="AC12" s="5">
        <f t="shared" si="13"/>
        <v>790.682025512</v>
      </c>
      <c r="AD12" s="5">
        <f t="shared" si="14"/>
        <v>790.682025512</v>
      </c>
      <c r="AE12" s="38">
        <f t="shared" si="15"/>
        <v>49.389588323</v>
      </c>
      <c r="AH12" s="5">
        <f t="shared" si="16"/>
        <v>6098.3785184</v>
      </c>
      <c r="AI12" s="5">
        <f t="shared" si="17"/>
        <v>6098.3785184</v>
      </c>
      <c r="AJ12" s="38">
        <f t="shared" si="18"/>
        <v>380.9324036</v>
      </c>
      <c r="AM12" s="5">
        <f t="shared" si="19"/>
        <v>37247.3235416</v>
      </c>
      <c r="AN12" s="5">
        <f t="shared" si="20"/>
        <v>37247.3235416</v>
      </c>
      <c r="AO12" s="38">
        <f t="shared" si="21"/>
        <v>2326.6368989000002</v>
      </c>
      <c r="AR12" s="5">
        <f t="shared" si="22"/>
        <v>1777.5706656000002</v>
      </c>
      <c r="AS12" s="5">
        <f t="shared" si="23"/>
        <v>1777.5706656000002</v>
      </c>
      <c r="AT12" s="38">
        <f t="shared" si="24"/>
        <v>111.03513240000001</v>
      </c>
      <c r="AW12" s="5">
        <f t="shared" si="25"/>
        <v>2885.6399664</v>
      </c>
      <c r="AX12" s="5">
        <f t="shared" si="26"/>
        <v>2885.6399664</v>
      </c>
      <c r="AY12" s="38">
        <f t="shared" si="27"/>
        <v>180.2501706</v>
      </c>
      <c r="BA12" s="38"/>
      <c r="BB12" s="5">
        <f t="shared" si="28"/>
        <v>7099.2042536</v>
      </c>
      <c r="BC12" s="38">
        <f t="shared" si="29"/>
        <v>7099.2042536</v>
      </c>
      <c r="BD12" s="38">
        <f t="shared" si="30"/>
        <v>443.4485219</v>
      </c>
      <c r="BG12" s="5">
        <f t="shared" si="31"/>
        <v>341.0322544</v>
      </c>
      <c r="BH12" s="5">
        <f t="shared" si="32"/>
        <v>341.0322544</v>
      </c>
      <c r="BI12" s="38">
        <f t="shared" si="33"/>
        <v>21.3024226</v>
      </c>
      <c r="BL12" s="5">
        <f t="shared" si="34"/>
        <v>3641.1417624</v>
      </c>
      <c r="BM12" s="5">
        <f t="shared" si="35"/>
        <v>3641.1417624</v>
      </c>
      <c r="BN12" s="38">
        <f t="shared" si="36"/>
        <v>227.44224210000002</v>
      </c>
      <c r="BQ12" s="5">
        <f t="shared" si="37"/>
        <v>161.94692088800005</v>
      </c>
      <c r="BR12" s="5">
        <f t="shared" si="38"/>
        <v>161.94692088800005</v>
      </c>
      <c r="BS12" s="38">
        <f t="shared" si="39"/>
        <v>10.115939777000003</v>
      </c>
      <c r="BV12" s="5">
        <f t="shared" si="40"/>
        <v>108.6140904</v>
      </c>
      <c r="BW12" s="5">
        <f t="shared" si="41"/>
        <v>108.6140904</v>
      </c>
      <c r="BX12" s="38">
        <f t="shared" si="42"/>
        <v>6.784529099999999</v>
      </c>
      <c r="CA12" s="5">
        <f t="shared" si="43"/>
        <v>181.48032560000001</v>
      </c>
      <c r="CB12" s="5">
        <f t="shared" si="44"/>
        <v>181.48032560000001</v>
      </c>
      <c r="CC12" s="38">
        <f t="shared" si="45"/>
        <v>11.336084900000001</v>
      </c>
      <c r="CF12" s="5">
        <f t="shared" si="46"/>
        <v>3462.2882759999998</v>
      </c>
      <c r="CG12" s="5">
        <f t="shared" si="47"/>
        <v>3462.2882759999998</v>
      </c>
      <c r="CH12" s="38">
        <f t="shared" si="48"/>
        <v>216.2702415</v>
      </c>
      <c r="CK12" s="5">
        <f t="shared" si="49"/>
        <v>2794.6142776</v>
      </c>
      <c r="CL12" s="38">
        <f t="shared" si="50"/>
        <v>2794.6142776</v>
      </c>
      <c r="CM12" s="38">
        <f t="shared" si="51"/>
        <v>174.5642929</v>
      </c>
      <c r="CP12" s="5">
        <f t="shared" si="52"/>
        <v>506.7515448</v>
      </c>
      <c r="CQ12" s="5">
        <f t="shared" si="53"/>
        <v>506.7515448</v>
      </c>
      <c r="CR12" s="38">
        <f t="shared" si="54"/>
        <v>31.6540017</v>
      </c>
      <c r="CU12" s="5">
        <f t="shared" si="55"/>
        <v>203.865564</v>
      </c>
      <c r="CV12" s="5">
        <f t="shared" si="56"/>
        <v>203.865564</v>
      </c>
      <c r="CW12" s="38">
        <f t="shared" si="57"/>
        <v>12.7343685</v>
      </c>
      <c r="CZ12" s="5">
        <f t="shared" si="58"/>
        <v>1639.9471336</v>
      </c>
      <c r="DA12" s="5">
        <f t="shared" si="59"/>
        <v>1639.9471336</v>
      </c>
      <c r="DB12" s="38">
        <f t="shared" si="60"/>
        <v>102.43854189999999</v>
      </c>
      <c r="DE12" s="5">
        <f t="shared" si="61"/>
        <v>20818.9569744</v>
      </c>
      <c r="DF12" s="38">
        <f t="shared" si="62"/>
        <v>20818.9569744</v>
      </c>
      <c r="DG12" s="38">
        <f t="shared" si="63"/>
        <v>1300.4465526000001</v>
      </c>
      <c r="DJ12" s="38">
        <f t="shared" si="64"/>
        <v>1744.2212288</v>
      </c>
      <c r="DK12" s="38">
        <f t="shared" si="65"/>
        <v>1744.2212288</v>
      </c>
      <c r="DL12" s="38">
        <f t="shared" si="66"/>
        <v>108.9519752</v>
      </c>
      <c r="DO12" s="38">
        <f t="shared" si="67"/>
        <v>684.2345064</v>
      </c>
      <c r="DP12" s="38">
        <f t="shared" si="68"/>
        <v>684.2345064</v>
      </c>
      <c r="DQ12" s="38">
        <f t="shared" si="69"/>
        <v>42.7403931</v>
      </c>
      <c r="DT12" s="5">
        <f t="shared" si="70"/>
        <v>561.2299056</v>
      </c>
      <c r="DU12" s="5">
        <f t="shared" si="71"/>
        <v>561.2299056</v>
      </c>
      <c r="DV12" s="38">
        <f t="shared" si="72"/>
        <v>35.0569674</v>
      </c>
      <c r="DX12" s="38"/>
      <c r="DY12" s="38">
        <f t="shared" si="73"/>
        <v>5122.4506504</v>
      </c>
      <c r="DZ12" s="5">
        <f t="shared" si="74"/>
        <v>5122.4506504</v>
      </c>
      <c r="EA12" s="38">
        <f t="shared" si="75"/>
        <v>319.97151909999997</v>
      </c>
      <c r="EC12" s="38"/>
      <c r="ED12" s="38">
        <f t="shared" si="76"/>
        <v>14775.742079200001</v>
      </c>
      <c r="EE12" s="5">
        <f t="shared" si="77"/>
        <v>14775.742079200001</v>
      </c>
      <c r="EF12" s="38">
        <f t="shared" si="78"/>
        <v>922.9599193</v>
      </c>
      <c r="EI12" s="5">
        <f t="shared" si="79"/>
        <v>151.44299039999999</v>
      </c>
      <c r="EJ12" s="5">
        <f t="shared" si="80"/>
        <v>151.44299039999999</v>
      </c>
      <c r="EK12" s="38">
        <f t="shared" si="81"/>
        <v>9.4598166</v>
      </c>
      <c r="EM12" s="5"/>
      <c r="EN12" s="5">
        <f t="shared" si="82"/>
        <v>7157.108926399999</v>
      </c>
      <c r="EO12" s="5">
        <f t="shared" si="83"/>
        <v>7157.108926399999</v>
      </c>
      <c r="EP12" s="38">
        <f t="shared" si="84"/>
        <v>447.0655106</v>
      </c>
      <c r="ER12" s="5"/>
      <c r="ES12" s="5">
        <f t="shared" si="85"/>
        <v>505.0383888</v>
      </c>
      <c r="ET12" s="5">
        <f t="shared" si="86"/>
        <v>505.0383888</v>
      </c>
      <c r="EU12" s="38">
        <f t="shared" si="87"/>
        <v>31.5469902</v>
      </c>
    </row>
    <row r="13" spans="1:151" ht="12.75">
      <c r="A13" s="40">
        <v>44287</v>
      </c>
      <c r="C13" s="77">
        <v>6040000</v>
      </c>
      <c r="D13" s="77">
        <v>1142104</v>
      </c>
      <c r="E13" s="37">
        <f t="shared" si="0"/>
        <v>7182104</v>
      </c>
      <c r="F13" s="37">
        <v>71341</v>
      </c>
      <c r="H13" s="50">
        <f t="shared" si="88"/>
        <v>865609.9160000001</v>
      </c>
      <c r="I13" s="38">
        <f t="shared" si="1"/>
        <v>163678.23634160004</v>
      </c>
      <c r="J13" s="38">
        <f t="shared" si="2"/>
        <v>1029288.1523416002</v>
      </c>
      <c r="K13" s="38">
        <f t="shared" si="3"/>
        <v>10224.0855989</v>
      </c>
      <c r="M13" s="5">
        <f t="shared" si="89"/>
        <v>200021.244</v>
      </c>
      <c r="N13" s="5">
        <f t="shared" si="4"/>
        <v>37822.0302744</v>
      </c>
      <c r="O13" s="5">
        <f t="shared" si="5"/>
        <v>237843.2742744</v>
      </c>
      <c r="P13" s="38">
        <f t="shared" si="6"/>
        <v>2362.5356901</v>
      </c>
      <c r="R13" s="5">
        <f t="shared" si="90"/>
        <v>21253.552</v>
      </c>
      <c r="S13" s="38">
        <f t="shared" si="7"/>
        <v>4018.8355552</v>
      </c>
      <c r="T13" s="38">
        <f t="shared" si="8"/>
        <v>25272.3875552</v>
      </c>
      <c r="U13" s="38">
        <f t="shared" si="9"/>
        <v>251.0347108</v>
      </c>
      <c r="W13" s="5">
        <f t="shared" si="91"/>
        <v>7279.408</v>
      </c>
      <c r="X13" s="5">
        <f t="shared" si="10"/>
        <v>1376.4637408</v>
      </c>
      <c r="Y13" s="5">
        <f t="shared" si="11"/>
        <v>8655.871740800001</v>
      </c>
      <c r="Z13" s="38">
        <f t="shared" si="12"/>
        <v>85.9801732</v>
      </c>
      <c r="AB13" s="5">
        <f t="shared" si="92"/>
        <v>4181.51012</v>
      </c>
      <c r="AC13" s="5">
        <f t="shared" si="13"/>
        <v>790.682025512</v>
      </c>
      <c r="AD13" s="5">
        <f t="shared" si="14"/>
        <v>4972.192145512</v>
      </c>
      <c r="AE13" s="38">
        <f t="shared" si="15"/>
        <v>49.389588323</v>
      </c>
      <c r="AG13" s="5">
        <f t="shared" si="93"/>
        <v>32251.184</v>
      </c>
      <c r="AH13" s="5">
        <f t="shared" si="16"/>
        <v>6098.3785184</v>
      </c>
      <c r="AI13" s="5">
        <f t="shared" si="17"/>
        <v>38349.5625184</v>
      </c>
      <c r="AJ13" s="38">
        <f t="shared" si="18"/>
        <v>380.9324036</v>
      </c>
      <c r="AL13" s="5">
        <f t="shared" si="94"/>
        <v>196981.916</v>
      </c>
      <c r="AM13" s="5">
        <f t="shared" si="19"/>
        <v>37247.3235416</v>
      </c>
      <c r="AN13" s="5">
        <f t="shared" si="20"/>
        <v>234229.2395416</v>
      </c>
      <c r="AO13" s="38">
        <f t="shared" si="21"/>
        <v>2326.6368989000002</v>
      </c>
      <c r="AQ13" s="5">
        <f t="shared" si="95"/>
        <v>9400.656</v>
      </c>
      <c r="AR13" s="5">
        <f t="shared" si="22"/>
        <v>1777.5706656000002</v>
      </c>
      <c r="AS13" s="5">
        <f t="shared" si="23"/>
        <v>11178.226665600001</v>
      </c>
      <c r="AT13" s="38">
        <f t="shared" si="24"/>
        <v>111.03513240000001</v>
      </c>
      <c r="AV13" s="5">
        <f>C13*$AX$6</f>
        <v>15260.663999999999</v>
      </c>
      <c r="AW13" s="5">
        <f t="shared" si="25"/>
        <v>2885.6399664</v>
      </c>
      <c r="AX13" s="5">
        <f t="shared" si="26"/>
        <v>18146.3039664</v>
      </c>
      <c r="AY13" s="38">
        <f t="shared" si="27"/>
        <v>180.2501706</v>
      </c>
      <c r="BA13" s="38">
        <f t="shared" si="96"/>
        <v>37544.036</v>
      </c>
      <c r="BB13" s="5">
        <f t="shared" si="28"/>
        <v>7099.2042536</v>
      </c>
      <c r="BC13" s="38">
        <f t="shared" si="29"/>
        <v>44643.2402536</v>
      </c>
      <c r="BD13" s="38">
        <f t="shared" si="30"/>
        <v>443.4485219</v>
      </c>
      <c r="BF13" s="5">
        <f t="shared" si="97"/>
        <v>1803.5439999999999</v>
      </c>
      <c r="BG13" s="5">
        <f t="shared" si="31"/>
        <v>341.0322544</v>
      </c>
      <c r="BH13" s="5">
        <f t="shared" si="32"/>
        <v>2144.5762544</v>
      </c>
      <c r="BI13" s="38">
        <f t="shared" si="33"/>
        <v>21.3024226</v>
      </c>
      <c r="BK13" s="5">
        <f t="shared" si="98"/>
        <v>19256.124</v>
      </c>
      <c r="BL13" s="5">
        <f t="shared" si="34"/>
        <v>3641.1417624</v>
      </c>
      <c r="BM13" s="5">
        <f t="shared" si="35"/>
        <v>22897.2657624</v>
      </c>
      <c r="BN13" s="38">
        <f t="shared" si="36"/>
        <v>227.44224210000002</v>
      </c>
      <c r="BP13" s="5">
        <f t="shared" si="99"/>
        <v>856.4538800000003</v>
      </c>
      <c r="BQ13" s="5">
        <f t="shared" si="37"/>
        <v>161.94692088800005</v>
      </c>
      <c r="BR13" s="5">
        <f t="shared" si="38"/>
        <v>1018.4008008880003</v>
      </c>
      <c r="BS13" s="38">
        <f t="shared" si="39"/>
        <v>10.115939777000003</v>
      </c>
      <c r="BU13" s="5">
        <f t="shared" si="100"/>
        <v>574.404</v>
      </c>
      <c r="BV13" s="5">
        <f t="shared" si="40"/>
        <v>108.6140904</v>
      </c>
      <c r="BW13" s="5">
        <f t="shared" si="41"/>
        <v>683.0180904</v>
      </c>
      <c r="BX13" s="38">
        <f t="shared" si="42"/>
        <v>6.784529099999999</v>
      </c>
      <c r="BZ13" s="5">
        <f t="shared" si="101"/>
        <v>959.7560000000001</v>
      </c>
      <c r="CA13" s="5">
        <f t="shared" si="43"/>
        <v>181.48032560000001</v>
      </c>
      <c r="CB13" s="5">
        <f t="shared" si="44"/>
        <v>1141.2363256</v>
      </c>
      <c r="CC13" s="38">
        <f t="shared" si="45"/>
        <v>11.336084900000001</v>
      </c>
      <c r="CE13" s="5">
        <f t="shared" si="102"/>
        <v>18310.26</v>
      </c>
      <c r="CF13" s="5">
        <f t="shared" si="46"/>
        <v>3462.2882759999998</v>
      </c>
      <c r="CG13" s="5">
        <f t="shared" si="47"/>
        <v>21772.548275999998</v>
      </c>
      <c r="CH13" s="38">
        <f t="shared" si="48"/>
        <v>216.2702415</v>
      </c>
      <c r="CJ13" s="5">
        <f t="shared" si="103"/>
        <v>14779.276</v>
      </c>
      <c r="CK13" s="5">
        <f t="shared" si="49"/>
        <v>2794.6142776</v>
      </c>
      <c r="CL13" s="38">
        <f t="shared" si="50"/>
        <v>17573.8902776</v>
      </c>
      <c r="CM13" s="38">
        <f t="shared" si="51"/>
        <v>174.5642929</v>
      </c>
      <c r="CO13" s="5">
        <f t="shared" si="104"/>
        <v>2679.948</v>
      </c>
      <c r="CP13" s="5">
        <f t="shared" si="52"/>
        <v>506.7515448</v>
      </c>
      <c r="CQ13" s="5">
        <f t="shared" si="53"/>
        <v>3186.6995448</v>
      </c>
      <c r="CR13" s="38">
        <f t="shared" si="54"/>
        <v>31.6540017</v>
      </c>
      <c r="CT13" s="5">
        <f t="shared" si="105"/>
        <v>1078.14</v>
      </c>
      <c r="CU13" s="5">
        <f t="shared" si="55"/>
        <v>203.865564</v>
      </c>
      <c r="CV13" s="5">
        <f t="shared" si="56"/>
        <v>1282.005564</v>
      </c>
      <c r="CW13" s="38">
        <f t="shared" si="57"/>
        <v>12.7343685</v>
      </c>
      <c r="CY13" s="5">
        <f t="shared" si="106"/>
        <v>8672.836</v>
      </c>
      <c r="CZ13" s="5">
        <f t="shared" si="58"/>
        <v>1639.9471336</v>
      </c>
      <c r="DA13" s="5">
        <f t="shared" si="59"/>
        <v>10312.7831336</v>
      </c>
      <c r="DB13" s="38">
        <f t="shared" si="60"/>
        <v>102.43854189999999</v>
      </c>
      <c r="DD13" s="5">
        <f t="shared" si="107"/>
        <v>110100.744</v>
      </c>
      <c r="DE13" s="5">
        <f t="shared" si="61"/>
        <v>20818.9569744</v>
      </c>
      <c r="DF13" s="38">
        <f t="shared" si="62"/>
        <v>130919.70097440001</v>
      </c>
      <c r="DG13" s="38">
        <f t="shared" si="63"/>
        <v>1300.4465526000001</v>
      </c>
      <c r="DI13" s="5">
        <f t="shared" si="108"/>
        <v>9224.288</v>
      </c>
      <c r="DJ13" s="38">
        <f t="shared" si="64"/>
        <v>1744.2212288</v>
      </c>
      <c r="DK13" s="38">
        <f t="shared" si="65"/>
        <v>10968.509228800001</v>
      </c>
      <c r="DL13" s="38">
        <f t="shared" si="66"/>
        <v>108.9519752</v>
      </c>
      <c r="DN13" s="5">
        <f t="shared" si="109"/>
        <v>3618.564</v>
      </c>
      <c r="DO13" s="38">
        <f t="shared" si="67"/>
        <v>684.2345064</v>
      </c>
      <c r="DP13" s="38">
        <f t="shared" si="68"/>
        <v>4302.7985063999995</v>
      </c>
      <c r="DQ13" s="38">
        <f t="shared" si="69"/>
        <v>42.7403931</v>
      </c>
      <c r="DS13" s="5">
        <f t="shared" si="110"/>
        <v>2968.056</v>
      </c>
      <c r="DT13" s="5">
        <f t="shared" si="70"/>
        <v>561.2299056</v>
      </c>
      <c r="DU13" s="5">
        <f t="shared" si="71"/>
        <v>3529.2859056</v>
      </c>
      <c r="DV13" s="38">
        <f t="shared" si="72"/>
        <v>35.0569674</v>
      </c>
      <c r="DX13" s="38">
        <f t="shared" si="111"/>
        <v>27090.003999999997</v>
      </c>
      <c r="DY13" s="38">
        <f t="shared" si="73"/>
        <v>5122.4506504</v>
      </c>
      <c r="DZ13" s="5">
        <f t="shared" si="74"/>
        <v>32212.454650399995</v>
      </c>
      <c r="EA13" s="38">
        <f t="shared" si="75"/>
        <v>319.97151909999997</v>
      </c>
      <c r="EC13" s="38">
        <f t="shared" si="112"/>
        <v>78141.292</v>
      </c>
      <c r="ED13" s="38">
        <f t="shared" si="76"/>
        <v>14775.742079200001</v>
      </c>
      <c r="EE13" s="5">
        <f t="shared" si="77"/>
        <v>92917.0340792</v>
      </c>
      <c r="EF13" s="38">
        <f t="shared" si="78"/>
        <v>922.9599193</v>
      </c>
      <c r="EH13" s="5">
        <f t="shared" si="113"/>
        <v>800.904</v>
      </c>
      <c r="EI13" s="5">
        <f t="shared" si="79"/>
        <v>151.44299039999999</v>
      </c>
      <c r="EJ13" s="5">
        <f t="shared" si="80"/>
        <v>952.3469904</v>
      </c>
      <c r="EK13" s="38">
        <f t="shared" si="81"/>
        <v>9.4598166</v>
      </c>
      <c r="EM13" s="5">
        <f t="shared" si="114"/>
        <v>37850.263999999996</v>
      </c>
      <c r="EN13" s="5">
        <f t="shared" si="82"/>
        <v>7157.108926399999</v>
      </c>
      <c r="EO13" s="5">
        <f t="shared" si="83"/>
        <v>45007.37292639999</v>
      </c>
      <c r="EP13" s="38">
        <f t="shared" si="84"/>
        <v>447.0655106</v>
      </c>
      <c r="ER13" s="5">
        <f t="shared" si="115"/>
        <v>2670.888</v>
      </c>
      <c r="ES13" s="5">
        <f t="shared" si="85"/>
        <v>505.0383888</v>
      </c>
      <c r="ET13" s="5">
        <f t="shared" si="86"/>
        <v>3175.9263888</v>
      </c>
      <c r="EU13" s="38">
        <f t="shared" si="87"/>
        <v>31.5469902</v>
      </c>
    </row>
    <row r="14" spans="1:151" ht="12.75">
      <c r="A14" s="40">
        <v>44470</v>
      </c>
      <c r="C14" s="77"/>
      <c r="D14" s="77">
        <v>1053769</v>
      </c>
      <c r="E14" s="37">
        <f t="shared" si="0"/>
        <v>1053769</v>
      </c>
      <c r="F14" s="37">
        <v>71341</v>
      </c>
      <c r="H14" s="50"/>
      <c r="I14" s="38">
        <f t="shared" si="1"/>
        <v>151018.6913201</v>
      </c>
      <c r="J14" s="38">
        <f t="shared" si="2"/>
        <v>151018.6913201</v>
      </c>
      <c r="K14" s="38">
        <f t="shared" si="3"/>
        <v>10224.0855989</v>
      </c>
      <c r="N14" s="5">
        <f t="shared" si="4"/>
        <v>34896.719580900004</v>
      </c>
      <c r="O14" s="5">
        <f t="shared" si="5"/>
        <v>34896.719580900004</v>
      </c>
      <c r="P14" s="38">
        <f t="shared" si="6"/>
        <v>2362.5356901</v>
      </c>
      <c r="S14" s="38">
        <f t="shared" si="7"/>
        <v>3708.0023572</v>
      </c>
      <c r="T14" s="38">
        <f t="shared" si="8"/>
        <v>3708.0023572</v>
      </c>
      <c r="U14" s="38">
        <f t="shared" si="9"/>
        <v>251.0347108</v>
      </c>
      <c r="X14" s="5">
        <f t="shared" si="10"/>
        <v>1270.0023988</v>
      </c>
      <c r="Y14" s="5">
        <f t="shared" si="11"/>
        <v>1270.0023988</v>
      </c>
      <c r="Z14" s="38">
        <f t="shared" si="12"/>
        <v>85.9801732</v>
      </c>
      <c r="AC14" s="5">
        <f t="shared" si="13"/>
        <v>729.527440007</v>
      </c>
      <c r="AD14" s="5">
        <f t="shared" si="14"/>
        <v>729.527440007</v>
      </c>
      <c r="AE14" s="38">
        <f t="shared" si="15"/>
        <v>49.389588323</v>
      </c>
      <c r="AH14" s="5">
        <f t="shared" si="16"/>
        <v>5626.7049523999995</v>
      </c>
      <c r="AI14" s="5">
        <f t="shared" si="17"/>
        <v>5626.7049523999995</v>
      </c>
      <c r="AJ14" s="38">
        <f t="shared" si="18"/>
        <v>380.9324036</v>
      </c>
      <c r="AM14" s="5">
        <f t="shared" si="19"/>
        <v>34366.4630201</v>
      </c>
      <c r="AN14" s="5">
        <f t="shared" si="20"/>
        <v>34366.4630201</v>
      </c>
      <c r="AO14" s="38">
        <f t="shared" si="21"/>
        <v>2326.6368989000002</v>
      </c>
      <c r="AR14" s="5">
        <f t="shared" si="22"/>
        <v>1640.0860716000002</v>
      </c>
      <c r="AS14" s="5">
        <f t="shared" si="23"/>
        <v>1640.0860716000002</v>
      </c>
      <c r="AT14" s="38">
        <f t="shared" si="24"/>
        <v>111.03513240000001</v>
      </c>
      <c r="AW14" s="5">
        <f t="shared" si="25"/>
        <v>2662.4527554</v>
      </c>
      <c r="AX14" s="5">
        <f t="shared" si="26"/>
        <v>2662.4527554</v>
      </c>
      <c r="AY14" s="38">
        <f t="shared" si="27"/>
        <v>180.2501706</v>
      </c>
      <c r="BA14" s="38"/>
      <c r="BB14" s="5">
        <f t="shared" si="28"/>
        <v>6550.1227271</v>
      </c>
      <c r="BC14" s="38">
        <f t="shared" si="29"/>
        <v>6550.1227271</v>
      </c>
      <c r="BD14" s="38">
        <f t="shared" si="30"/>
        <v>443.4485219</v>
      </c>
      <c r="BG14" s="5">
        <f t="shared" si="31"/>
        <v>314.6554234</v>
      </c>
      <c r="BH14" s="5">
        <f t="shared" si="32"/>
        <v>314.6554234</v>
      </c>
      <c r="BI14" s="38">
        <f t="shared" si="33"/>
        <v>21.3024226</v>
      </c>
      <c r="BL14" s="5">
        <f t="shared" si="34"/>
        <v>3359.5209489000003</v>
      </c>
      <c r="BM14" s="5">
        <f t="shared" si="35"/>
        <v>3359.5209489000003</v>
      </c>
      <c r="BN14" s="38">
        <f t="shared" si="36"/>
        <v>227.44224210000002</v>
      </c>
      <c r="BQ14" s="5">
        <f t="shared" si="37"/>
        <v>149.42128289300004</v>
      </c>
      <c r="BR14" s="5">
        <f t="shared" si="38"/>
        <v>149.42128289300004</v>
      </c>
      <c r="BS14" s="38">
        <f t="shared" si="39"/>
        <v>10.115939777000003</v>
      </c>
      <c r="BV14" s="5">
        <f t="shared" si="40"/>
        <v>100.21343189999999</v>
      </c>
      <c r="BW14" s="5">
        <f t="shared" si="41"/>
        <v>100.21343189999999</v>
      </c>
      <c r="BX14" s="38">
        <f t="shared" si="42"/>
        <v>6.784529099999999</v>
      </c>
      <c r="CA14" s="5">
        <f t="shared" si="43"/>
        <v>167.44389410000002</v>
      </c>
      <c r="CB14" s="5">
        <f t="shared" si="44"/>
        <v>167.44389410000002</v>
      </c>
      <c r="CC14" s="38">
        <f t="shared" si="45"/>
        <v>11.336084900000001</v>
      </c>
      <c r="CF14" s="5">
        <f t="shared" si="46"/>
        <v>3194.5007235</v>
      </c>
      <c r="CG14" s="5">
        <f t="shared" si="47"/>
        <v>3194.5007235</v>
      </c>
      <c r="CH14" s="38">
        <f t="shared" si="48"/>
        <v>216.2702415</v>
      </c>
      <c r="CK14" s="5">
        <f t="shared" si="49"/>
        <v>2578.4673661</v>
      </c>
      <c r="CL14" s="38">
        <f t="shared" si="50"/>
        <v>2578.4673661</v>
      </c>
      <c r="CM14" s="38">
        <f t="shared" si="51"/>
        <v>174.5642929</v>
      </c>
      <c r="CP14" s="5">
        <f t="shared" si="52"/>
        <v>467.5573053</v>
      </c>
      <c r="CQ14" s="5">
        <f t="shared" si="53"/>
        <v>467.5573053</v>
      </c>
      <c r="CR14" s="38">
        <f t="shared" si="54"/>
        <v>31.6540017</v>
      </c>
      <c r="CU14" s="5">
        <f t="shared" si="55"/>
        <v>188.0977665</v>
      </c>
      <c r="CV14" s="5">
        <f t="shared" si="56"/>
        <v>188.0977665</v>
      </c>
      <c r="CW14" s="38">
        <f t="shared" si="57"/>
        <v>12.7343685</v>
      </c>
      <c r="CZ14" s="5">
        <f t="shared" si="58"/>
        <v>1513.1069071</v>
      </c>
      <c r="DA14" s="5">
        <f t="shared" si="59"/>
        <v>1513.1069071</v>
      </c>
      <c r="DB14" s="38">
        <f t="shared" si="60"/>
        <v>102.43854189999999</v>
      </c>
      <c r="DE14" s="5">
        <f t="shared" si="61"/>
        <v>19208.7335934</v>
      </c>
      <c r="DF14" s="38">
        <f t="shared" si="62"/>
        <v>19208.7335934</v>
      </c>
      <c r="DG14" s="38">
        <f t="shared" si="63"/>
        <v>1300.4465526000001</v>
      </c>
      <c r="DJ14" s="38">
        <f t="shared" si="64"/>
        <v>1609.3160168</v>
      </c>
      <c r="DK14" s="38">
        <f t="shared" si="65"/>
        <v>1609.3160168</v>
      </c>
      <c r="DL14" s="38">
        <f t="shared" si="66"/>
        <v>108.9519752</v>
      </c>
      <c r="DO14" s="38">
        <f t="shared" si="67"/>
        <v>631.3130079</v>
      </c>
      <c r="DP14" s="38">
        <f t="shared" si="68"/>
        <v>631.3130079</v>
      </c>
      <c r="DQ14" s="38">
        <f t="shared" si="69"/>
        <v>42.7403931</v>
      </c>
      <c r="DT14" s="5">
        <f t="shared" si="70"/>
        <v>517.8220866</v>
      </c>
      <c r="DU14" s="5">
        <f t="shared" si="71"/>
        <v>517.8220866</v>
      </c>
      <c r="DV14" s="38">
        <f t="shared" si="72"/>
        <v>35.0569674</v>
      </c>
      <c r="DX14" s="38"/>
      <c r="DY14" s="38">
        <f t="shared" si="73"/>
        <v>4726.2593418999995</v>
      </c>
      <c r="DZ14" s="5">
        <f t="shared" si="74"/>
        <v>4726.2593418999995</v>
      </c>
      <c r="EA14" s="38">
        <f t="shared" si="75"/>
        <v>319.97151909999997</v>
      </c>
      <c r="EC14" s="38"/>
      <c r="ED14" s="38">
        <f t="shared" si="76"/>
        <v>13632.925683700001</v>
      </c>
      <c r="EE14" s="5">
        <f t="shared" si="77"/>
        <v>13632.925683700001</v>
      </c>
      <c r="EF14" s="38">
        <f t="shared" si="78"/>
        <v>922.9599193</v>
      </c>
      <c r="EI14" s="5">
        <f t="shared" si="79"/>
        <v>139.7297694</v>
      </c>
      <c r="EJ14" s="5">
        <f t="shared" si="80"/>
        <v>139.7297694</v>
      </c>
      <c r="EK14" s="38">
        <f t="shared" si="81"/>
        <v>9.4598166</v>
      </c>
      <c r="EM14" s="5"/>
      <c r="EN14" s="5">
        <f t="shared" si="82"/>
        <v>6603.5488153999995</v>
      </c>
      <c r="EO14" s="5">
        <f t="shared" si="83"/>
        <v>6603.5488153999995</v>
      </c>
      <c r="EP14" s="38">
        <f t="shared" si="84"/>
        <v>447.0655106</v>
      </c>
      <c r="ER14" s="5"/>
      <c r="ES14" s="5">
        <f t="shared" si="85"/>
        <v>465.9766518</v>
      </c>
      <c r="ET14" s="5">
        <f t="shared" si="86"/>
        <v>465.9766518</v>
      </c>
      <c r="EU14" s="38">
        <f t="shared" si="87"/>
        <v>31.5469902</v>
      </c>
    </row>
    <row r="15" spans="1:151" ht="12.75">
      <c r="A15" s="40">
        <v>44652</v>
      </c>
      <c r="C15" s="77">
        <v>6215000</v>
      </c>
      <c r="D15" s="77">
        <v>1053769</v>
      </c>
      <c r="E15" s="37">
        <f t="shared" si="0"/>
        <v>7268769</v>
      </c>
      <c r="F15" s="37">
        <v>71341</v>
      </c>
      <c r="H15" s="50">
        <f t="shared" si="88"/>
        <v>890689.6735</v>
      </c>
      <c r="I15" s="38">
        <f t="shared" si="1"/>
        <v>151018.6913201</v>
      </c>
      <c r="J15" s="38">
        <f t="shared" si="2"/>
        <v>1041708.3648201</v>
      </c>
      <c r="K15" s="38">
        <f t="shared" si="3"/>
        <v>10224.0855989</v>
      </c>
      <c r="M15" s="5">
        <f t="shared" si="89"/>
        <v>205816.5615</v>
      </c>
      <c r="N15" s="5">
        <f t="shared" si="4"/>
        <v>34896.719580900004</v>
      </c>
      <c r="O15" s="5">
        <f t="shared" si="5"/>
        <v>240713.28108090002</v>
      </c>
      <c r="P15" s="38">
        <f t="shared" si="6"/>
        <v>2362.5356901</v>
      </c>
      <c r="R15" s="5">
        <f t="shared" si="90"/>
        <v>21869.342</v>
      </c>
      <c r="S15" s="38">
        <f t="shared" si="7"/>
        <v>3708.0023572</v>
      </c>
      <c r="T15" s="38">
        <f t="shared" si="8"/>
        <v>25577.3443572</v>
      </c>
      <c r="U15" s="38">
        <f t="shared" si="9"/>
        <v>251.0347108</v>
      </c>
      <c r="W15" s="5">
        <f t="shared" si="91"/>
        <v>7490.318</v>
      </c>
      <c r="X15" s="5">
        <f t="shared" si="10"/>
        <v>1270.0023988</v>
      </c>
      <c r="Y15" s="5">
        <f t="shared" si="11"/>
        <v>8760.3203988</v>
      </c>
      <c r="Z15" s="38">
        <f t="shared" si="12"/>
        <v>85.9801732</v>
      </c>
      <c r="AB15" s="5">
        <f t="shared" si="92"/>
        <v>4302.663145</v>
      </c>
      <c r="AC15" s="5">
        <f t="shared" si="13"/>
        <v>729.527440007</v>
      </c>
      <c r="AD15" s="5">
        <f t="shared" si="14"/>
        <v>5032.190585007001</v>
      </c>
      <c r="AE15" s="38">
        <f t="shared" si="15"/>
        <v>49.389588323</v>
      </c>
      <c r="AG15" s="5">
        <f t="shared" si="93"/>
        <v>33185.614</v>
      </c>
      <c r="AH15" s="5">
        <f t="shared" si="16"/>
        <v>5626.7049523999995</v>
      </c>
      <c r="AI15" s="5">
        <f t="shared" si="17"/>
        <v>38812.318952400004</v>
      </c>
      <c r="AJ15" s="38">
        <f t="shared" si="18"/>
        <v>380.9324036</v>
      </c>
      <c r="AL15" s="5">
        <f t="shared" si="94"/>
        <v>202689.1735</v>
      </c>
      <c r="AM15" s="5">
        <f t="shared" si="19"/>
        <v>34366.4630201</v>
      </c>
      <c r="AN15" s="5">
        <f t="shared" si="20"/>
        <v>237055.6365201</v>
      </c>
      <c r="AO15" s="38">
        <f t="shared" si="21"/>
        <v>2326.6368989000002</v>
      </c>
      <c r="AQ15" s="5">
        <f t="shared" si="95"/>
        <v>9673.026</v>
      </c>
      <c r="AR15" s="5">
        <f t="shared" si="22"/>
        <v>1640.0860716000002</v>
      </c>
      <c r="AS15" s="5">
        <f t="shared" si="23"/>
        <v>11313.1120716</v>
      </c>
      <c r="AT15" s="38">
        <f t="shared" si="24"/>
        <v>111.03513240000001</v>
      </c>
      <c r="AV15" s="5">
        <f>C15*$AX$6</f>
        <v>15702.819</v>
      </c>
      <c r="AW15" s="5">
        <f t="shared" si="25"/>
        <v>2662.4527554</v>
      </c>
      <c r="AX15" s="5">
        <f t="shared" si="26"/>
        <v>18365.2717554</v>
      </c>
      <c r="AY15" s="38">
        <f t="shared" si="27"/>
        <v>180.2501706</v>
      </c>
      <c r="BA15" s="38">
        <f t="shared" si="96"/>
        <v>38631.8185</v>
      </c>
      <c r="BB15" s="5">
        <f t="shared" si="28"/>
        <v>6550.1227271</v>
      </c>
      <c r="BC15" s="38">
        <f t="shared" si="29"/>
        <v>45181.941227100004</v>
      </c>
      <c r="BD15" s="38">
        <f t="shared" si="30"/>
        <v>443.4485219</v>
      </c>
      <c r="BF15" s="5">
        <f t="shared" si="97"/>
        <v>1855.799</v>
      </c>
      <c r="BG15" s="5">
        <f t="shared" si="31"/>
        <v>314.6554234</v>
      </c>
      <c r="BH15" s="5">
        <f t="shared" si="32"/>
        <v>2170.4544234</v>
      </c>
      <c r="BI15" s="38">
        <f t="shared" si="33"/>
        <v>21.3024226</v>
      </c>
      <c r="BK15" s="5">
        <f t="shared" si="98"/>
        <v>19814.0415</v>
      </c>
      <c r="BL15" s="5">
        <f t="shared" si="34"/>
        <v>3359.5209489000003</v>
      </c>
      <c r="BM15" s="5">
        <f t="shared" si="35"/>
        <v>23173.5624489</v>
      </c>
      <c r="BN15" s="38">
        <f t="shared" si="36"/>
        <v>227.44224210000002</v>
      </c>
      <c r="BP15" s="5">
        <f t="shared" si="99"/>
        <v>881.2683550000003</v>
      </c>
      <c r="BQ15" s="5">
        <f t="shared" si="37"/>
        <v>149.42128289300004</v>
      </c>
      <c r="BR15" s="5">
        <f t="shared" si="38"/>
        <v>1030.6896378930003</v>
      </c>
      <c r="BS15" s="38">
        <f t="shared" si="39"/>
        <v>10.115939777000003</v>
      </c>
      <c r="BU15" s="5">
        <f t="shared" si="100"/>
        <v>591.0464999999999</v>
      </c>
      <c r="BV15" s="5">
        <f t="shared" si="40"/>
        <v>100.21343189999999</v>
      </c>
      <c r="BW15" s="5">
        <f t="shared" si="41"/>
        <v>691.2599318999999</v>
      </c>
      <c r="BX15" s="38">
        <f t="shared" si="42"/>
        <v>6.784529099999999</v>
      </c>
      <c r="BZ15" s="5">
        <f t="shared" si="101"/>
        <v>987.5635000000001</v>
      </c>
      <c r="CA15" s="5">
        <f t="shared" si="43"/>
        <v>167.44389410000002</v>
      </c>
      <c r="CB15" s="5">
        <f t="shared" si="44"/>
        <v>1155.0073941</v>
      </c>
      <c r="CC15" s="38">
        <f t="shared" si="45"/>
        <v>11.336084900000001</v>
      </c>
      <c r="CE15" s="5">
        <f t="shared" si="102"/>
        <v>18840.7725</v>
      </c>
      <c r="CF15" s="5">
        <f t="shared" si="46"/>
        <v>3194.5007235</v>
      </c>
      <c r="CG15" s="5">
        <f t="shared" si="47"/>
        <v>22035.2732235</v>
      </c>
      <c r="CH15" s="38">
        <f t="shared" si="48"/>
        <v>216.2702415</v>
      </c>
      <c r="CJ15" s="5">
        <f t="shared" si="103"/>
        <v>15207.4835</v>
      </c>
      <c r="CK15" s="5">
        <f t="shared" si="49"/>
        <v>2578.4673661</v>
      </c>
      <c r="CL15" s="38">
        <f t="shared" si="50"/>
        <v>17785.9508661</v>
      </c>
      <c r="CM15" s="38">
        <f t="shared" si="51"/>
        <v>174.5642929</v>
      </c>
      <c r="CO15" s="5">
        <f t="shared" si="104"/>
        <v>2757.5955</v>
      </c>
      <c r="CP15" s="5">
        <f t="shared" si="52"/>
        <v>467.5573053</v>
      </c>
      <c r="CQ15" s="5">
        <f t="shared" si="53"/>
        <v>3225.1528052999997</v>
      </c>
      <c r="CR15" s="38">
        <f t="shared" si="54"/>
        <v>31.6540017</v>
      </c>
      <c r="CT15" s="5">
        <f t="shared" si="105"/>
        <v>1109.3775</v>
      </c>
      <c r="CU15" s="5">
        <f t="shared" si="55"/>
        <v>188.0977665</v>
      </c>
      <c r="CV15" s="5">
        <f t="shared" si="56"/>
        <v>1297.4752665</v>
      </c>
      <c r="CW15" s="38">
        <f t="shared" si="57"/>
        <v>12.7343685</v>
      </c>
      <c r="CY15" s="5">
        <f t="shared" si="106"/>
        <v>8924.1185</v>
      </c>
      <c r="CZ15" s="5">
        <f t="shared" si="58"/>
        <v>1513.1069071</v>
      </c>
      <c r="DA15" s="5">
        <f t="shared" si="59"/>
        <v>10437.2254071</v>
      </c>
      <c r="DB15" s="38">
        <f t="shared" si="60"/>
        <v>102.43854189999999</v>
      </c>
      <c r="DD15" s="5">
        <f t="shared" si="107"/>
        <v>113290.74900000001</v>
      </c>
      <c r="DE15" s="5">
        <f t="shared" si="61"/>
        <v>19208.7335934</v>
      </c>
      <c r="DF15" s="38">
        <f t="shared" si="62"/>
        <v>132499.4825934</v>
      </c>
      <c r="DG15" s="38">
        <f t="shared" si="63"/>
        <v>1300.4465526000001</v>
      </c>
      <c r="DI15" s="5">
        <f t="shared" si="108"/>
        <v>9491.548</v>
      </c>
      <c r="DJ15" s="38">
        <f t="shared" si="64"/>
        <v>1609.3160168</v>
      </c>
      <c r="DK15" s="38">
        <f t="shared" si="65"/>
        <v>11100.8640168</v>
      </c>
      <c r="DL15" s="38">
        <f t="shared" si="66"/>
        <v>108.9519752</v>
      </c>
      <c r="DN15" s="5">
        <f t="shared" si="109"/>
        <v>3723.4065</v>
      </c>
      <c r="DO15" s="38">
        <f t="shared" si="67"/>
        <v>631.3130079</v>
      </c>
      <c r="DP15" s="38">
        <f t="shared" si="68"/>
        <v>4354.7195079</v>
      </c>
      <c r="DQ15" s="38">
        <f t="shared" si="69"/>
        <v>42.7403931</v>
      </c>
      <c r="DS15" s="5">
        <f t="shared" si="110"/>
        <v>3054.051</v>
      </c>
      <c r="DT15" s="5">
        <f t="shared" si="70"/>
        <v>517.8220866</v>
      </c>
      <c r="DU15" s="5">
        <f t="shared" si="71"/>
        <v>3571.8730866</v>
      </c>
      <c r="DV15" s="38">
        <f t="shared" si="72"/>
        <v>35.0569674</v>
      </c>
      <c r="DX15" s="38">
        <f t="shared" si="111"/>
        <v>27874.8965</v>
      </c>
      <c r="DY15" s="38">
        <f t="shared" si="73"/>
        <v>4726.2593418999995</v>
      </c>
      <c r="DZ15" s="5">
        <f t="shared" si="74"/>
        <v>32601.1558419</v>
      </c>
      <c r="EA15" s="38">
        <f t="shared" si="75"/>
        <v>319.97151909999997</v>
      </c>
      <c r="EC15" s="38">
        <f t="shared" si="112"/>
        <v>80405.3195</v>
      </c>
      <c r="ED15" s="38">
        <f t="shared" si="76"/>
        <v>13632.925683700001</v>
      </c>
      <c r="EE15" s="5">
        <f t="shared" si="77"/>
        <v>94038.2451837</v>
      </c>
      <c r="EF15" s="38">
        <f t="shared" si="78"/>
        <v>922.9599193</v>
      </c>
      <c r="EH15" s="5">
        <f t="shared" si="113"/>
        <v>824.109</v>
      </c>
      <c r="EI15" s="5">
        <f t="shared" si="79"/>
        <v>139.7297694</v>
      </c>
      <c r="EJ15" s="5">
        <f t="shared" si="80"/>
        <v>963.8387694</v>
      </c>
      <c r="EK15" s="38">
        <f t="shared" si="81"/>
        <v>9.4598166</v>
      </c>
      <c r="EM15" s="5">
        <f t="shared" si="114"/>
        <v>38946.919</v>
      </c>
      <c r="EN15" s="5">
        <f t="shared" si="82"/>
        <v>6603.5488153999995</v>
      </c>
      <c r="EO15" s="5">
        <f t="shared" si="83"/>
        <v>45550.4678154</v>
      </c>
      <c r="EP15" s="38">
        <f t="shared" si="84"/>
        <v>447.0655106</v>
      </c>
      <c r="ER15" s="5">
        <f t="shared" si="115"/>
        <v>2748.273</v>
      </c>
      <c r="ES15" s="5">
        <f t="shared" si="85"/>
        <v>465.9766518</v>
      </c>
      <c r="ET15" s="5">
        <f t="shared" si="86"/>
        <v>3214.2496518000003</v>
      </c>
      <c r="EU15" s="38">
        <f t="shared" si="87"/>
        <v>31.5469902</v>
      </c>
    </row>
    <row r="16" spans="1:151" ht="12.75">
      <c r="A16" s="40">
        <v>44835</v>
      </c>
      <c r="C16" s="77"/>
      <c r="D16" s="77">
        <v>956815</v>
      </c>
      <c r="E16" s="37">
        <f t="shared" si="0"/>
        <v>956815</v>
      </c>
      <c r="F16" s="37">
        <v>71341</v>
      </c>
      <c r="H16" s="50"/>
      <c r="I16" s="38">
        <f t="shared" si="1"/>
        <v>137123.9324135</v>
      </c>
      <c r="J16" s="38">
        <f t="shared" si="2"/>
        <v>137123.9324135</v>
      </c>
      <c r="K16" s="38">
        <f t="shared" si="3"/>
        <v>10224.0855989</v>
      </c>
      <c r="N16" s="5">
        <f t="shared" si="4"/>
        <v>31685.981221500002</v>
      </c>
      <c r="O16" s="5">
        <f t="shared" si="5"/>
        <v>31685.981221500002</v>
      </c>
      <c r="P16" s="38">
        <f t="shared" si="6"/>
        <v>2362.5356901</v>
      </c>
      <c r="S16" s="38">
        <f t="shared" si="7"/>
        <v>3366.8406219999997</v>
      </c>
      <c r="T16" s="38">
        <f t="shared" si="8"/>
        <v>3366.8406219999997</v>
      </c>
      <c r="U16" s="38">
        <f t="shared" si="9"/>
        <v>251.0347108</v>
      </c>
      <c r="X16" s="5">
        <f t="shared" si="10"/>
        <v>1153.153438</v>
      </c>
      <c r="Y16" s="5">
        <f t="shared" si="11"/>
        <v>1153.153438</v>
      </c>
      <c r="Z16" s="38">
        <f t="shared" si="12"/>
        <v>85.9801732</v>
      </c>
      <c r="AC16" s="5">
        <f t="shared" si="13"/>
        <v>662.405894945</v>
      </c>
      <c r="AD16" s="5">
        <f t="shared" si="14"/>
        <v>662.405894945</v>
      </c>
      <c r="AE16" s="38">
        <f t="shared" si="15"/>
        <v>49.389588323</v>
      </c>
      <c r="AH16" s="5">
        <f t="shared" si="16"/>
        <v>5109.009374</v>
      </c>
      <c r="AI16" s="5">
        <f t="shared" si="17"/>
        <v>5109.009374</v>
      </c>
      <c r="AJ16" s="38">
        <f t="shared" si="18"/>
        <v>380.9324036</v>
      </c>
      <c r="AM16" s="5">
        <f t="shared" si="19"/>
        <v>31204.5119135</v>
      </c>
      <c r="AN16" s="5">
        <f t="shared" si="20"/>
        <v>31204.5119135</v>
      </c>
      <c r="AO16" s="38">
        <f t="shared" si="21"/>
        <v>2326.6368989000002</v>
      </c>
      <c r="AR16" s="5">
        <f t="shared" si="22"/>
        <v>1489.186866</v>
      </c>
      <c r="AS16" s="5">
        <f t="shared" si="23"/>
        <v>1489.186866</v>
      </c>
      <c r="AT16" s="38">
        <f t="shared" si="24"/>
        <v>111.03513240000001</v>
      </c>
      <c r="AW16" s="5">
        <f t="shared" si="25"/>
        <v>2417.488779</v>
      </c>
      <c r="AX16" s="5">
        <f t="shared" si="26"/>
        <v>2417.488779</v>
      </c>
      <c r="AY16" s="38">
        <f t="shared" si="27"/>
        <v>180.2501706</v>
      </c>
      <c r="BA16" s="38"/>
      <c r="BB16" s="5">
        <f t="shared" si="28"/>
        <v>5947.4663585</v>
      </c>
      <c r="BC16" s="38">
        <f t="shared" si="29"/>
        <v>5947.4663585</v>
      </c>
      <c r="BD16" s="38">
        <f t="shared" si="30"/>
        <v>443.4485219</v>
      </c>
      <c r="BG16" s="5">
        <f t="shared" si="31"/>
        <v>285.704959</v>
      </c>
      <c r="BH16" s="5">
        <f t="shared" si="32"/>
        <v>285.704959</v>
      </c>
      <c r="BI16" s="38">
        <f t="shared" si="33"/>
        <v>21.3024226</v>
      </c>
      <c r="BL16" s="5">
        <f t="shared" si="34"/>
        <v>3050.4219015000003</v>
      </c>
      <c r="BM16" s="5">
        <f t="shared" si="35"/>
        <v>3050.4219015000003</v>
      </c>
      <c r="BN16" s="38">
        <f t="shared" si="36"/>
        <v>227.44224210000002</v>
      </c>
      <c r="BQ16" s="5">
        <f t="shared" si="37"/>
        <v>135.67349655500004</v>
      </c>
      <c r="BR16" s="5">
        <f t="shared" si="38"/>
        <v>135.67349655500004</v>
      </c>
      <c r="BS16" s="38">
        <f t="shared" si="39"/>
        <v>10.115939777000003</v>
      </c>
      <c r="BV16" s="5">
        <f t="shared" si="40"/>
        <v>90.9931065</v>
      </c>
      <c r="BW16" s="5">
        <f t="shared" si="41"/>
        <v>90.9931065</v>
      </c>
      <c r="BX16" s="38">
        <f t="shared" si="42"/>
        <v>6.784529099999999</v>
      </c>
      <c r="CA16" s="5">
        <f t="shared" si="43"/>
        <v>152.0379035</v>
      </c>
      <c r="CB16" s="5">
        <f t="shared" si="44"/>
        <v>152.0379035</v>
      </c>
      <c r="CC16" s="38">
        <f t="shared" si="45"/>
        <v>11.336084900000001</v>
      </c>
      <c r="CF16" s="5">
        <f t="shared" si="46"/>
        <v>2900.5846725</v>
      </c>
      <c r="CG16" s="5">
        <f t="shared" si="47"/>
        <v>2900.5846725</v>
      </c>
      <c r="CH16" s="38">
        <f t="shared" si="48"/>
        <v>216.2702415</v>
      </c>
      <c r="CK16" s="5">
        <f t="shared" si="49"/>
        <v>2341.2306235</v>
      </c>
      <c r="CL16" s="38">
        <f t="shared" si="50"/>
        <v>2341.2306235</v>
      </c>
      <c r="CM16" s="38">
        <f t="shared" si="51"/>
        <v>174.5642929</v>
      </c>
      <c r="CP16" s="5">
        <f t="shared" si="52"/>
        <v>424.5388155</v>
      </c>
      <c r="CQ16" s="5">
        <f t="shared" si="53"/>
        <v>424.5388155</v>
      </c>
      <c r="CR16" s="38">
        <f t="shared" si="54"/>
        <v>31.6540017</v>
      </c>
      <c r="CU16" s="5">
        <f t="shared" si="55"/>
        <v>170.7914775</v>
      </c>
      <c r="CV16" s="5">
        <f t="shared" si="56"/>
        <v>170.7914775</v>
      </c>
      <c r="CW16" s="38">
        <f t="shared" si="57"/>
        <v>12.7343685</v>
      </c>
      <c r="CZ16" s="5">
        <f t="shared" si="58"/>
        <v>1373.8906585</v>
      </c>
      <c r="DA16" s="5">
        <f t="shared" si="59"/>
        <v>1373.8906585</v>
      </c>
      <c r="DB16" s="38">
        <f t="shared" si="60"/>
        <v>102.43854189999999</v>
      </c>
      <c r="DE16" s="5">
        <f t="shared" si="61"/>
        <v>17441.397909</v>
      </c>
      <c r="DF16" s="38">
        <f t="shared" si="62"/>
        <v>17441.397909</v>
      </c>
      <c r="DG16" s="38">
        <f t="shared" si="63"/>
        <v>1300.4465526000001</v>
      </c>
      <c r="DJ16" s="38">
        <f t="shared" si="64"/>
        <v>1461.2478680000002</v>
      </c>
      <c r="DK16" s="38">
        <f t="shared" si="65"/>
        <v>1461.2478680000002</v>
      </c>
      <c r="DL16" s="38">
        <f t="shared" si="66"/>
        <v>108.9519752</v>
      </c>
      <c r="DO16" s="38">
        <f t="shared" si="67"/>
        <v>573.2278665</v>
      </c>
      <c r="DP16" s="38">
        <f t="shared" si="68"/>
        <v>573.2278665</v>
      </c>
      <c r="DQ16" s="38">
        <f t="shared" si="69"/>
        <v>42.7403931</v>
      </c>
      <c r="DT16" s="5">
        <f t="shared" si="70"/>
        <v>470.178891</v>
      </c>
      <c r="DU16" s="5">
        <f t="shared" si="71"/>
        <v>470.178891</v>
      </c>
      <c r="DV16" s="38">
        <f t="shared" si="72"/>
        <v>35.0569674</v>
      </c>
      <c r="DX16" s="38"/>
      <c r="DY16" s="38">
        <f t="shared" si="73"/>
        <v>4291.4109565</v>
      </c>
      <c r="DZ16" s="5">
        <f t="shared" si="74"/>
        <v>4291.4109565</v>
      </c>
      <c r="EA16" s="38">
        <f t="shared" si="75"/>
        <v>319.97151909999997</v>
      </c>
      <c r="EC16" s="38"/>
      <c r="ED16" s="38">
        <f t="shared" si="76"/>
        <v>12378.602699500001</v>
      </c>
      <c r="EE16" s="5">
        <f t="shared" si="77"/>
        <v>12378.602699500001</v>
      </c>
      <c r="EF16" s="38">
        <f t="shared" si="78"/>
        <v>922.9599193</v>
      </c>
      <c r="EI16" s="5">
        <f t="shared" si="79"/>
        <v>126.87366899999999</v>
      </c>
      <c r="EJ16" s="5">
        <f t="shared" si="80"/>
        <v>126.87366899999999</v>
      </c>
      <c r="EK16" s="38">
        <f t="shared" si="81"/>
        <v>9.4598166</v>
      </c>
      <c r="EM16" s="5"/>
      <c r="EN16" s="5">
        <f t="shared" si="82"/>
        <v>5995.976879</v>
      </c>
      <c r="EO16" s="5">
        <f t="shared" si="83"/>
        <v>5995.976879</v>
      </c>
      <c r="EP16" s="38">
        <f t="shared" si="84"/>
        <v>447.0655106</v>
      </c>
      <c r="ER16" s="5"/>
      <c r="ES16" s="5">
        <f t="shared" si="85"/>
        <v>423.103593</v>
      </c>
      <c r="ET16" s="5">
        <f t="shared" si="86"/>
        <v>423.103593</v>
      </c>
      <c r="EU16" s="38">
        <f t="shared" si="87"/>
        <v>31.5469902</v>
      </c>
    </row>
    <row r="17" spans="1:151" ht="12.75">
      <c r="A17" s="40">
        <v>45017</v>
      </c>
      <c r="C17" s="77">
        <v>6410000</v>
      </c>
      <c r="D17" s="77">
        <v>956815</v>
      </c>
      <c r="E17" s="37">
        <f t="shared" si="0"/>
        <v>7366815</v>
      </c>
      <c r="F17" s="37">
        <v>71341</v>
      </c>
      <c r="H17" s="50">
        <f t="shared" si="88"/>
        <v>918635.6889999999</v>
      </c>
      <c r="I17" s="38">
        <f t="shared" si="1"/>
        <v>137123.9324135</v>
      </c>
      <c r="J17" s="38">
        <f t="shared" si="2"/>
        <v>1055759.6214134998</v>
      </c>
      <c r="K17" s="38">
        <f t="shared" si="3"/>
        <v>10224.0855989</v>
      </c>
      <c r="M17" s="5">
        <f t="shared" si="89"/>
        <v>212274.20100000003</v>
      </c>
      <c r="N17" s="5">
        <f t="shared" si="4"/>
        <v>31685.981221500002</v>
      </c>
      <c r="O17" s="5">
        <f t="shared" si="5"/>
        <v>243960.18222150003</v>
      </c>
      <c r="P17" s="38">
        <f t="shared" si="6"/>
        <v>2362.5356901</v>
      </c>
      <c r="R17" s="5">
        <f t="shared" si="90"/>
        <v>22555.507999999998</v>
      </c>
      <c r="S17" s="38">
        <f t="shared" si="7"/>
        <v>3366.8406219999997</v>
      </c>
      <c r="T17" s="38">
        <f t="shared" si="8"/>
        <v>25922.348621999998</v>
      </c>
      <c r="U17" s="38">
        <f t="shared" si="9"/>
        <v>251.0347108</v>
      </c>
      <c r="W17" s="5">
        <f t="shared" si="91"/>
        <v>7725.332</v>
      </c>
      <c r="X17" s="5">
        <f t="shared" si="10"/>
        <v>1153.153438</v>
      </c>
      <c r="Y17" s="5">
        <f t="shared" si="11"/>
        <v>8878.485438</v>
      </c>
      <c r="Z17" s="38">
        <f t="shared" si="12"/>
        <v>85.9801732</v>
      </c>
      <c r="AB17" s="5">
        <f t="shared" si="92"/>
        <v>4437.66223</v>
      </c>
      <c r="AC17" s="5">
        <f t="shared" si="13"/>
        <v>662.405894945</v>
      </c>
      <c r="AD17" s="5">
        <f t="shared" si="14"/>
        <v>5100.068124945</v>
      </c>
      <c r="AE17" s="38">
        <f t="shared" si="15"/>
        <v>49.389588323</v>
      </c>
      <c r="AG17" s="5">
        <f t="shared" si="93"/>
        <v>34226.836</v>
      </c>
      <c r="AH17" s="5">
        <f t="shared" si="16"/>
        <v>5109.009374</v>
      </c>
      <c r="AI17" s="5">
        <f t="shared" si="17"/>
        <v>39335.845374000004</v>
      </c>
      <c r="AJ17" s="38">
        <f t="shared" si="18"/>
        <v>380.9324036</v>
      </c>
      <c r="AL17" s="5">
        <f t="shared" si="94"/>
        <v>209048.689</v>
      </c>
      <c r="AM17" s="5">
        <f t="shared" si="19"/>
        <v>31204.5119135</v>
      </c>
      <c r="AN17" s="5">
        <f t="shared" si="20"/>
        <v>240253.2009135</v>
      </c>
      <c r="AO17" s="38">
        <f t="shared" si="21"/>
        <v>2326.6368989000002</v>
      </c>
      <c r="AQ17" s="5">
        <f t="shared" si="95"/>
        <v>9976.524000000001</v>
      </c>
      <c r="AR17" s="5">
        <f t="shared" si="22"/>
        <v>1489.186866</v>
      </c>
      <c r="AS17" s="5">
        <f t="shared" si="23"/>
        <v>11465.710866000001</v>
      </c>
      <c r="AT17" s="38">
        <f t="shared" si="24"/>
        <v>111.03513240000001</v>
      </c>
      <c r="AV17" s="5">
        <f>C17*$AX$6</f>
        <v>16195.506</v>
      </c>
      <c r="AW17" s="5">
        <f t="shared" si="25"/>
        <v>2417.488779</v>
      </c>
      <c r="AX17" s="5">
        <f t="shared" si="26"/>
        <v>18612.994779</v>
      </c>
      <c r="AY17" s="38">
        <f t="shared" si="27"/>
        <v>180.2501706</v>
      </c>
      <c r="BA17" s="38">
        <f t="shared" si="96"/>
        <v>39843.919</v>
      </c>
      <c r="BB17" s="5">
        <f t="shared" si="28"/>
        <v>5947.4663585</v>
      </c>
      <c r="BC17" s="38">
        <f t="shared" si="29"/>
        <v>45791.3853585</v>
      </c>
      <c r="BD17" s="38">
        <f t="shared" si="30"/>
        <v>443.4485219</v>
      </c>
      <c r="BF17" s="5">
        <f t="shared" si="97"/>
        <v>1914.026</v>
      </c>
      <c r="BG17" s="5">
        <f t="shared" si="31"/>
        <v>285.704959</v>
      </c>
      <c r="BH17" s="5">
        <f t="shared" si="32"/>
        <v>2199.730959</v>
      </c>
      <c r="BI17" s="38">
        <f t="shared" si="33"/>
        <v>21.3024226</v>
      </c>
      <c r="BK17" s="5">
        <f t="shared" si="98"/>
        <v>20435.721</v>
      </c>
      <c r="BL17" s="5">
        <f t="shared" si="34"/>
        <v>3050.4219015000003</v>
      </c>
      <c r="BM17" s="5">
        <f t="shared" si="35"/>
        <v>23486.142901500003</v>
      </c>
      <c r="BN17" s="38">
        <f t="shared" si="36"/>
        <v>227.44224210000002</v>
      </c>
      <c r="BP17" s="5">
        <f t="shared" si="99"/>
        <v>908.9187700000002</v>
      </c>
      <c r="BQ17" s="5">
        <f t="shared" si="37"/>
        <v>135.67349655500004</v>
      </c>
      <c r="BR17" s="5">
        <f t="shared" si="38"/>
        <v>1044.5922665550002</v>
      </c>
      <c r="BS17" s="38">
        <f t="shared" si="39"/>
        <v>10.115939777000003</v>
      </c>
      <c r="BU17" s="5">
        <f t="shared" si="100"/>
        <v>609.591</v>
      </c>
      <c r="BV17" s="5">
        <f t="shared" si="40"/>
        <v>90.9931065</v>
      </c>
      <c r="BW17" s="5">
        <f t="shared" si="41"/>
        <v>700.5841065</v>
      </c>
      <c r="BX17" s="38">
        <f t="shared" si="42"/>
        <v>6.784529099999999</v>
      </c>
      <c r="BZ17" s="5">
        <f t="shared" si="101"/>
        <v>1018.5490000000001</v>
      </c>
      <c r="CA17" s="5">
        <f t="shared" si="43"/>
        <v>152.0379035</v>
      </c>
      <c r="CB17" s="5">
        <f t="shared" si="44"/>
        <v>1170.5869035</v>
      </c>
      <c r="CC17" s="38">
        <f t="shared" si="45"/>
        <v>11.336084900000001</v>
      </c>
      <c r="CE17" s="5">
        <f t="shared" si="102"/>
        <v>19431.915</v>
      </c>
      <c r="CF17" s="5">
        <f t="shared" si="46"/>
        <v>2900.5846725</v>
      </c>
      <c r="CG17" s="5">
        <f t="shared" si="47"/>
        <v>22332.499672500002</v>
      </c>
      <c r="CH17" s="38">
        <f t="shared" si="48"/>
        <v>216.2702415</v>
      </c>
      <c r="CJ17" s="5">
        <f t="shared" si="103"/>
        <v>15684.629</v>
      </c>
      <c r="CK17" s="5">
        <f t="shared" si="49"/>
        <v>2341.2306235</v>
      </c>
      <c r="CL17" s="38">
        <f t="shared" si="50"/>
        <v>18025.8596235</v>
      </c>
      <c r="CM17" s="38">
        <f t="shared" si="51"/>
        <v>174.5642929</v>
      </c>
      <c r="CO17" s="5">
        <f t="shared" si="104"/>
        <v>2844.117</v>
      </c>
      <c r="CP17" s="5">
        <f t="shared" si="52"/>
        <v>424.5388155</v>
      </c>
      <c r="CQ17" s="5">
        <f t="shared" si="53"/>
        <v>3268.6558155000002</v>
      </c>
      <c r="CR17" s="38">
        <f t="shared" si="54"/>
        <v>31.6540017</v>
      </c>
      <c r="CT17" s="5">
        <f t="shared" si="105"/>
        <v>1144.185</v>
      </c>
      <c r="CU17" s="5">
        <f t="shared" si="55"/>
        <v>170.7914775</v>
      </c>
      <c r="CV17" s="5">
        <f t="shared" si="56"/>
        <v>1314.9764774999999</v>
      </c>
      <c r="CW17" s="38">
        <f t="shared" si="57"/>
        <v>12.7343685</v>
      </c>
      <c r="CY17" s="5">
        <f t="shared" si="106"/>
        <v>9204.118999999999</v>
      </c>
      <c r="CZ17" s="5">
        <f t="shared" si="58"/>
        <v>1373.8906585</v>
      </c>
      <c r="DA17" s="5">
        <f t="shared" si="59"/>
        <v>10578.0096585</v>
      </c>
      <c r="DB17" s="38">
        <f t="shared" si="60"/>
        <v>102.43854189999999</v>
      </c>
      <c r="DD17" s="5">
        <f t="shared" si="107"/>
        <v>116845.326</v>
      </c>
      <c r="DE17" s="5">
        <f t="shared" si="61"/>
        <v>17441.397909</v>
      </c>
      <c r="DF17" s="38">
        <f t="shared" si="62"/>
        <v>134286.723909</v>
      </c>
      <c r="DG17" s="38">
        <f t="shared" si="63"/>
        <v>1300.4465526000001</v>
      </c>
      <c r="DI17" s="5">
        <f t="shared" si="108"/>
        <v>9789.352</v>
      </c>
      <c r="DJ17" s="38">
        <f t="shared" si="64"/>
        <v>1461.2478680000002</v>
      </c>
      <c r="DK17" s="38">
        <f t="shared" si="65"/>
        <v>11250.599868000001</v>
      </c>
      <c r="DL17" s="38">
        <f t="shared" si="66"/>
        <v>108.9519752</v>
      </c>
      <c r="DN17" s="5">
        <f t="shared" si="109"/>
        <v>3840.2309999999998</v>
      </c>
      <c r="DO17" s="38">
        <f t="shared" si="67"/>
        <v>573.2278665</v>
      </c>
      <c r="DP17" s="38">
        <f t="shared" si="68"/>
        <v>4413.4588665</v>
      </c>
      <c r="DQ17" s="38">
        <f t="shared" si="69"/>
        <v>42.7403931</v>
      </c>
      <c r="DS17" s="5">
        <f t="shared" si="110"/>
        <v>3149.8740000000003</v>
      </c>
      <c r="DT17" s="5">
        <f t="shared" si="70"/>
        <v>470.178891</v>
      </c>
      <c r="DU17" s="5">
        <f t="shared" si="71"/>
        <v>3620.0528910000003</v>
      </c>
      <c r="DV17" s="38">
        <f t="shared" si="72"/>
        <v>35.0569674</v>
      </c>
      <c r="DX17" s="38">
        <f t="shared" si="111"/>
        <v>28749.490999999998</v>
      </c>
      <c r="DY17" s="38">
        <f t="shared" si="73"/>
        <v>4291.4109565</v>
      </c>
      <c r="DZ17" s="5">
        <f t="shared" si="74"/>
        <v>33040.9019565</v>
      </c>
      <c r="EA17" s="38">
        <f t="shared" si="75"/>
        <v>319.97151909999997</v>
      </c>
      <c r="EC17" s="38">
        <f t="shared" si="112"/>
        <v>82928.09300000001</v>
      </c>
      <c r="ED17" s="38">
        <f t="shared" si="76"/>
        <v>12378.602699500001</v>
      </c>
      <c r="EE17" s="5">
        <f t="shared" si="77"/>
        <v>95306.69569950001</v>
      </c>
      <c r="EF17" s="38">
        <f t="shared" si="78"/>
        <v>922.9599193</v>
      </c>
      <c r="EH17" s="5">
        <f t="shared" si="113"/>
        <v>849.966</v>
      </c>
      <c r="EI17" s="5">
        <f t="shared" si="79"/>
        <v>126.87366899999999</v>
      </c>
      <c r="EJ17" s="5">
        <f t="shared" si="80"/>
        <v>976.839669</v>
      </c>
      <c r="EK17" s="38">
        <f t="shared" si="81"/>
        <v>9.4598166</v>
      </c>
      <c r="EM17" s="5">
        <f t="shared" si="114"/>
        <v>40168.905999999995</v>
      </c>
      <c r="EN17" s="5">
        <f t="shared" si="82"/>
        <v>5995.976879</v>
      </c>
      <c r="EO17" s="5">
        <f t="shared" si="83"/>
        <v>46164.882879</v>
      </c>
      <c r="EP17" s="38">
        <f t="shared" si="84"/>
        <v>447.0655106</v>
      </c>
      <c r="ER17" s="5">
        <f t="shared" si="115"/>
        <v>2834.502</v>
      </c>
      <c r="ES17" s="5">
        <f t="shared" si="85"/>
        <v>423.103593</v>
      </c>
      <c r="ET17" s="5">
        <f t="shared" si="86"/>
        <v>3257.6055929999998</v>
      </c>
      <c r="EU17" s="38">
        <f t="shared" si="87"/>
        <v>31.5469902</v>
      </c>
    </row>
    <row r="18" spans="1:151" ht="12.75">
      <c r="A18" s="40">
        <v>45200</v>
      </c>
      <c r="C18" s="77"/>
      <c r="D18" s="77">
        <v>855777</v>
      </c>
      <c r="E18" s="37">
        <f t="shared" si="0"/>
        <v>855777</v>
      </c>
      <c r="F18" s="37">
        <v>71341</v>
      </c>
      <c r="H18" s="50"/>
      <c r="I18" s="38">
        <f t="shared" si="1"/>
        <v>122643.8836233</v>
      </c>
      <c r="J18" s="38">
        <f t="shared" si="2"/>
        <v>122643.8836233</v>
      </c>
      <c r="K18" s="38">
        <f t="shared" si="3"/>
        <v>10224.0855989</v>
      </c>
      <c r="N18" s="5">
        <f t="shared" si="4"/>
        <v>28339.9967097</v>
      </c>
      <c r="O18" s="5">
        <f t="shared" si="5"/>
        <v>28339.9967097</v>
      </c>
      <c r="P18" s="38">
        <f t="shared" si="6"/>
        <v>2362.5356901</v>
      </c>
      <c r="S18" s="38">
        <f t="shared" si="7"/>
        <v>3011.3081076</v>
      </c>
      <c r="T18" s="38">
        <f t="shared" si="8"/>
        <v>3011.3081076</v>
      </c>
      <c r="U18" s="38">
        <f t="shared" si="9"/>
        <v>251.0347108</v>
      </c>
      <c r="X18" s="5">
        <f t="shared" si="10"/>
        <v>1031.3824404</v>
      </c>
      <c r="Y18" s="5">
        <f t="shared" si="11"/>
        <v>1031.3824404</v>
      </c>
      <c r="Z18" s="38">
        <f t="shared" si="12"/>
        <v>85.9801732</v>
      </c>
      <c r="AC18" s="5">
        <f t="shared" si="13"/>
        <v>592.456984431</v>
      </c>
      <c r="AD18" s="5">
        <f t="shared" si="14"/>
        <v>592.456984431</v>
      </c>
      <c r="AE18" s="38">
        <f t="shared" si="15"/>
        <v>49.389588323</v>
      </c>
      <c r="AH18" s="5">
        <f t="shared" si="16"/>
        <v>4569.5068691999995</v>
      </c>
      <c r="AI18" s="5">
        <f t="shared" si="17"/>
        <v>4569.5068691999995</v>
      </c>
      <c r="AJ18" s="38">
        <f t="shared" si="18"/>
        <v>380.9324036</v>
      </c>
      <c r="AM18" s="5">
        <f t="shared" si="19"/>
        <v>27909.3697233</v>
      </c>
      <c r="AN18" s="5">
        <f t="shared" si="20"/>
        <v>27909.3697233</v>
      </c>
      <c r="AO18" s="38">
        <f t="shared" si="21"/>
        <v>2326.6368989000002</v>
      </c>
      <c r="AR18" s="5">
        <f t="shared" si="22"/>
        <v>1331.9313228</v>
      </c>
      <c r="AS18" s="5">
        <f t="shared" si="23"/>
        <v>1331.9313228</v>
      </c>
      <c r="AT18" s="38">
        <f t="shared" si="24"/>
        <v>111.03513240000001</v>
      </c>
      <c r="AW18" s="5">
        <f t="shared" si="25"/>
        <v>2162.2061682</v>
      </c>
      <c r="AX18" s="5">
        <f t="shared" si="26"/>
        <v>2162.2061682</v>
      </c>
      <c r="AY18" s="38">
        <f t="shared" si="27"/>
        <v>180.2501706</v>
      </c>
      <c r="BA18" s="38"/>
      <c r="BB18" s="5">
        <f t="shared" si="28"/>
        <v>5319.4242543</v>
      </c>
      <c r="BC18" s="38">
        <f t="shared" si="29"/>
        <v>5319.4242543</v>
      </c>
      <c r="BD18" s="38">
        <f t="shared" si="30"/>
        <v>443.4485219</v>
      </c>
      <c r="BG18" s="5">
        <f t="shared" si="31"/>
        <v>255.53501219999998</v>
      </c>
      <c r="BH18" s="5">
        <f t="shared" si="32"/>
        <v>255.53501219999998</v>
      </c>
      <c r="BI18" s="38">
        <f t="shared" si="33"/>
        <v>21.3024226</v>
      </c>
      <c r="BL18" s="5">
        <f t="shared" si="34"/>
        <v>2728.3026537</v>
      </c>
      <c r="BM18" s="5">
        <f t="shared" si="35"/>
        <v>2728.3026537</v>
      </c>
      <c r="BN18" s="38">
        <f t="shared" si="36"/>
        <v>227.44224210000002</v>
      </c>
      <c r="BQ18" s="5">
        <f t="shared" si="37"/>
        <v>121.34661126900004</v>
      </c>
      <c r="BR18" s="5">
        <f t="shared" si="38"/>
        <v>121.34661126900004</v>
      </c>
      <c r="BS18" s="38">
        <f t="shared" si="39"/>
        <v>10.115939777000003</v>
      </c>
      <c r="BV18" s="5">
        <f t="shared" si="40"/>
        <v>81.38439269999999</v>
      </c>
      <c r="BW18" s="5">
        <f t="shared" si="41"/>
        <v>81.38439269999999</v>
      </c>
      <c r="BX18" s="38">
        <f t="shared" si="42"/>
        <v>6.784529099999999</v>
      </c>
      <c r="CA18" s="5">
        <f t="shared" si="43"/>
        <v>135.98296530000002</v>
      </c>
      <c r="CB18" s="5">
        <f t="shared" si="44"/>
        <v>135.98296530000002</v>
      </c>
      <c r="CC18" s="38">
        <f t="shared" si="45"/>
        <v>11.336084900000001</v>
      </c>
      <c r="CF18" s="5">
        <f t="shared" si="46"/>
        <v>2594.2879755</v>
      </c>
      <c r="CG18" s="5">
        <f t="shared" si="47"/>
        <v>2594.2879755</v>
      </c>
      <c r="CH18" s="38">
        <f t="shared" si="48"/>
        <v>216.2702415</v>
      </c>
      <c r="CK18" s="5">
        <f t="shared" si="49"/>
        <v>2094.0007413000003</v>
      </c>
      <c r="CL18" s="38">
        <f t="shared" si="50"/>
        <v>2094.0007413000003</v>
      </c>
      <c r="CM18" s="38">
        <f t="shared" si="51"/>
        <v>174.5642929</v>
      </c>
      <c r="CP18" s="5">
        <f t="shared" si="52"/>
        <v>379.7082549</v>
      </c>
      <c r="CQ18" s="5">
        <f t="shared" si="53"/>
        <v>379.7082549</v>
      </c>
      <c r="CR18" s="38">
        <f t="shared" si="54"/>
        <v>31.6540017</v>
      </c>
      <c r="CU18" s="5">
        <f t="shared" si="55"/>
        <v>152.7561945</v>
      </c>
      <c r="CV18" s="5">
        <f t="shared" si="56"/>
        <v>152.7561945</v>
      </c>
      <c r="CW18" s="38">
        <f t="shared" si="57"/>
        <v>12.7343685</v>
      </c>
      <c r="CZ18" s="5">
        <f t="shared" si="58"/>
        <v>1228.8101943</v>
      </c>
      <c r="DA18" s="5">
        <f t="shared" si="59"/>
        <v>1228.8101943</v>
      </c>
      <c r="DB18" s="38">
        <f t="shared" si="60"/>
        <v>102.43854189999999</v>
      </c>
      <c r="DE18" s="5">
        <f t="shared" si="61"/>
        <v>15599.616622200001</v>
      </c>
      <c r="DF18" s="38">
        <f t="shared" si="62"/>
        <v>15599.616622200001</v>
      </c>
      <c r="DG18" s="38">
        <f t="shared" si="63"/>
        <v>1300.4465526000001</v>
      </c>
      <c r="DJ18" s="38">
        <f t="shared" si="64"/>
        <v>1306.9426344</v>
      </c>
      <c r="DK18" s="38">
        <f t="shared" si="65"/>
        <v>1306.9426344</v>
      </c>
      <c r="DL18" s="38">
        <f t="shared" si="66"/>
        <v>108.9519752</v>
      </c>
      <c r="DO18" s="38">
        <f t="shared" si="67"/>
        <v>512.6960007</v>
      </c>
      <c r="DP18" s="38">
        <f t="shared" si="68"/>
        <v>512.6960007</v>
      </c>
      <c r="DQ18" s="38">
        <f t="shared" si="69"/>
        <v>42.7403931</v>
      </c>
      <c r="DT18" s="5">
        <f t="shared" si="70"/>
        <v>420.5288178</v>
      </c>
      <c r="DU18" s="5">
        <f t="shared" si="71"/>
        <v>420.5288178</v>
      </c>
      <c r="DV18" s="38">
        <f t="shared" si="72"/>
        <v>35.0569674</v>
      </c>
      <c r="DX18" s="38"/>
      <c r="DY18" s="38">
        <f t="shared" si="73"/>
        <v>3838.2454227</v>
      </c>
      <c r="DZ18" s="5">
        <f t="shared" si="74"/>
        <v>3838.2454227</v>
      </c>
      <c r="EA18" s="38">
        <f t="shared" si="75"/>
        <v>319.97151909999997</v>
      </c>
      <c r="EC18" s="38"/>
      <c r="ED18" s="38">
        <f t="shared" si="76"/>
        <v>11071.443782100001</v>
      </c>
      <c r="EE18" s="5">
        <f t="shared" si="77"/>
        <v>11071.443782100001</v>
      </c>
      <c r="EF18" s="38">
        <f t="shared" si="78"/>
        <v>922.9599193</v>
      </c>
      <c r="EI18" s="5">
        <f t="shared" si="79"/>
        <v>113.4760302</v>
      </c>
      <c r="EJ18" s="5">
        <f t="shared" si="80"/>
        <v>113.4760302</v>
      </c>
      <c r="EK18" s="38">
        <f t="shared" si="81"/>
        <v>9.4598166</v>
      </c>
      <c r="EM18" s="5"/>
      <c r="EN18" s="5">
        <f t="shared" si="82"/>
        <v>5362.8121482</v>
      </c>
      <c r="EO18" s="5">
        <f t="shared" si="83"/>
        <v>5362.8121482</v>
      </c>
      <c r="EP18" s="38">
        <f t="shared" si="84"/>
        <v>447.0655106</v>
      </c>
      <c r="ER18" s="5"/>
      <c r="ES18" s="5">
        <f t="shared" si="85"/>
        <v>378.4245894</v>
      </c>
      <c r="ET18" s="5">
        <f t="shared" si="86"/>
        <v>378.4245894</v>
      </c>
      <c r="EU18" s="38">
        <f t="shared" si="87"/>
        <v>31.5469902</v>
      </c>
    </row>
    <row r="19" spans="1:151" ht="12.75">
      <c r="A19" s="40">
        <v>45383</v>
      </c>
      <c r="C19" s="77">
        <v>6615000</v>
      </c>
      <c r="D19" s="77">
        <v>855777</v>
      </c>
      <c r="E19" s="37">
        <f t="shared" si="0"/>
        <v>7470777</v>
      </c>
      <c r="F19" s="37">
        <v>71341</v>
      </c>
      <c r="H19" s="50">
        <f t="shared" si="88"/>
        <v>948014.8334999998</v>
      </c>
      <c r="I19" s="38">
        <f t="shared" si="1"/>
        <v>122643.8836233</v>
      </c>
      <c r="J19" s="38">
        <f t="shared" si="2"/>
        <v>1070658.7171232998</v>
      </c>
      <c r="K19" s="38">
        <f t="shared" si="3"/>
        <v>10224.0855989</v>
      </c>
      <c r="M19" s="5">
        <f t="shared" si="89"/>
        <v>219063.0015</v>
      </c>
      <c r="N19" s="5">
        <f t="shared" si="4"/>
        <v>28339.9967097</v>
      </c>
      <c r="O19" s="5">
        <f t="shared" si="5"/>
        <v>247402.99820970002</v>
      </c>
      <c r="P19" s="38">
        <f t="shared" si="6"/>
        <v>2362.5356901</v>
      </c>
      <c r="R19" s="5">
        <f t="shared" si="90"/>
        <v>23276.862</v>
      </c>
      <c r="S19" s="38">
        <f t="shared" si="7"/>
        <v>3011.3081076</v>
      </c>
      <c r="T19" s="38">
        <f t="shared" si="8"/>
        <v>26288.170107600003</v>
      </c>
      <c r="U19" s="38">
        <f t="shared" si="9"/>
        <v>251.0347108</v>
      </c>
      <c r="W19" s="5">
        <f t="shared" si="91"/>
        <v>7972.398</v>
      </c>
      <c r="X19" s="5">
        <f t="shared" si="10"/>
        <v>1031.3824404</v>
      </c>
      <c r="Y19" s="5">
        <f t="shared" si="11"/>
        <v>9003.7804404</v>
      </c>
      <c r="Z19" s="38">
        <f t="shared" si="12"/>
        <v>85.9801732</v>
      </c>
      <c r="AB19" s="5">
        <f t="shared" si="92"/>
        <v>4579.584345</v>
      </c>
      <c r="AC19" s="5">
        <f t="shared" si="13"/>
        <v>592.456984431</v>
      </c>
      <c r="AD19" s="5">
        <f t="shared" si="14"/>
        <v>5172.041329431</v>
      </c>
      <c r="AE19" s="38">
        <f t="shared" si="15"/>
        <v>49.389588323</v>
      </c>
      <c r="AG19" s="5">
        <f t="shared" si="93"/>
        <v>35321.454</v>
      </c>
      <c r="AH19" s="5">
        <f t="shared" si="16"/>
        <v>4569.5068691999995</v>
      </c>
      <c r="AI19" s="5">
        <f t="shared" si="17"/>
        <v>39890.9608692</v>
      </c>
      <c r="AJ19" s="38">
        <f t="shared" si="18"/>
        <v>380.9324036</v>
      </c>
      <c r="AL19" s="5">
        <f t="shared" si="94"/>
        <v>215734.3335</v>
      </c>
      <c r="AM19" s="5">
        <f t="shared" si="19"/>
        <v>27909.3697233</v>
      </c>
      <c r="AN19" s="5">
        <f t="shared" si="20"/>
        <v>243643.7032233</v>
      </c>
      <c r="AO19" s="38">
        <f t="shared" si="21"/>
        <v>2326.6368989000002</v>
      </c>
      <c r="AQ19" s="5">
        <f t="shared" si="95"/>
        <v>10295.586000000001</v>
      </c>
      <c r="AR19" s="5">
        <f t="shared" si="22"/>
        <v>1331.9313228</v>
      </c>
      <c r="AS19" s="5">
        <f t="shared" si="23"/>
        <v>11627.517322800002</v>
      </c>
      <c r="AT19" s="38">
        <f t="shared" si="24"/>
        <v>111.03513240000001</v>
      </c>
      <c r="AV19" s="5">
        <f>C19*$AX$6</f>
        <v>16713.459</v>
      </c>
      <c r="AW19" s="5">
        <f t="shared" si="25"/>
        <v>2162.2061682</v>
      </c>
      <c r="AX19" s="5">
        <f t="shared" si="26"/>
        <v>18875.665168199997</v>
      </c>
      <c r="AY19" s="38">
        <f t="shared" si="27"/>
        <v>180.2501706</v>
      </c>
      <c r="BA19" s="38">
        <f t="shared" si="96"/>
        <v>41118.1785</v>
      </c>
      <c r="BB19" s="5">
        <f t="shared" si="28"/>
        <v>5319.4242543</v>
      </c>
      <c r="BC19" s="38">
        <f t="shared" si="29"/>
        <v>46437.6027543</v>
      </c>
      <c r="BD19" s="38">
        <f t="shared" si="30"/>
        <v>443.4485219</v>
      </c>
      <c r="BF19" s="5">
        <f t="shared" si="97"/>
        <v>1975.239</v>
      </c>
      <c r="BG19" s="5">
        <f t="shared" si="31"/>
        <v>255.53501219999998</v>
      </c>
      <c r="BH19" s="5">
        <f t="shared" si="32"/>
        <v>2230.7740122</v>
      </c>
      <c r="BI19" s="38">
        <f t="shared" si="33"/>
        <v>21.3024226</v>
      </c>
      <c r="BK19" s="5">
        <f t="shared" si="98"/>
        <v>21089.2815</v>
      </c>
      <c r="BL19" s="5">
        <f t="shared" si="34"/>
        <v>2728.3026537</v>
      </c>
      <c r="BM19" s="5">
        <f t="shared" si="35"/>
        <v>23817.5841537</v>
      </c>
      <c r="BN19" s="38">
        <f t="shared" si="36"/>
        <v>227.44224210000002</v>
      </c>
      <c r="BP19" s="5">
        <f t="shared" si="99"/>
        <v>937.9871550000003</v>
      </c>
      <c r="BQ19" s="5">
        <f t="shared" si="37"/>
        <v>121.34661126900004</v>
      </c>
      <c r="BR19" s="5">
        <f t="shared" si="38"/>
        <v>1059.3337662690003</v>
      </c>
      <c r="BS19" s="38">
        <f t="shared" si="39"/>
        <v>10.115939777000003</v>
      </c>
      <c r="BU19" s="5">
        <f t="shared" si="100"/>
        <v>629.0865</v>
      </c>
      <c r="BV19" s="5">
        <f t="shared" si="40"/>
        <v>81.38439269999999</v>
      </c>
      <c r="BW19" s="5">
        <f t="shared" si="41"/>
        <v>710.4708927</v>
      </c>
      <c r="BX19" s="38">
        <f t="shared" si="42"/>
        <v>6.784529099999999</v>
      </c>
      <c r="BZ19" s="5">
        <f t="shared" si="101"/>
        <v>1051.1235000000001</v>
      </c>
      <c r="CA19" s="5">
        <f t="shared" si="43"/>
        <v>135.98296530000002</v>
      </c>
      <c r="CB19" s="5">
        <f t="shared" si="44"/>
        <v>1187.1064653</v>
      </c>
      <c r="CC19" s="38">
        <f t="shared" si="45"/>
        <v>11.336084900000001</v>
      </c>
      <c r="CE19" s="5">
        <f t="shared" si="102"/>
        <v>20053.372499999998</v>
      </c>
      <c r="CF19" s="5">
        <f t="shared" si="46"/>
        <v>2594.2879755</v>
      </c>
      <c r="CG19" s="5">
        <f t="shared" si="47"/>
        <v>22647.660475499997</v>
      </c>
      <c r="CH19" s="38">
        <f t="shared" si="48"/>
        <v>216.2702415</v>
      </c>
      <c r="CJ19" s="5">
        <f t="shared" si="103"/>
        <v>16186.2435</v>
      </c>
      <c r="CK19" s="5">
        <f t="shared" si="49"/>
        <v>2094.0007413000003</v>
      </c>
      <c r="CL19" s="38">
        <f t="shared" si="50"/>
        <v>18280.244241300003</v>
      </c>
      <c r="CM19" s="38">
        <f t="shared" si="51"/>
        <v>174.5642929</v>
      </c>
      <c r="CO19" s="5">
        <f t="shared" si="104"/>
        <v>2935.0755</v>
      </c>
      <c r="CP19" s="5">
        <f t="shared" si="52"/>
        <v>379.7082549</v>
      </c>
      <c r="CQ19" s="5">
        <f t="shared" si="53"/>
        <v>3314.7837549</v>
      </c>
      <c r="CR19" s="38">
        <f t="shared" si="54"/>
        <v>31.6540017</v>
      </c>
      <c r="CT19" s="5">
        <f t="shared" si="105"/>
        <v>1180.7775</v>
      </c>
      <c r="CU19" s="5">
        <f t="shared" si="55"/>
        <v>152.7561945</v>
      </c>
      <c r="CV19" s="5">
        <f t="shared" si="56"/>
        <v>1333.5336945</v>
      </c>
      <c r="CW19" s="38">
        <f t="shared" si="57"/>
        <v>12.7343685</v>
      </c>
      <c r="CY19" s="5">
        <f t="shared" si="106"/>
        <v>9498.4785</v>
      </c>
      <c r="CZ19" s="5">
        <f t="shared" si="58"/>
        <v>1228.8101943</v>
      </c>
      <c r="DA19" s="5">
        <f t="shared" si="59"/>
        <v>10727.2886943</v>
      </c>
      <c r="DB19" s="38">
        <f t="shared" si="60"/>
        <v>102.43854189999999</v>
      </c>
      <c r="DD19" s="5">
        <f t="shared" si="107"/>
        <v>120582.18900000001</v>
      </c>
      <c r="DE19" s="5">
        <f t="shared" si="61"/>
        <v>15599.616622200001</v>
      </c>
      <c r="DF19" s="38">
        <f t="shared" si="62"/>
        <v>136181.80562220002</v>
      </c>
      <c r="DG19" s="38">
        <f t="shared" si="63"/>
        <v>1300.4465526000001</v>
      </c>
      <c r="DI19" s="5">
        <f t="shared" si="108"/>
        <v>10102.428</v>
      </c>
      <c r="DJ19" s="38">
        <f t="shared" si="64"/>
        <v>1306.9426344</v>
      </c>
      <c r="DK19" s="38">
        <f t="shared" si="65"/>
        <v>11409.3706344</v>
      </c>
      <c r="DL19" s="38">
        <f t="shared" si="66"/>
        <v>108.9519752</v>
      </c>
      <c r="DN19" s="5">
        <f t="shared" si="109"/>
        <v>3963.0465</v>
      </c>
      <c r="DO19" s="38">
        <f t="shared" si="67"/>
        <v>512.6960007</v>
      </c>
      <c r="DP19" s="38">
        <f t="shared" si="68"/>
        <v>4475.7425007</v>
      </c>
      <c r="DQ19" s="38">
        <f t="shared" si="69"/>
        <v>42.7403931</v>
      </c>
      <c r="DS19" s="5">
        <f t="shared" si="110"/>
        <v>3250.6110000000003</v>
      </c>
      <c r="DT19" s="5">
        <f t="shared" si="70"/>
        <v>420.5288178</v>
      </c>
      <c r="DU19" s="5">
        <f t="shared" si="71"/>
        <v>3671.1398178000004</v>
      </c>
      <c r="DV19" s="38">
        <f t="shared" si="72"/>
        <v>35.0569674</v>
      </c>
      <c r="DX19" s="38">
        <f t="shared" si="111"/>
        <v>29668.936499999996</v>
      </c>
      <c r="DY19" s="38">
        <f t="shared" si="73"/>
        <v>3838.2454227</v>
      </c>
      <c r="DZ19" s="5">
        <f t="shared" si="74"/>
        <v>33507.181922699994</v>
      </c>
      <c r="EA19" s="38">
        <f t="shared" si="75"/>
        <v>319.97151909999997</v>
      </c>
      <c r="EC19" s="38">
        <f t="shared" si="112"/>
        <v>85580.23950000001</v>
      </c>
      <c r="ED19" s="38">
        <f t="shared" si="76"/>
        <v>11071.443782100001</v>
      </c>
      <c r="EE19" s="5">
        <f t="shared" si="77"/>
        <v>96651.68328210001</v>
      </c>
      <c r="EF19" s="38">
        <f t="shared" si="78"/>
        <v>922.9599193</v>
      </c>
      <c r="EH19" s="5">
        <f t="shared" si="113"/>
        <v>877.149</v>
      </c>
      <c r="EI19" s="5">
        <f t="shared" si="79"/>
        <v>113.4760302</v>
      </c>
      <c r="EJ19" s="5">
        <f t="shared" si="80"/>
        <v>990.6250302</v>
      </c>
      <c r="EK19" s="38">
        <f t="shared" si="81"/>
        <v>9.4598166</v>
      </c>
      <c r="EM19" s="5">
        <f t="shared" si="114"/>
        <v>41453.559</v>
      </c>
      <c r="EN19" s="5">
        <f t="shared" si="82"/>
        <v>5362.8121482</v>
      </c>
      <c r="EO19" s="5">
        <f t="shared" si="83"/>
        <v>46816.3711482</v>
      </c>
      <c r="EP19" s="38">
        <f t="shared" si="84"/>
        <v>447.0655106</v>
      </c>
      <c r="ER19" s="5">
        <f t="shared" si="115"/>
        <v>2925.1530000000002</v>
      </c>
      <c r="ES19" s="5">
        <f t="shared" si="85"/>
        <v>378.4245894</v>
      </c>
      <c r="ET19" s="5">
        <f t="shared" si="86"/>
        <v>3303.5775894000003</v>
      </c>
      <c r="EU19" s="38">
        <f t="shared" si="87"/>
        <v>31.5469902</v>
      </c>
    </row>
    <row r="20" spans="1:151" ht="12.75">
      <c r="A20" s="40">
        <v>45566</v>
      </c>
      <c r="C20" s="77"/>
      <c r="D20" s="77">
        <v>749358</v>
      </c>
      <c r="E20" s="37">
        <f t="shared" si="0"/>
        <v>749358</v>
      </c>
      <c r="F20" s="37">
        <v>71341</v>
      </c>
      <c r="H20" s="50"/>
      <c r="I20" s="38">
        <f t="shared" si="1"/>
        <v>107392.66811819999</v>
      </c>
      <c r="J20" s="38">
        <f t="shared" si="2"/>
        <v>107392.66811819999</v>
      </c>
      <c r="K20" s="38">
        <f t="shared" si="3"/>
        <v>10224.0855989</v>
      </c>
      <c r="L20"/>
      <c r="N20" s="5">
        <f t="shared" si="4"/>
        <v>24815.8144638</v>
      </c>
      <c r="O20" s="5">
        <f t="shared" si="5"/>
        <v>24815.8144638</v>
      </c>
      <c r="P20" s="38">
        <f t="shared" si="6"/>
        <v>2362.5356901</v>
      </c>
      <c r="Q20"/>
      <c r="S20" s="38">
        <f t="shared" si="7"/>
        <v>2636.8409303999997</v>
      </c>
      <c r="T20" s="38">
        <f t="shared" si="8"/>
        <v>2636.8409303999997</v>
      </c>
      <c r="U20" s="38">
        <f t="shared" si="9"/>
        <v>251.0347108</v>
      </c>
      <c r="V20"/>
      <c r="X20" s="5">
        <f t="shared" si="10"/>
        <v>903.1262616</v>
      </c>
      <c r="Y20" s="5">
        <f t="shared" si="11"/>
        <v>903.1262616</v>
      </c>
      <c r="Z20" s="38">
        <f t="shared" si="12"/>
        <v>85.9801732</v>
      </c>
      <c r="AA20"/>
      <c r="AC20" s="5">
        <f t="shared" si="13"/>
        <v>518.782791474</v>
      </c>
      <c r="AD20" s="5">
        <f t="shared" si="14"/>
        <v>518.782791474</v>
      </c>
      <c r="AE20" s="38">
        <f t="shared" si="15"/>
        <v>49.389588323</v>
      </c>
      <c r="AF20"/>
      <c r="AH20" s="5">
        <f t="shared" si="16"/>
        <v>4001.2719767999997</v>
      </c>
      <c r="AI20" s="5">
        <f t="shared" si="17"/>
        <v>4001.2719767999997</v>
      </c>
      <c r="AJ20" s="38">
        <f t="shared" si="18"/>
        <v>380.9324036</v>
      </c>
      <c r="AK20"/>
      <c r="AM20" s="5">
        <f t="shared" si="19"/>
        <v>24438.7375182</v>
      </c>
      <c r="AN20" s="5">
        <f t="shared" si="20"/>
        <v>24438.7375182</v>
      </c>
      <c r="AO20" s="38">
        <f t="shared" si="21"/>
        <v>2326.6368989000002</v>
      </c>
      <c r="AP20"/>
      <c r="AR20" s="5">
        <f t="shared" si="22"/>
        <v>1166.3007912</v>
      </c>
      <c r="AS20" s="5">
        <f t="shared" si="23"/>
        <v>1166.3007912</v>
      </c>
      <c r="AT20" s="38">
        <f t="shared" si="24"/>
        <v>111.03513240000001</v>
      </c>
      <c r="AU20"/>
      <c r="AW20" s="5">
        <f t="shared" si="25"/>
        <v>1893.3279228</v>
      </c>
      <c r="AX20" s="5">
        <f t="shared" si="26"/>
        <v>1893.3279228</v>
      </c>
      <c r="AY20" s="38">
        <f t="shared" si="27"/>
        <v>180.2501706</v>
      </c>
      <c r="AZ20"/>
      <c r="BA20" s="38"/>
      <c r="BB20" s="5">
        <f t="shared" si="28"/>
        <v>4657.9343922</v>
      </c>
      <c r="BC20" s="38">
        <f t="shared" si="29"/>
        <v>4657.9343922</v>
      </c>
      <c r="BD20" s="38">
        <f t="shared" si="30"/>
        <v>443.4485219</v>
      </c>
      <c r="BE20"/>
      <c r="BG20" s="5">
        <f t="shared" si="31"/>
        <v>223.7582988</v>
      </c>
      <c r="BH20" s="5">
        <f t="shared" si="32"/>
        <v>223.7582988</v>
      </c>
      <c r="BI20" s="38">
        <f t="shared" si="33"/>
        <v>21.3024226</v>
      </c>
      <c r="BJ20"/>
      <c r="BL20" s="5">
        <f t="shared" si="34"/>
        <v>2389.0282398</v>
      </c>
      <c r="BM20" s="5">
        <f t="shared" si="35"/>
        <v>2389.0282398</v>
      </c>
      <c r="BN20" s="38">
        <f t="shared" si="36"/>
        <v>227.44224210000002</v>
      </c>
      <c r="BO20"/>
      <c r="BQ20" s="5">
        <f t="shared" si="37"/>
        <v>106.25671632600003</v>
      </c>
      <c r="BR20" s="5">
        <f t="shared" si="38"/>
        <v>106.25671632600003</v>
      </c>
      <c r="BS20" s="38">
        <f t="shared" si="39"/>
        <v>10.115939777000003</v>
      </c>
      <c r="BT20"/>
      <c r="BV20" s="5">
        <f t="shared" si="40"/>
        <v>71.2639458</v>
      </c>
      <c r="BW20" s="5">
        <f t="shared" si="41"/>
        <v>71.2639458</v>
      </c>
      <c r="BX20" s="38">
        <f t="shared" si="42"/>
        <v>6.784529099999999</v>
      </c>
      <c r="BY20"/>
      <c r="CA20" s="5">
        <f t="shared" si="43"/>
        <v>119.07298620000002</v>
      </c>
      <c r="CB20" s="5">
        <f t="shared" si="44"/>
        <v>119.07298620000002</v>
      </c>
      <c r="CC20" s="38">
        <f t="shared" si="45"/>
        <v>11.336084900000001</v>
      </c>
      <c r="CD20"/>
      <c r="CF20" s="5">
        <f t="shared" si="46"/>
        <v>2271.678777</v>
      </c>
      <c r="CG20" s="5">
        <f t="shared" si="47"/>
        <v>2271.678777</v>
      </c>
      <c r="CH20" s="38">
        <f t="shared" si="48"/>
        <v>216.2702415</v>
      </c>
      <c r="CI20"/>
      <c r="CK20" s="5">
        <f t="shared" si="49"/>
        <v>1833.6040902000002</v>
      </c>
      <c r="CL20" s="38">
        <f t="shared" si="50"/>
        <v>1833.6040902000002</v>
      </c>
      <c r="CM20" s="38">
        <f t="shared" si="51"/>
        <v>174.5642929</v>
      </c>
      <c r="CP20" s="5">
        <f t="shared" si="52"/>
        <v>332.4901446</v>
      </c>
      <c r="CQ20" s="5">
        <f t="shared" si="53"/>
        <v>332.4901446</v>
      </c>
      <c r="CR20" s="38">
        <f t="shared" si="54"/>
        <v>31.6540017</v>
      </c>
      <c r="CU20" s="5">
        <f t="shared" si="55"/>
        <v>133.760403</v>
      </c>
      <c r="CV20" s="5">
        <f t="shared" si="56"/>
        <v>133.760403</v>
      </c>
      <c r="CW20" s="38">
        <f t="shared" si="57"/>
        <v>12.7343685</v>
      </c>
      <c r="CZ20" s="5">
        <f t="shared" si="58"/>
        <v>1076.0031522</v>
      </c>
      <c r="DA20" s="5">
        <f t="shared" si="59"/>
        <v>1076.0031522</v>
      </c>
      <c r="DB20" s="38">
        <f t="shared" si="60"/>
        <v>102.43854189999999</v>
      </c>
      <c r="DE20" s="5">
        <f t="shared" si="61"/>
        <v>13659.7472388</v>
      </c>
      <c r="DF20" s="38">
        <f t="shared" si="62"/>
        <v>13659.7472388</v>
      </c>
      <c r="DG20" s="38">
        <f t="shared" si="63"/>
        <v>1300.4465526000001</v>
      </c>
      <c r="DJ20" s="38">
        <f t="shared" si="64"/>
        <v>1144.4195376</v>
      </c>
      <c r="DK20" s="38">
        <f t="shared" si="65"/>
        <v>1144.4195376</v>
      </c>
      <c r="DL20" s="38">
        <f t="shared" si="66"/>
        <v>108.9519752</v>
      </c>
      <c r="DO20" s="38">
        <f t="shared" si="67"/>
        <v>448.94037779999996</v>
      </c>
      <c r="DP20" s="38">
        <f t="shared" si="68"/>
        <v>448.94037779999996</v>
      </c>
      <c r="DQ20" s="38">
        <f t="shared" si="69"/>
        <v>42.7403931</v>
      </c>
      <c r="DT20" s="5">
        <f t="shared" si="70"/>
        <v>368.2345212</v>
      </c>
      <c r="DU20" s="5">
        <f t="shared" si="71"/>
        <v>368.2345212</v>
      </c>
      <c r="DV20" s="38">
        <f t="shared" si="72"/>
        <v>35.0569674</v>
      </c>
      <c r="DX20" s="38"/>
      <c r="DY20" s="38">
        <f t="shared" si="73"/>
        <v>3360.9455657999997</v>
      </c>
      <c r="DZ20" s="5">
        <f t="shared" si="74"/>
        <v>3360.9455657999997</v>
      </c>
      <c r="EA20" s="38">
        <f t="shared" si="75"/>
        <v>319.97151909999997</v>
      </c>
      <c r="EC20" s="38"/>
      <c r="ED20" s="38">
        <f t="shared" si="76"/>
        <v>9694.669253400001</v>
      </c>
      <c r="EE20" s="5">
        <f t="shared" si="77"/>
        <v>9694.669253400001</v>
      </c>
      <c r="EF20" s="38">
        <f t="shared" si="78"/>
        <v>922.9599193</v>
      </c>
      <c r="EI20" s="5">
        <f t="shared" si="79"/>
        <v>99.36487079999999</v>
      </c>
      <c r="EJ20" s="5">
        <f t="shared" si="80"/>
        <v>99.36487079999999</v>
      </c>
      <c r="EK20" s="38">
        <f t="shared" si="81"/>
        <v>9.4598166</v>
      </c>
      <c r="EM20" s="5"/>
      <c r="EN20" s="5">
        <f t="shared" si="82"/>
        <v>4695.9268428</v>
      </c>
      <c r="EO20" s="5">
        <f t="shared" si="83"/>
        <v>4695.9268428</v>
      </c>
      <c r="EP20" s="38">
        <f t="shared" si="84"/>
        <v>447.0655106</v>
      </c>
      <c r="ER20" s="5"/>
      <c r="ES20" s="5">
        <f t="shared" si="85"/>
        <v>331.3661076</v>
      </c>
      <c r="ET20" s="5">
        <f t="shared" si="86"/>
        <v>331.3661076</v>
      </c>
      <c r="EU20" s="38">
        <f t="shared" si="87"/>
        <v>31.5469902</v>
      </c>
    </row>
    <row r="21" spans="1:151" ht="12.75">
      <c r="A21" s="40">
        <v>45748</v>
      </c>
      <c r="C21" s="77">
        <v>6825000</v>
      </c>
      <c r="D21" s="77">
        <v>749358</v>
      </c>
      <c r="E21" s="37">
        <f t="shared" si="0"/>
        <v>7574358</v>
      </c>
      <c r="F21" s="37">
        <v>71341</v>
      </c>
      <c r="H21" s="50">
        <f t="shared" si="88"/>
        <v>978110.5425000002</v>
      </c>
      <c r="I21" s="38">
        <f t="shared" si="1"/>
        <v>107392.66811819999</v>
      </c>
      <c r="J21" s="38">
        <f t="shared" si="2"/>
        <v>1085503.2106182002</v>
      </c>
      <c r="K21" s="38">
        <f t="shared" si="3"/>
        <v>10224.0855989</v>
      </c>
      <c r="L21"/>
      <c r="M21" s="5">
        <f t="shared" si="89"/>
        <v>226017.3825</v>
      </c>
      <c r="N21" s="5">
        <f t="shared" si="4"/>
        <v>24815.8144638</v>
      </c>
      <c r="O21" s="5">
        <f t="shared" si="5"/>
        <v>250833.1969638</v>
      </c>
      <c r="P21" s="38">
        <f t="shared" si="6"/>
        <v>2362.5356901</v>
      </c>
      <c r="Q21"/>
      <c r="R21" s="5">
        <f t="shared" si="90"/>
        <v>24015.809999999998</v>
      </c>
      <c r="S21" s="38">
        <f t="shared" si="7"/>
        <v>2636.8409303999997</v>
      </c>
      <c r="T21" s="38">
        <f t="shared" si="8"/>
        <v>26652.6509304</v>
      </c>
      <c r="U21" s="38">
        <f t="shared" si="9"/>
        <v>251.0347108</v>
      </c>
      <c r="V21"/>
      <c r="W21" s="5">
        <f t="shared" si="91"/>
        <v>8225.49</v>
      </c>
      <c r="X21" s="5">
        <f t="shared" si="10"/>
        <v>903.1262616</v>
      </c>
      <c r="Y21" s="5">
        <f t="shared" si="11"/>
        <v>9128.6162616</v>
      </c>
      <c r="Z21" s="38">
        <f t="shared" si="12"/>
        <v>85.9801732</v>
      </c>
      <c r="AA21"/>
      <c r="AB21" s="5">
        <f t="shared" si="92"/>
        <v>4724.9679750000005</v>
      </c>
      <c r="AC21" s="5">
        <f t="shared" si="13"/>
        <v>518.782791474</v>
      </c>
      <c r="AD21" s="5">
        <f t="shared" si="14"/>
        <v>5243.750766474001</v>
      </c>
      <c r="AE21" s="38">
        <f t="shared" si="15"/>
        <v>49.389588323</v>
      </c>
      <c r="AF21"/>
      <c r="AG21" s="5">
        <f t="shared" si="93"/>
        <v>36442.77</v>
      </c>
      <c r="AH21" s="5">
        <f t="shared" si="16"/>
        <v>4001.2719767999997</v>
      </c>
      <c r="AI21" s="5">
        <f t="shared" si="17"/>
        <v>40444.0419768</v>
      </c>
      <c r="AJ21" s="38">
        <f t="shared" si="18"/>
        <v>380.9324036</v>
      </c>
      <c r="AK21"/>
      <c r="AL21" s="5">
        <f t="shared" si="94"/>
        <v>222583.0425</v>
      </c>
      <c r="AM21" s="5">
        <f t="shared" si="19"/>
        <v>24438.7375182</v>
      </c>
      <c r="AN21" s="5">
        <f t="shared" si="20"/>
        <v>247021.78001820002</v>
      </c>
      <c r="AO21" s="38">
        <f t="shared" si="21"/>
        <v>2326.6368989000002</v>
      </c>
      <c r="AP21"/>
      <c r="AQ21" s="5">
        <f t="shared" si="95"/>
        <v>10622.43</v>
      </c>
      <c r="AR21" s="5">
        <f t="shared" si="22"/>
        <v>1166.3007912</v>
      </c>
      <c r="AS21" s="5">
        <f t="shared" si="23"/>
        <v>11788.7307912</v>
      </c>
      <c r="AT21" s="38">
        <f t="shared" si="24"/>
        <v>111.03513240000001</v>
      </c>
      <c r="AU21"/>
      <c r="AV21" s="5">
        <f>C21*$AX$6</f>
        <v>17244.045</v>
      </c>
      <c r="AW21" s="5">
        <f t="shared" si="25"/>
        <v>1893.3279228</v>
      </c>
      <c r="AX21" s="5">
        <f t="shared" si="26"/>
        <v>19137.372922799997</v>
      </c>
      <c r="AY21" s="38">
        <f t="shared" si="27"/>
        <v>180.2501706</v>
      </c>
      <c r="AZ21"/>
      <c r="BA21" s="38">
        <f t="shared" si="96"/>
        <v>42423.5175</v>
      </c>
      <c r="BB21" s="5">
        <f t="shared" si="28"/>
        <v>4657.9343922</v>
      </c>
      <c r="BC21" s="38">
        <f t="shared" si="29"/>
        <v>47081.4518922</v>
      </c>
      <c r="BD21" s="38">
        <f t="shared" si="30"/>
        <v>443.4485219</v>
      </c>
      <c r="BE21"/>
      <c r="BF21" s="5">
        <f t="shared" si="97"/>
        <v>2037.945</v>
      </c>
      <c r="BG21" s="5">
        <f t="shared" si="31"/>
        <v>223.7582988</v>
      </c>
      <c r="BH21" s="5">
        <f t="shared" si="32"/>
        <v>2261.7032988</v>
      </c>
      <c r="BI21" s="38">
        <f t="shared" si="33"/>
        <v>21.3024226</v>
      </c>
      <c r="BJ21"/>
      <c r="BK21" s="5">
        <f t="shared" si="98"/>
        <v>21758.7825</v>
      </c>
      <c r="BL21" s="5">
        <f t="shared" si="34"/>
        <v>2389.0282398</v>
      </c>
      <c r="BM21" s="5">
        <f t="shared" si="35"/>
        <v>24147.8107398</v>
      </c>
      <c r="BN21" s="38">
        <f t="shared" si="36"/>
        <v>227.44224210000002</v>
      </c>
      <c r="BO21"/>
      <c r="BP21" s="5">
        <f t="shared" si="99"/>
        <v>967.7645250000003</v>
      </c>
      <c r="BQ21" s="5">
        <f t="shared" si="37"/>
        <v>106.25671632600003</v>
      </c>
      <c r="BR21" s="5">
        <f t="shared" si="38"/>
        <v>1074.0212413260003</v>
      </c>
      <c r="BS21" s="38">
        <f t="shared" si="39"/>
        <v>10.115939777000003</v>
      </c>
      <c r="BT21"/>
      <c r="BU21" s="5">
        <f t="shared" si="100"/>
        <v>649.0575</v>
      </c>
      <c r="BV21" s="5">
        <f t="shared" si="40"/>
        <v>71.2639458</v>
      </c>
      <c r="BW21" s="5">
        <f t="shared" si="41"/>
        <v>720.3214458</v>
      </c>
      <c r="BX21" s="38">
        <f t="shared" si="42"/>
        <v>6.784529099999999</v>
      </c>
      <c r="BY21"/>
      <c r="BZ21" s="5">
        <f t="shared" si="101"/>
        <v>1084.4925</v>
      </c>
      <c r="CA21" s="5">
        <f t="shared" si="43"/>
        <v>119.07298620000002</v>
      </c>
      <c r="CB21" s="5">
        <f t="shared" si="44"/>
        <v>1203.5654862000001</v>
      </c>
      <c r="CC21" s="38">
        <f t="shared" si="45"/>
        <v>11.336084900000001</v>
      </c>
      <c r="CD21"/>
      <c r="CE21" s="5">
        <f t="shared" si="102"/>
        <v>20689.9875</v>
      </c>
      <c r="CF21" s="5">
        <f t="shared" si="46"/>
        <v>2271.678777</v>
      </c>
      <c r="CG21" s="5">
        <f t="shared" si="47"/>
        <v>22961.666277</v>
      </c>
      <c r="CH21" s="38">
        <f t="shared" si="48"/>
        <v>216.2702415</v>
      </c>
      <c r="CI21"/>
      <c r="CJ21" s="5">
        <f t="shared" si="103"/>
        <v>16700.092500000002</v>
      </c>
      <c r="CK21" s="5">
        <f t="shared" si="49"/>
        <v>1833.6040902000002</v>
      </c>
      <c r="CL21" s="38">
        <f t="shared" si="50"/>
        <v>18533.6965902</v>
      </c>
      <c r="CM21" s="38">
        <f t="shared" si="51"/>
        <v>174.5642929</v>
      </c>
      <c r="CO21" s="5">
        <f t="shared" si="104"/>
        <v>3028.2525</v>
      </c>
      <c r="CP21" s="5">
        <f t="shared" si="52"/>
        <v>332.4901446</v>
      </c>
      <c r="CQ21" s="5">
        <f t="shared" si="53"/>
        <v>3360.7426446</v>
      </c>
      <c r="CR21" s="38">
        <f t="shared" si="54"/>
        <v>31.6540017</v>
      </c>
      <c r="CT21" s="5">
        <f t="shared" si="105"/>
        <v>1218.2625</v>
      </c>
      <c r="CU21" s="5">
        <f t="shared" si="55"/>
        <v>133.760403</v>
      </c>
      <c r="CV21" s="5">
        <f t="shared" si="56"/>
        <v>1352.022903</v>
      </c>
      <c r="CW21" s="38">
        <f t="shared" si="57"/>
        <v>12.7343685</v>
      </c>
      <c r="CY21" s="5">
        <f t="shared" si="106"/>
        <v>9800.0175</v>
      </c>
      <c r="CZ21" s="5">
        <f t="shared" si="58"/>
        <v>1076.0031522</v>
      </c>
      <c r="DA21" s="5">
        <f t="shared" si="59"/>
        <v>10876.0206522</v>
      </c>
      <c r="DB21" s="38">
        <f t="shared" si="60"/>
        <v>102.43854189999999</v>
      </c>
      <c r="DD21" s="5">
        <f t="shared" si="107"/>
        <v>124410.195</v>
      </c>
      <c r="DE21" s="5">
        <f t="shared" si="61"/>
        <v>13659.7472388</v>
      </c>
      <c r="DF21" s="38">
        <f t="shared" si="62"/>
        <v>138069.9422388</v>
      </c>
      <c r="DG21" s="38">
        <f t="shared" si="63"/>
        <v>1300.4465526000001</v>
      </c>
      <c r="DI21" s="5">
        <f t="shared" si="108"/>
        <v>10423.14</v>
      </c>
      <c r="DJ21" s="38">
        <f t="shared" si="64"/>
        <v>1144.4195376</v>
      </c>
      <c r="DK21" s="38">
        <f t="shared" si="65"/>
        <v>11567.5595376</v>
      </c>
      <c r="DL21" s="38">
        <f t="shared" si="66"/>
        <v>108.9519752</v>
      </c>
      <c r="DN21" s="5">
        <f t="shared" si="109"/>
        <v>4088.8575</v>
      </c>
      <c r="DO21" s="38">
        <f t="shared" si="67"/>
        <v>448.94037779999996</v>
      </c>
      <c r="DP21" s="38">
        <f t="shared" si="68"/>
        <v>4537.7978778</v>
      </c>
      <c r="DQ21" s="38">
        <f t="shared" si="69"/>
        <v>42.7403931</v>
      </c>
      <c r="DS21" s="5">
        <f t="shared" si="110"/>
        <v>3353.8050000000003</v>
      </c>
      <c r="DT21" s="5">
        <f t="shared" si="70"/>
        <v>368.2345212</v>
      </c>
      <c r="DU21" s="5">
        <f t="shared" si="71"/>
        <v>3722.0395212000003</v>
      </c>
      <c r="DV21" s="38">
        <f t="shared" si="72"/>
        <v>35.0569674</v>
      </c>
      <c r="DX21" s="38">
        <f t="shared" si="111"/>
        <v>30610.8075</v>
      </c>
      <c r="DY21" s="38">
        <f t="shared" si="73"/>
        <v>3360.9455657999997</v>
      </c>
      <c r="DZ21" s="5">
        <f t="shared" si="74"/>
        <v>33971.753065799996</v>
      </c>
      <c r="EA21" s="38">
        <f t="shared" si="75"/>
        <v>319.97151909999997</v>
      </c>
      <c r="EC21" s="38">
        <f t="shared" si="112"/>
        <v>88297.07250000001</v>
      </c>
      <c r="ED21" s="38">
        <f t="shared" si="76"/>
        <v>9694.669253400001</v>
      </c>
      <c r="EE21" s="5">
        <f t="shared" si="77"/>
        <v>97991.74175340001</v>
      </c>
      <c r="EF21" s="38">
        <f t="shared" si="78"/>
        <v>922.9599193</v>
      </c>
      <c r="EH21" s="5">
        <f t="shared" si="113"/>
        <v>904.995</v>
      </c>
      <c r="EI21" s="5">
        <f t="shared" si="79"/>
        <v>99.36487079999999</v>
      </c>
      <c r="EJ21" s="5">
        <f t="shared" si="80"/>
        <v>1004.3598708</v>
      </c>
      <c r="EK21" s="38">
        <f t="shared" si="81"/>
        <v>9.4598166</v>
      </c>
      <c r="EM21" s="5">
        <f t="shared" si="114"/>
        <v>42769.545</v>
      </c>
      <c r="EN21" s="5">
        <f t="shared" si="82"/>
        <v>4695.9268428</v>
      </c>
      <c r="EO21" s="5">
        <f t="shared" si="83"/>
        <v>47465.4718428</v>
      </c>
      <c r="EP21" s="38">
        <f t="shared" si="84"/>
        <v>447.0655106</v>
      </c>
      <c r="ER21" s="5">
        <f t="shared" si="115"/>
        <v>3018.0150000000003</v>
      </c>
      <c r="ES21" s="5">
        <f t="shared" si="85"/>
        <v>331.3661076</v>
      </c>
      <c r="ET21" s="5">
        <f t="shared" si="86"/>
        <v>3349.3811076</v>
      </c>
      <c r="EU21" s="38">
        <f t="shared" si="87"/>
        <v>31.5469902</v>
      </c>
    </row>
    <row r="22" spans="1:151" ht="12.75">
      <c r="A22" s="40">
        <v>45931</v>
      </c>
      <c r="C22" s="77"/>
      <c r="D22" s="77">
        <v>637343</v>
      </c>
      <c r="E22" s="37">
        <f t="shared" si="0"/>
        <v>637343</v>
      </c>
      <c r="F22" s="37">
        <v>71341</v>
      </c>
      <c r="H22" s="50"/>
      <c r="I22" s="38">
        <f t="shared" si="1"/>
        <v>91339.47362469998</v>
      </c>
      <c r="J22" s="38">
        <f t="shared" si="2"/>
        <v>91339.47362469998</v>
      </c>
      <c r="K22" s="38">
        <f t="shared" si="3"/>
        <v>10224.0855989</v>
      </c>
      <c r="L22"/>
      <c r="N22" s="5">
        <f t="shared" si="4"/>
        <v>21106.314522300003</v>
      </c>
      <c r="O22" s="5">
        <f t="shared" si="5"/>
        <v>21106.314522300003</v>
      </c>
      <c r="P22" s="38">
        <f t="shared" si="6"/>
        <v>2362.5356901</v>
      </c>
      <c r="Q22"/>
      <c r="S22" s="38">
        <f t="shared" si="7"/>
        <v>2242.6825484</v>
      </c>
      <c r="T22" s="38">
        <f t="shared" si="8"/>
        <v>2242.6825484</v>
      </c>
      <c r="U22" s="38">
        <f t="shared" si="9"/>
        <v>251.0347108</v>
      </c>
      <c r="V22"/>
      <c r="X22" s="5">
        <f t="shared" si="10"/>
        <v>768.1257836</v>
      </c>
      <c r="Y22" s="5">
        <f t="shared" si="11"/>
        <v>768.1257836</v>
      </c>
      <c r="Z22" s="38">
        <f t="shared" si="12"/>
        <v>85.9801732</v>
      </c>
      <c r="AA22"/>
      <c r="AC22" s="5">
        <f t="shared" si="13"/>
        <v>441.234470929</v>
      </c>
      <c r="AD22" s="5">
        <f t="shared" si="14"/>
        <v>441.234470929</v>
      </c>
      <c r="AE22" s="38">
        <f t="shared" si="15"/>
        <v>49.389588323</v>
      </c>
      <c r="AF22"/>
      <c r="AH22" s="5">
        <f t="shared" si="16"/>
        <v>3403.1566828</v>
      </c>
      <c r="AI22" s="5">
        <f t="shared" si="17"/>
        <v>3403.1566828</v>
      </c>
      <c r="AJ22" s="38">
        <f t="shared" si="18"/>
        <v>380.9324036</v>
      </c>
      <c r="AK22"/>
      <c r="AM22" s="5">
        <f t="shared" si="19"/>
        <v>20785.6035247</v>
      </c>
      <c r="AN22" s="5">
        <f t="shared" si="20"/>
        <v>20785.6035247</v>
      </c>
      <c r="AO22" s="38">
        <f t="shared" si="21"/>
        <v>2326.6368989000002</v>
      </c>
      <c r="AP22"/>
      <c r="AR22" s="5">
        <f t="shared" si="22"/>
        <v>991.9606452</v>
      </c>
      <c r="AS22" s="5">
        <f t="shared" si="23"/>
        <v>991.9606452</v>
      </c>
      <c r="AT22" s="38">
        <f t="shared" si="24"/>
        <v>111.03513240000001</v>
      </c>
      <c r="AU22"/>
      <c r="AW22" s="5">
        <f t="shared" si="25"/>
        <v>1610.3108238</v>
      </c>
      <c r="AX22" s="5">
        <f t="shared" si="26"/>
        <v>1610.3108238</v>
      </c>
      <c r="AY22" s="38">
        <f t="shared" si="27"/>
        <v>180.2501706</v>
      </c>
      <c r="AZ22"/>
      <c r="BA22" s="38"/>
      <c r="BB22" s="5">
        <f t="shared" si="28"/>
        <v>3961.6603537</v>
      </c>
      <c r="BC22" s="38">
        <f t="shared" si="29"/>
        <v>3961.6603537</v>
      </c>
      <c r="BD22" s="38">
        <f t="shared" si="30"/>
        <v>443.4485219</v>
      </c>
      <c r="BE22"/>
      <c r="BG22" s="5">
        <f t="shared" si="31"/>
        <v>190.31061979999998</v>
      </c>
      <c r="BH22" s="5">
        <f t="shared" si="32"/>
        <v>190.31061979999998</v>
      </c>
      <c r="BI22" s="38">
        <f t="shared" si="33"/>
        <v>21.3024226</v>
      </c>
      <c r="BJ22"/>
      <c r="BL22" s="5">
        <f t="shared" si="34"/>
        <v>2031.9132183000002</v>
      </c>
      <c r="BM22" s="5">
        <f t="shared" si="35"/>
        <v>2031.9132183000002</v>
      </c>
      <c r="BN22" s="38">
        <f t="shared" si="36"/>
        <v>227.44224210000002</v>
      </c>
      <c r="BO22"/>
      <c r="BQ22" s="5">
        <f t="shared" si="37"/>
        <v>90.37332537100002</v>
      </c>
      <c r="BR22" s="5">
        <f t="shared" si="38"/>
        <v>90.37332537100002</v>
      </c>
      <c r="BS22" s="38">
        <f t="shared" si="39"/>
        <v>10.115939777000003</v>
      </c>
      <c r="BT22"/>
      <c r="BV22" s="5">
        <f t="shared" si="40"/>
        <v>60.6113193</v>
      </c>
      <c r="BW22" s="5">
        <f t="shared" si="41"/>
        <v>60.6113193</v>
      </c>
      <c r="BX22" s="38">
        <f t="shared" si="42"/>
        <v>6.784529099999999</v>
      </c>
      <c r="BY22"/>
      <c r="CA22" s="5">
        <f t="shared" si="43"/>
        <v>101.2738027</v>
      </c>
      <c r="CB22" s="5">
        <f t="shared" si="44"/>
        <v>101.2738027</v>
      </c>
      <c r="CC22" s="38">
        <f t="shared" si="45"/>
        <v>11.336084900000001</v>
      </c>
      <c r="CD22"/>
      <c r="CF22" s="5">
        <f t="shared" si="46"/>
        <v>1932.1053044999999</v>
      </c>
      <c r="CG22" s="5">
        <f t="shared" si="47"/>
        <v>1932.1053044999999</v>
      </c>
      <c r="CH22" s="38">
        <f t="shared" si="48"/>
        <v>216.2702415</v>
      </c>
      <c r="CI22"/>
      <c r="CK22" s="5">
        <f t="shared" si="49"/>
        <v>1559.5145867</v>
      </c>
      <c r="CL22" s="38">
        <f t="shared" si="50"/>
        <v>1559.5145867</v>
      </c>
      <c r="CM22" s="38">
        <f t="shared" si="51"/>
        <v>174.5642929</v>
      </c>
      <c r="CP22" s="5">
        <f t="shared" si="52"/>
        <v>282.7890891</v>
      </c>
      <c r="CQ22" s="5">
        <f t="shared" si="53"/>
        <v>282.7890891</v>
      </c>
      <c r="CR22" s="38">
        <f t="shared" si="54"/>
        <v>31.6540017</v>
      </c>
      <c r="CU22" s="5">
        <f t="shared" si="55"/>
        <v>113.7657255</v>
      </c>
      <c r="CV22" s="5">
        <f t="shared" si="56"/>
        <v>113.7657255</v>
      </c>
      <c r="CW22" s="38">
        <f t="shared" si="57"/>
        <v>12.7343685</v>
      </c>
      <c r="CZ22" s="5">
        <f t="shared" si="58"/>
        <v>915.1608137</v>
      </c>
      <c r="DA22" s="5">
        <f t="shared" si="59"/>
        <v>915.1608137</v>
      </c>
      <c r="DB22" s="38">
        <f t="shared" si="60"/>
        <v>102.43854189999999</v>
      </c>
      <c r="DE22" s="5">
        <f t="shared" si="61"/>
        <v>11617.8706098</v>
      </c>
      <c r="DF22" s="38">
        <f t="shared" si="62"/>
        <v>11617.8706098</v>
      </c>
      <c r="DG22" s="38">
        <f t="shared" si="63"/>
        <v>1300.4465526000001</v>
      </c>
      <c r="DJ22" s="38">
        <f t="shared" si="64"/>
        <v>973.3502296</v>
      </c>
      <c r="DK22" s="38">
        <f t="shared" si="65"/>
        <v>973.3502296</v>
      </c>
      <c r="DL22" s="38">
        <f t="shared" si="66"/>
        <v>108.9519752</v>
      </c>
      <c r="DO22" s="38">
        <f t="shared" si="67"/>
        <v>381.8321913</v>
      </c>
      <c r="DP22" s="38">
        <f t="shared" si="68"/>
        <v>381.8321913</v>
      </c>
      <c r="DQ22" s="38">
        <f t="shared" si="69"/>
        <v>42.7403931</v>
      </c>
      <c r="DT22" s="5">
        <f t="shared" si="70"/>
        <v>313.1903502</v>
      </c>
      <c r="DU22" s="5">
        <f t="shared" si="71"/>
        <v>313.1903502</v>
      </c>
      <c r="DV22" s="38">
        <f t="shared" si="72"/>
        <v>35.0569674</v>
      </c>
      <c r="DX22" s="38"/>
      <c r="DY22" s="38">
        <f t="shared" si="73"/>
        <v>2858.5470892999997</v>
      </c>
      <c r="DZ22" s="5">
        <f t="shared" si="74"/>
        <v>2858.5470892999997</v>
      </c>
      <c r="EA22" s="38">
        <f t="shared" si="75"/>
        <v>319.97151909999997</v>
      </c>
      <c r="EC22" s="38"/>
      <c r="ED22" s="38">
        <f t="shared" si="76"/>
        <v>8245.4975939</v>
      </c>
      <c r="EE22" s="5">
        <f t="shared" si="77"/>
        <v>8245.4975939</v>
      </c>
      <c r="EF22" s="38">
        <f t="shared" si="78"/>
        <v>922.9599193</v>
      </c>
      <c r="EI22" s="5">
        <f t="shared" si="79"/>
        <v>84.5116818</v>
      </c>
      <c r="EJ22" s="5">
        <f t="shared" si="80"/>
        <v>84.5116818</v>
      </c>
      <c r="EK22" s="38">
        <f t="shared" si="81"/>
        <v>9.4598166</v>
      </c>
      <c r="EM22" s="5"/>
      <c r="EN22" s="5">
        <f t="shared" si="82"/>
        <v>3993.9736438</v>
      </c>
      <c r="EO22" s="5">
        <f t="shared" si="83"/>
        <v>3993.9736438</v>
      </c>
      <c r="EP22" s="38">
        <f t="shared" si="84"/>
        <v>447.0655106</v>
      </c>
      <c r="ER22" s="5"/>
      <c r="ES22" s="5">
        <f t="shared" si="85"/>
        <v>281.83307460000003</v>
      </c>
      <c r="ET22" s="5">
        <f t="shared" si="86"/>
        <v>281.83307460000003</v>
      </c>
      <c r="EU22" s="38">
        <f t="shared" si="87"/>
        <v>31.5469902</v>
      </c>
    </row>
    <row r="23" spans="1:151" ht="12.75">
      <c r="A23" s="40">
        <v>46113</v>
      </c>
      <c r="C23" s="77">
        <v>7050000</v>
      </c>
      <c r="D23" s="77">
        <v>637343</v>
      </c>
      <c r="E23" s="37">
        <f t="shared" si="0"/>
        <v>7687343</v>
      </c>
      <c r="F23" s="37">
        <v>71341</v>
      </c>
      <c r="H23" s="50">
        <f t="shared" si="88"/>
        <v>1010355.9450000001</v>
      </c>
      <c r="I23" s="38">
        <f t="shared" si="1"/>
        <v>91339.47362469998</v>
      </c>
      <c r="J23" s="38">
        <f t="shared" si="2"/>
        <v>1101695.4186247</v>
      </c>
      <c r="K23" s="38">
        <f t="shared" si="3"/>
        <v>10224.0855989</v>
      </c>
      <c r="L23"/>
      <c r="M23" s="5">
        <f t="shared" si="89"/>
        <v>233468.505</v>
      </c>
      <c r="N23" s="5">
        <f t="shared" si="4"/>
        <v>21106.314522300003</v>
      </c>
      <c r="O23" s="5">
        <f t="shared" si="5"/>
        <v>254574.8195223</v>
      </c>
      <c r="P23" s="38">
        <f t="shared" si="6"/>
        <v>2362.5356901</v>
      </c>
      <c r="Q23"/>
      <c r="R23" s="5">
        <f t="shared" si="90"/>
        <v>24807.54</v>
      </c>
      <c r="S23" s="38">
        <f t="shared" si="7"/>
        <v>2242.6825484</v>
      </c>
      <c r="T23" s="38">
        <f t="shared" si="8"/>
        <v>27050.2225484</v>
      </c>
      <c r="U23" s="38">
        <f t="shared" si="9"/>
        <v>251.0347108</v>
      </c>
      <c r="V23"/>
      <c r="W23" s="5">
        <f t="shared" si="91"/>
        <v>8496.66</v>
      </c>
      <c r="X23" s="5">
        <f t="shared" si="10"/>
        <v>768.1257836</v>
      </c>
      <c r="Y23" s="5">
        <f t="shared" si="11"/>
        <v>9264.7857836</v>
      </c>
      <c r="Z23" s="38">
        <f t="shared" si="12"/>
        <v>85.9801732</v>
      </c>
      <c r="AA23"/>
      <c r="AB23" s="5">
        <f t="shared" si="92"/>
        <v>4880.73615</v>
      </c>
      <c r="AC23" s="5">
        <f t="shared" si="13"/>
        <v>441.234470929</v>
      </c>
      <c r="AD23" s="5">
        <f t="shared" si="14"/>
        <v>5321.970620929</v>
      </c>
      <c r="AE23" s="38">
        <f t="shared" si="15"/>
        <v>49.389588323</v>
      </c>
      <c r="AF23"/>
      <c r="AG23" s="5">
        <f t="shared" si="93"/>
        <v>37644.18</v>
      </c>
      <c r="AH23" s="5">
        <f t="shared" si="16"/>
        <v>3403.1566828</v>
      </c>
      <c r="AI23" s="5">
        <f t="shared" si="17"/>
        <v>41047.3366828</v>
      </c>
      <c r="AJ23" s="38">
        <f t="shared" si="18"/>
        <v>380.9324036</v>
      </c>
      <c r="AK23"/>
      <c r="AL23" s="5">
        <f t="shared" si="94"/>
        <v>229920.945</v>
      </c>
      <c r="AM23" s="5">
        <f t="shared" si="19"/>
        <v>20785.6035247</v>
      </c>
      <c r="AN23" s="5">
        <f t="shared" si="20"/>
        <v>250706.54852470002</v>
      </c>
      <c r="AO23" s="38">
        <f t="shared" si="21"/>
        <v>2326.6368989000002</v>
      </c>
      <c r="AP23"/>
      <c r="AQ23" s="5">
        <f t="shared" si="95"/>
        <v>10972.62</v>
      </c>
      <c r="AR23" s="5">
        <f t="shared" si="22"/>
        <v>991.9606452</v>
      </c>
      <c r="AS23" s="5">
        <f t="shared" si="23"/>
        <v>11964.580645200002</v>
      </c>
      <c r="AT23" s="38">
        <f t="shared" si="24"/>
        <v>111.03513240000001</v>
      </c>
      <c r="AU23"/>
      <c r="AV23" s="5">
        <f>C23*$AX$6</f>
        <v>17812.53</v>
      </c>
      <c r="AW23" s="5">
        <f t="shared" si="25"/>
        <v>1610.3108238</v>
      </c>
      <c r="AX23" s="5">
        <f t="shared" si="26"/>
        <v>19422.840823799997</v>
      </c>
      <c r="AY23" s="38">
        <f t="shared" si="27"/>
        <v>180.2501706</v>
      </c>
      <c r="AZ23"/>
      <c r="BA23" s="38">
        <f t="shared" si="96"/>
        <v>43822.095</v>
      </c>
      <c r="BB23" s="5">
        <f t="shared" si="28"/>
        <v>3961.6603537</v>
      </c>
      <c r="BC23" s="38">
        <f t="shared" si="29"/>
        <v>47783.7553537</v>
      </c>
      <c r="BD23" s="38">
        <f t="shared" si="30"/>
        <v>443.4485219</v>
      </c>
      <c r="BE23"/>
      <c r="BF23" s="5">
        <f t="shared" si="97"/>
        <v>2105.13</v>
      </c>
      <c r="BG23" s="5">
        <f t="shared" si="31"/>
        <v>190.31061979999998</v>
      </c>
      <c r="BH23" s="5">
        <f t="shared" si="32"/>
        <v>2295.4406198</v>
      </c>
      <c r="BI23" s="38">
        <f t="shared" si="33"/>
        <v>21.3024226</v>
      </c>
      <c r="BJ23"/>
      <c r="BK23" s="5">
        <f t="shared" si="98"/>
        <v>22476.105</v>
      </c>
      <c r="BL23" s="5">
        <f t="shared" si="34"/>
        <v>2031.9132183000002</v>
      </c>
      <c r="BM23" s="5">
        <f t="shared" si="35"/>
        <v>24508.0182183</v>
      </c>
      <c r="BN23" s="38">
        <f t="shared" si="36"/>
        <v>227.44224210000002</v>
      </c>
      <c r="BO23"/>
      <c r="BP23" s="5">
        <f t="shared" si="99"/>
        <v>999.6688500000002</v>
      </c>
      <c r="BQ23" s="5">
        <f t="shared" si="37"/>
        <v>90.37332537100002</v>
      </c>
      <c r="BR23" s="5">
        <f t="shared" si="38"/>
        <v>1090.0421753710002</v>
      </c>
      <c r="BS23" s="38">
        <f t="shared" si="39"/>
        <v>10.115939777000003</v>
      </c>
      <c r="BT23"/>
      <c r="BU23" s="5">
        <f t="shared" si="100"/>
        <v>670.4549999999999</v>
      </c>
      <c r="BV23" s="5">
        <f t="shared" si="40"/>
        <v>60.6113193</v>
      </c>
      <c r="BW23" s="5">
        <f t="shared" si="41"/>
        <v>731.0663192999999</v>
      </c>
      <c r="BX23" s="38">
        <f t="shared" si="42"/>
        <v>6.784529099999999</v>
      </c>
      <c r="BY23"/>
      <c r="BZ23" s="5">
        <f t="shared" si="101"/>
        <v>1120.2450000000001</v>
      </c>
      <c r="CA23" s="5">
        <f t="shared" si="43"/>
        <v>101.2738027</v>
      </c>
      <c r="CB23" s="5">
        <f t="shared" si="44"/>
        <v>1221.5188027000002</v>
      </c>
      <c r="CC23" s="38">
        <f t="shared" si="45"/>
        <v>11.336084900000001</v>
      </c>
      <c r="CD23"/>
      <c r="CE23" s="5">
        <f t="shared" si="102"/>
        <v>21372.075</v>
      </c>
      <c r="CF23" s="5">
        <f t="shared" si="46"/>
        <v>1932.1053044999999</v>
      </c>
      <c r="CG23" s="5">
        <f t="shared" si="47"/>
        <v>23304.1803045</v>
      </c>
      <c r="CH23" s="38">
        <f t="shared" si="48"/>
        <v>216.2702415</v>
      </c>
      <c r="CI23"/>
      <c r="CJ23" s="5">
        <f t="shared" si="103"/>
        <v>17250.645</v>
      </c>
      <c r="CK23" s="5">
        <f t="shared" si="49"/>
        <v>1559.5145867</v>
      </c>
      <c r="CL23" s="38">
        <f t="shared" si="50"/>
        <v>18810.1595867</v>
      </c>
      <c r="CM23" s="38">
        <f t="shared" si="51"/>
        <v>174.5642929</v>
      </c>
      <c r="CO23" s="5">
        <f t="shared" si="104"/>
        <v>3128.085</v>
      </c>
      <c r="CP23" s="5">
        <f t="shared" si="52"/>
        <v>282.7890891</v>
      </c>
      <c r="CQ23" s="5">
        <f t="shared" si="53"/>
        <v>3410.8740891</v>
      </c>
      <c r="CR23" s="38">
        <f t="shared" si="54"/>
        <v>31.6540017</v>
      </c>
      <c r="CT23" s="5">
        <f t="shared" si="105"/>
        <v>1258.425</v>
      </c>
      <c r="CU23" s="5">
        <f t="shared" si="55"/>
        <v>113.7657255</v>
      </c>
      <c r="CV23" s="5">
        <f t="shared" si="56"/>
        <v>1372.1907254999999</v>
      </c>
      <c r="CW23" s="38">
        <f t="shared" si="57"/>
        <v>12.7343685</v>
      </c>
      <c r="CY23" s="5">
        <f t="shared" si="106"/>
        <v>10123.095</v>
      </c>
      <c r="CZ23" s="5">
        <f t="shared" si="58"/>
        <v>915.1608137</v>
      </c>
      <c r="DA23" s="5">
        <f t="shared" si="59"/>
        <v>11038.2558137</v>
      </c>
      <c r="DB23" s="38">
        <f t="shared" si="60"/>
        <v>102.43854189999999</v>
      </c>
      <c r="DD23" s="5">
        <f t="shared" si="107"/>
        <v>128511.63</v>
      </c>
      <c r="DE23" s="5">
        <f t="shared" si="61"/>
        <v>11617.8706098</v>
      </c>
      <c r="DF23" s="38">
        <f t="shared" si="62"/>
        <v>140129.50060980002</v>
      </c>
      <c r="DG23" s="38">
        <f t="shared" si="63"/>
        <v>1300.4465526000001</v>
      </c>
      <c r="DI23" s="5">
        <f t="shared" si="108"/>
        <v>10766.76</v>
      </c>
      <c r="DJ23" s="38">
        <f t="shared" si="64"/>
        <v>973.3502296</v>
      </c>
      <c r="DK23" s="38">
        <f t="shared" si="65"/>
        <v>11740.1102296</v>
      </c>
      <c r="DL23" s="38">
        <f t="shared" si="66"/>
        <v>108.9519752</v>
      </c>
      <c r="DN23" s="5">
        <f t="shared" si="109"/>
        <v>4223.655</v>
      </c>
      <c r="DO23" s="38">
        <f t="shared" si="67"/>
        <v>381.8321913</v>
      </c>
      <c r="DP23" s="38">
        <f t="shared" si="68"/>
        <v>4605.4871913</v>
      </c>
      <c r="DQ23" s="38">
        <f t="shared" si="69"/>
        <v>42.7403931</v>
      </c>
      <c r="DS23" s="5">
        <f t="shared" si="110"/>
        <v>3464.3700000000003</v>
      </c>
      <c r="DT23" s="5">
        <f t="shared" si="70"/>
        <v>313.1903502</v>
      </c>
      <c r="DU23" s="5">
        <f t="shared" si="71"/>
        <v>3777.5603502000004</v>
      </c>
      <c r="DV23" s="38">
        <f t="shared" si="72"/>
        <v>35.0569674</v>
      </c>
      <c r="DX23" s="38">
        <f t="shared" si="111"/>
        <v>31619.954999999998</v>
      </c>
      <c r="DY23" s="38">
        <f t="shared" si="73"/>
        <v>2858.5470892999997</v>
      </c>
      <c r="DZ23" s="5">
        <f t="shared" si="74"/>
        <v>34478.5020893</v>
      </c>
      <c r="EA23" s="38">
        <f t="shared" si="75"/>
        <v>319.97151909999997</v>
      </c>
      <c r="EC23" s="38">
        <f t="shared" si="112"/>
        <v>91207.965</v>
      </c>
      <c r="ED23" s="38">
        <f t="shared" si="76"/>
        <v>8245.4975939</v>
      </c>
      <c r="EE23" s="5">
        <f t="shared" si="77"/>
        <v>99453.4625939</v>
      </c>
      <c r="EF23" s="38">
        <f t="shared" si="78"/>
        <v>922.9599193</v>
      </c>
      <c r="EH23" s="5">
        <f t="shared" si="113"/>
        <v>934.8299999999999</v>
      </c>
      <c r="EI23" s="5">
        <f t="shared" si="79"/>
        <v>84.5116818</v>
      </c>
      <c r="EJ23" s="5">
        <f t="shared" si="80"/>
        <v>1019.3416818</v>
      </c>
      <c r="EK23" s="38">
        <f t="shared" si="81"/>
        <v>9.4598166</v>
      </c>
      <c r="EM23" s="5">
        <f t="shared" si="114"/>
        <v>44179.53</v>
      </c>
      <c r="EN23" s="5">
        <f t="shared" si="82"/>
        <v>3993.9736438</v>
      </c>
      <c r="EO23" s="5">
        <f t="shared" si="83"/>
        <v>48173.503643799995</v>
      </c>
      <c r="EP23" s="38">
        <f t="shared" si="84"/>
        <v>447.0655106</v>
      </c>
      <c r="ER23" s="5">
        <f t="shared" si="115"/>
        <v>3117.51</v>
      </c>
      <c r="ES23" s="5">
        <f t="shared" si="85"/>
        <v>281.83307460000003</v>
      </c>
      <c r="ET23" s="5">
        <f t="shared" si="86"/>
        <v>3399.3430746000004</v>
      </c>
      <c r="EU23" s="38">
        <f t="shared" si="87"/>
        <v>31.5469902</v>
      </c>
    </row>
    <row r="24" spans="1:151" ht="12.75">
      <c r="A24" s="40">
        <v>46296</v>
      </c>
      <c r="C24" s="77"/>
      <c r="D24" s="77">
        <v>522781</v>
      </c>
      <c r="E24" s="37">
        <f t="shared" si="0"/>
        <v>522781</v>
      </c>
      <c r="F24" s="37">
        <v>71341</v>
      </c>
      <c r="H24" s="50"/>
      <c r="I24" s="38">
        <f t="shared" si="1"/>
        <v>74921.2611749</v>
      </c>
      <c r="J24" s="38">
        <f t="shared" si="2"/>
        <v>74921.2611749</v>
      </c>
      <c r="K24" s="38">
        <f t="shared" si="3"/>
        <v>10224.0855989</v>
      </c>
      <c r="L24"/>
      <c r="N24" s="5">
        <f t="shared" si="4"/>
        <v>17312.467874100003</v>
      </c>
      <c r="O24" s="5">
        <f t="shared" si="5"/>
        <v>17312.467874100003</v>
      </c>
      <c r="P24" s="38">
        <f t="shared" si="6"/>
        <v>2362.5356901</v>
      </c>
      <c r="Q24"/>
      <c r="S24" s="38">
        <f t="shared" si="7"/>
        <v>1839.5617828</v>
      </c>
      <c r="T24" s="38">
        <f t="shared" si="8"/>
        <v>1839.5617828</v>
      </c>
      <c r="U24" s="38">
        <f t="shared" si="9"/>
        <v>251.0347108</v>
      </c>
      <c r="V24"/>
      <c r="X24" s="5">
        <f t="shared" si="10"/>
        <v>630.0556612</v>
      </c>
      <c r="Y24" s="5">
        <f t="shared" si="11"/>
        <v>630.0556612</v>
      </c>
      <c r="Z24" s="38">
        <f t="shared" si="12"/>
        <v>85.9801732</v>
      </c>
      <c r="AA24"/>
      <c r="AC24" s="5">
        <f t="shared" si="13"/>
        <v>361.922854643</v>
      </c>
      <c r="AD24" s="5">
        <f t="shared" si="14"/>
        <v>361.922854643</v>
      </c>
      <c r="AE24" s="38">
        <f t="shared" si="15"/>
        <v>49.389588323</v>
      </c>
      <c r="AF24"/>
      <c r="AH24" s="5">
        <f t="shared" si="16"/>
        <v>2791.4414275999998</v>
      </c>
      <c r="AI24" s="5">
        <f t="shared" si="17"/>
        <v>2791.4414275999998</v>
      </c>
      <c r="AJ24" s="38">
        <f t="shared" si="18"/>
        <v>380.9324036</v>
      </c>
      <c r="AK24"/>
      <c r="AM24" s="5">
        <f t="shared" si="19"/>
        <v>17049.4044749</v>
      </c>
      <c r="AN24" s="5">
        <f t="shared" si="20"/>
        <v>17049.4044749</v>
      </c>
      <c r="AO24" s="38">
        <f t="shared" si="21"/>
        <v>2326.6368989000002</v>
      </c>
      <c r="AP24"/>
      <c r="AR24" s="5">
        <f t="shared" si="22"/>
        <v>813.6563484000001</v>
      </c>
      <c r="AS24" s="5">
        <f t="shared" si="23"/>
        <v>813.6563484000001</v>
      </c>
      <c r="AT24" s="38">
        <f t="shared" si="24"/>
        <v>111.03513240000001</v>
      </c>
      <c r="AU24"/>
      <c r="AW24" s="5">
        <f t="shared" si="25"/>
        <v>1320.8584746</v>
      </c>
      <c r="AX24" s="5">
        <f t="shared" si="26"/>
        <v>1320.8584746</v>
      </c>
      <c r="AY24" s="38">
        <f t="shared" si="27"/>
        <v>180.2501706</v>
      </c>
      <c r="AZ24"/>
      <c r="BA24" s="38"/>
      <c r="BB24" s="5">
        <f t="shared" si="28"/>
        <v>3249.5544179</v>
      </c>
      <c r="BC24" s="38">
        <f t="shared" si="29"/>
        <v>3249.5544179</v>
      </c>
      <c r="BD24" s="38">
        <f t="shared" si="30"/>
        <v>443.4485219</v>
      </c>
      <c r="BE24"/>
      <c r="BG24" s="5">
        <f t="shared" si="31"/>
        <v>156.1024066</v>
      </c>
      <c r="BH24" s="5">
        <f t="shared" si="32"/>
        <v>156.1024066</v>
      </c>
      <c r="BI24" s="38">
        <f t="shared" si="33"/>
        <v>21.3024226</v>
      </c>
      <c r="BJ24"/>
      <c r="BL24" s="5">
        <f t="shared" si="34"/>
        <v>1666.6781061000002</v>
      </c>
      <c r="BM24" s="5">
        <f t="shared" si="35"/>
        <v>1666.6781061000002</v>
      </c>
      <c r="BN24" s="38">
        <f t="shared" si="36"/>
        <v>227.44224210000002</v>
      </c>
      <c r="BO24"/>
      <c r="BQ24" s="5">
        <f t="shared" si="37"/>
        <v>74.12877745700003</v>
      </c>
      <c r="BR24" s="5">
        <f t="shared" si="38"/>
        <v>74.12877745700003</v>
      </c>
      <c r="BS24" s="38">
        <f t="shared" si="39"/>
        <v>10.115939777000003</v>
      </c>
      <c r="BT24"/>
      <c r="BV24" s="5">
        <f t="shared" si="40"/>
        <v>49.716473099999995</v>
      </c>
      <c r="BW24" s="5">
        <f t="shared" si="41"/>
        <v>49.716473099999995</v>
      </c>
      <c r="BX24" s="38">
        <f t="shared" si="42"/>
        <v>6.784529099999999</v>
      </c>
      <c r="BY24"/>
      <c r="CA24" s="5">
        <f t="shared" si="43"/>
        <v>83.06990090000001</v>
      </c>
      <c r="CB24" s="5">
        <f t="shared" si="44"/>
        <v>83.06990090000001</v>
      </c>
      <c r="CC24" s="38">
        <f t="shared" si="45"/>
        <v>11.336084900000001</v>
      </c>
      <c r="CD24"/>
      <c r="CF24" s="5">
        <f t="shared" si="46"/>
        <v>1584.8106014999998</v>
      </c>
      <c r="CG24" s="5">
        <f t="shared" si="47"/>
        <v>1584.8106014999998</v>
      </c>
      <c r="CH24" s="38">
        <f t="shared" si="48"/>
        <v>216.2702415</v>
      </c>
      <c r="CI24"/>
      <c r="CK24" s="5">
        <f t="shared" si="49"/>
        <v>1279.1928289</v>
      </c>
      <c r="CL24" s="38">
        <f t="shared" si="50"/>
        <v>1279.1928289</v>
      </c>
      <c r="CM24" s="38">
        <f t="shared" si="51"/>
        <v>174.5642929</v>
      </c>
      <c r="CP24" s="5">
        <f t="shared" si="52"/>
        <v>231.9579297</v>
      </c>
      <c r="CQ24" s="5">
        <f t="shared" si="53"/>
        <v>231.9579297</v>
      </c>
      <c r="CR24" s="38">
        <f t="shared" si="54"/>
        <v>31.6540017</v>
      </c>
      <c r="CU24" s="5">
        <f t="shared" si="55"/>
        <v>93.3164085</v>
      </c>
      <c r="CV24" s="5">
        <f t="shared" si="56"/>
        <v>93.3164085</v>
      </c>
      <c r="CW24" s="38">
        <f t="shared" si="57"/>
        <v>12.7343685</v>
      </c>
      <c r="CZ24" s="5">
        <f t="shared" si="58"/>
        <v>750.6612379</v>
      </c>
      <c r="DA24" s="5">
        <f t="shared" si="59"/>
        <v>750.6612379</v>
      </c>
      <c r="DB24" s="38">
        <f t="shared" si="60"/>
        <v>102.43854189999999</v>
      </c>
      <c r="DE24" s="5">
        <f t="shared" si="61"/>
        <v>9529.565736600001</v>
      </c>
      <c r="DF24" s="38">
        <f t="shared" si="62"/>
        <v>9529.565736600001</v>
      </c>
      <c r="DG24" s="38">
        <f t="shared" si="63"/>
        <v>1300.4465526000001</v>
      </c>
      <c r="DJ24" s="38">
        <f t="shared" si="64"/>
        <v>798.3911432</v>
      </c>
      <c r="DK24" s="38">
        <f t="shared" si="65"/>
        <v>798.3911432</v>
      </c>
      <c r="DL24" s="38">
        <f t="shared" si="66"/>
        <v>108.9519752</v>
      </c>
      <c r="DO24" s="38">
        <f t="shared" si="67"/>
        <v>313.1980971</v>
      </c>
      <c r="DP24" s="38">
        <f t="shared" si="68"/>
        <v>313.1980971</v>
      </c>
      <c r="DQ24" s="38">
        <f t="shared" si="69"/>
        <v>42.7403931</v>
      </c>
      <c r="DT24" s="5">
        <f t="shared" si="70"/>
        <v>256.8945834</v>
      </c>
      <c r="DU24" s="5">
        <f t="shared" si="71"/>
        <v>256.8945834</v>
      </c>
      <c r="DV24" s="38">
        <f t="shared" si="72"/>
        <v>35.0569674</v>
      </c>
      <c r="DX24" s="38"/>
      <c r="DY24" s="38">
        <f t="shared" si="73"/>
        <v>2344.7250630999997</v>
      </c>
      <c r="DZ24" s="5">
        <f t="shared" si="74"/>
        <v>2344.7250630999997</v>
      </c>
      <c r="EA24" s="38">
        <f t="shared" si="75"/>
        <v>319.97151909999997</v>
      </c>
      <c r="EC24" s="38"/>
      <c r="ED24" s="38">
        <f t="shared" si="76"/>
        <v>6763.3746313</v>
      </c>
      <c r="EE24" s="5">
        <f t="shared" si="77"/>
        <v>6763.3746313</v>
      </c>
      <c r="EF24" s="38">
        <f t="shared" si="78"/>
        <v>922.9599193</v>
      </c>
      <c r="EI24" s="5">
        <f t="shared" si="79"/>
        <v>69.3207606</v>
      </c>
      <c r="EJ24" s="5">
        <f t="shared" si="80"/>
        <v>69.3207606</v>
      </c>
      <c r="EK24" s="38">
        <f t="shared" si="81"/>
        <v>9.4598166</v>
      </c>
      <c r="EM24" s="5"/>
      <c r="EN24" s="5">
        <f t="shared" si="82"/>
        <v>3276.0594146</v>
      </c>
      <c r="EO24" s="5">
        <f t="shared" si="83"/>
        <v>3276.0594146</v>
      </c>
      <c r="EP24" s="38">
        <f t="shared" si="84"/>
        <v>447.0655106</v>
      </c>
      <c r="ER24" s="5"/>
      <c r="ES24" s="5">
        <f t="shared" si="85"/>
        <v>231.1737582</v>
      </c>
      <c r="ET24" s="5">
        <f t="shared" si="86"/>
        <v>231.1737582</v>
      </c>
      <c r="EU24" s="38">
        <f t="shared" si="87"/>
        <v>31.5469902</v>
      </c>
    </row>
    <row r="25" spans="1:151" ht="12.75">
      <c r="A25" s="40">
        <v>46478</v>
      </c>
      <c r="C25" s="77">
        <v>7280000</v>
      </c>
      <c r="D25" s="77">
        <v>522781</v>
      </c>
      <c r="E25" s="37">
        <f t="shared" si="0"/>
        <v>7802781</v>
      </c>
      <c r="F25" s="37">
        <v>71341</v>
      </c>
      <c r="H25" s="50">
        <f t="shared" si="88"/>
        <v>1043317.9119999998</v>
      </c>
      <c r="I25" s="38">
        <f t="shared" si="1"/>
        <v>74921.2611749</v>
      </c>
      <c r="J25" s="38">
        <f t="shared" si="2"/>
        <v>1118239.1731748998</v>
      </c>
      <c r="K25" s="38">
        <f t="shared" si="3"/>
        <v>10224.0855989</v>
      </c>
      <c r="L25"/>
      <c r="M25" s="5">
        <f t="shared" si="89"/>
        <v>241085.208</v>
      </c>
      <c r="N25" s="5">
        <f t="shared" si="4"/>
        <v>17312.467874100003</v>
      </c>
      <c r="O25" s="5">
        <f t="shared" si="5"/>
        <v>258397.6758741</v>
      </c>
      <c r="P25" s="38">
        <f t="shared" si="6"/>
        <v>2362.5356901</v>
      </c>
      <c r="Q25"/>
      <c r="R25" s="5">
        <f t="shared" si="90"/>
        <v>25616.863999999998</v>
      </c>
      <c r="S25" s="38">
        <f t="shared" si="7"/>
        <v>1839.5617828</v>
      </c>
      <c r="T25" s="38">
        <f t="shared" si="8"/>
        <v>27456.425782799997</v>
      </c>
      <c r="U25" s="38">
        <f t="shared" si="9"/>
        <v>251.0347108</v>
      </c>
      <c r="V25"/>
      <c r="W25" s="5">
        <f t="shared" si="91"/>
        <v>8773.856</v>
      </c>
      <c r="X25" s="5">
        <f t="shared" si="10"/>
        <v>630.0556612</v>
      </c>
      <c r="Y25" s="5">
        <f t="shared" si="11"/>
        <v>9403.9116612</v>
      </c>
      <c r="Z25" s="38">
        <f t="shared" si="12"/>
        <v>85.9801732</v>
      </c>
      <c r="AA25"/>
      <c r="AB25" s="5">
        <f t="shared" si="92"/>
        <v>5039.96584</v>
      </c>
      <c r="AC25" s="5">
        <f t="shared" si="13"/>
        <v>361.922854643</v>
      </c>
      <c r="AD25" s="5">
        <f t="shared" si="14"/>
        <v>5401.888694643</v>
      </c>
      <c r="AE25" s="38">
        <f t="shared" si="15"/>
        <v>49.389588323</v>
      </c>
      <c r="AF25"/>
      <c r="AG25" s="5">
        <f t="shared" si="93"/>
        <v>38872.288</v>
      </c>
      <c r="AH25" s="5">
        <f t="shared" si="16"/>
        <v>2791.4414275999998</v>
      </c>
      <c r="AI25" s="5">
        <f t="shared" si="17"/>
        <v>41663.7294276</v>
      </c>
      <c r="AJ25" s="38">
        <f t="shared" si="18"/>
        <v>380.9324036</v>
      </c>
      <c r="AK25"/>
      <c r="AL25" s="5">
        <f t="shared" si="94"/>
        <v>237421.912</v>
      </c>
      <c r="AM25" s="5">
        <f t="shared" si="19"/>
        <v>17049.4044749</v>
      </c>
      <c r="AN25" s="5">
        <f t="shared" si="20"/>
        <v>254471.3164749</v>
      </c>
      <c r="AO25" s="38">
        <f t="shared" si="21"/>
        <v>2326.6368989000002</v>
      </c>
      <c r="AP25"/>
      <c r="AQ25" s="5">
        <f t="shared" si="95"/>
        <v>11330.592</v>
      </c>
      <c r="AR25" s="5">
        <f t="shared" si="22"/>
        <v>813.6563484000001</v>
      </c>
      <c r="AS25" s="5">
        <f t="shared" si="23"/>
        <v>12144.2483484</v>
      </c>
      <c r="AT25" s="38">
        <f t="shared" si="24"/>
        <v>111.03513240000001</v>
      </c>
      <c r="AU25"/>
      <c r="AV25" s="5">
        <f>C25*$AX$6</f>
        <v>18393.648</v>
      </c>
      <c r="AW25" s="5">
        <f t="shared" si="25"/>
        <v>1320.8584746</v>
      </c>
      <c r="AX25" s="5">
        <f t="shared" si="26"/>
        <v>19714.506474600003</v>
      </c>
      <c r="AY25" s="38">
        <f t="shared" si="27"/>
        <v>180.2501706</v>
      </c>
      <c r="AZ25"/>
      <c r="BA25" s="38">
        <f t="shared" si="96"/>
        <v>45251.752</v>
      </c>
      <c r="BB25" s="5">
        <f t="shared" si="28"/>
        <v>3249.5544179</v>
      </c>
      <c r="BC25" s="38">
        <f t="shared" si="29"/>
        <v>48501.3064179</v>
      </c>
      <c r="BD25" s="38">
        <f t="shared" si="30"/>
        <v>443.4485219</v>
      </c>
      <c r="BE25"/>
      <c r="BF25" s="5">
        <f t="shared" si="97"/>
        <v>2173.808</v>
      </c>
      <c r="BG25" s="5">
        <f t="shared" si="31"/>
        <v>156.1024066</v>
      </c>
      <c r="BH25" s="5">
        <f t="shared" si="32"/>
        <v>2329.9104066</v>
      </c>
      <c r="BI25" s="38">
        <f t="shared" si="33"/>
        <v>21.3024226</v>
      </c>
      <c r="BJ25"/>
      <c r="BK25" s="5">
        <f t="shared" si="98"/>
        <v>23209.368000000002</v>
      </c>
      <c r="BL25" s="5">
        <f t="shared" si="34"/>
        <v>1666.6781061000002</v>
      </c>
      <c r="BM25" s="5">
        <f t="shared" si="35"/>
        <v>24876.046106100002</v>
      </c>
      <c r="BN25" s="38">
        <f t="shared" si="36"/>
        <v>227.44224210000002</v>
      </c>
      <c r="BO25"/>
      <c r="BP25" s="5">
        <f t="shared" si="99"/>
        <v>1032.2821600000002</v>
      </c>
      <c r="BQ25" s="5">
        <f t="shared" si="37"/>
        <v>74.12877745700003</v>
      </c>
      <c r="BR25" s="5">
        <f t="shared" si="38"/>
        <v>1106.4109374570003</v>
      </c>
      <c r="BS25" s="38">
        <f t="shared" si="39"/>
        <v>10.115939777000003</v>
      </c>
      <c r="BT25"/>
      <c r="BU25" s="5">
        <f t="shared" si="100"/>
        <v>692.328</v>
      </c>
      <c r="BV25" s="5">
        <f t="shared" si="40"/>
        <v>49.716473099999995</v>
      </c>
      <c r="BW25" s="5">
        <f t="shared" si="41"/>
        <v>742.0444731</v>
      </c>
      <c r="BX25" s="38">
        <f t="shared" si="42"/>
        <v>6.784529099999999</v>
      </c>
      <c r="BY25"/>
      <c r="BZ25" s="5">
        <f t="shared" si="101"/>
        <v>1156.7920000000001</v>
      </c>
      <c r="CA25" s="5">
        <f t="shared" si="43"/>
        <v>83.06990090000001</v>
      </c>
      <c r="CB25" s="5">
        <f t="shared" si="44"/>
        <v>1239.8619009000001</v>
      </c>
      <c r="CC25" s="38">
        <f t="shared" si="45"/>
        <v>11.336084900000001</v>
      </c>
      <c r="CD25"/>
      <c r="CE25" s="5">
        <f t="shared" si="102"/>
        <v>22069.32</v>
      </c>
      <c r="CF25" s="5">
        <f t="shared" si="46"/>
        <v>1584.8106014999998</v>
      </c>
      <c r="CG25" s="5">
        <f t="shared" si="47"/>
        <v>23654.1306015</v>
      </c>
      <c r="CH25" s="38">
        <f t="shared" si="48"/>
        <v>216.2702415</v>
      </c>
      <c r="CI25"/>
      <c r="CJ25" s="5">
        <f t="shared" si="103"/>
        <v>17813.432</v>
      </c>
      <c r="CK25" s="5">
        <f t="shared" si="49"/>
        <v>1279.1928289</v>
      </c>
      <c r="CL25" s="38">
        <f t="shared" si="50"/>
        <v>19092.6248289</v>
      </c>
      <c r="CM25" s="38">
        <f t="shared" si="51"/>
        <v>174.5642929</v>
      </c>
      <c r="CO25" s="5">
        <f t="shared" si="104"/>
        <v>3230.136</v>
      </c>
      <c r="CP25" s="5">
        <f t="shared" si="52"/>
        <v>231.9579297</v>
      </c>
      <c r="CQ25" s="5">
        <f t="shared" si="53"/>
        <v>3462.0939297</v>
      </c>
      <c r="CR25" s="38">
        <f t="shared" si="54"/>
        <v>31.6540017</v>
      </c>
      <c r="CT25" s="5">
        <f t="shared" si="105"/>
        <v>1299.48</v>
      </c>
      <c r="CU25" s="5">
        <f t="shared" si="55"/>
        <v>93.3164085</v>
      </c>
      <c r="CV25" s="5">
        <f t="shared" si="56"/>
        <v>1392.7964085</v>
      </c>
      <c r="CW25" s="38">
        <f t="shared" si="57"/>
        <v>12.7343685</v>
      </c>
      <c r="CY25" s="5">
        <f t="shared" si="106"/>
        <v>10453.351999999999</v>
      </c>
      <c r="CZ25" s="5">
        <f t="shared" si="58"/>
        <v>750.6612379</v>
      </c>
      <c r="DA25" s="5">
        <f t="shared" si="59"/>
        <v>11204.013237899999</v>
      </c>
      <c r="DB25" s="38">
        <f t="shared" si="60"/>
        <v>102.43854189999999</v>
      </c>
      <c r="DD25" s="5">
        <f t="shared" si="107"/>
        <v>132704.208</v>
      </c>
      <c r="DE25" s="5">
        <f t="shared" si="61"/>
        <v>9529.565736600001</v>
      </c>
      <c r="DF25" s="38">
        <f t="shared" si="62"/>
        <v>142233.7737366</v>
      </c>
      <c r="DG25" s="38">
        <f t="shared" si="63"/>
        <v>1300.4465526000001</v>
      </c>
      <c r="DI25" s="5">
        <f t="shared" si="108"/>
        <v>11118.016</v>
      </c>
      <c r="DJ25" s="38">
        <f t="shared" si="64"/>
        <v>798.3911432</v>
      </c>
      <c r="DK25" s="38">
        <f t="shared" si="65"/>
        <v>11916.4071432</v>
      </c>
      <c r="DL25" s="38">
        <f t="shared" si="66"/>
        <v>108.9519752</v>
      </c>
      <c r="DN25" s="5">
        <f t="shared" si="109"/>
        <v>4361.447999999999</v>
      </c>
      <c r="DO25" s="38">
        <f t="shared" si="67"/>
        <v>313.1980971</v>
      </c>
      <c r="DP25" s="38">
        <f t="shared" si="68"/>
        <v>4674.6460971</v>
      </c>
      <c r="DQ25" s="38">
        <f t="shared" si="69"/>
        <v>42.7403931</v>
      </c>
      <c r="DS25" s="5">
        <f t="shared" si="110"/>
        <v>3577.3920000000003</v>
      </c>
      <c r="DT25" s="5">
        <f t="shared" si="70"/>
        <v>256.8945834</v>
      </c>
      <c r="DU25" s="5">
        <f t="shared" si="71"/>
        <v>3834.2865834000004</v>
      </c>
      <c r="DV25" s="38">
        <f t="shared" si="72"/>
        <v>35.0569674</v>
      </c>
      <c r="DX25" s="38">
        <f t="shared" si="111"/>
        <v>32651.528</v>
      </c>
      <c r="DY25" s="38">
        <f t="shared" si="73"/>
        <v>2344.7250630999997</v>
      </c>
      <c r="DZ25" s="5">
        <f t="shared" si="74"/>
        <v>34996.2530631</v>
      </c>
      <c r="EA25" s="38">
        <f t="shared" si="75"/>
        <v>319.97151909999997</v>
      </c>
      <c r="EC25" s="38">
        <f t="shared" si="112"/>
        <v>94183.54400000001</v>
      </c>
      <c r="ED25" s="38">
        <f t="shared" si="76"/>
        <v>6763.3746313</v>
      </c>
      <c r="EE25" s="5">
        <f t="shared" si="77"/>
        <v>100946.91863130001</v>
      </c>
      <c r="EF25" s="38">
        <f t="shared" si="78"/>
        <v>922.9599193</v>
      </c>
      <c r="EH25" s="5">
        <f t="shared" si="113"/>
        <v>965.328</v>
      </c>
      <c r="EI25" s="5">
        <f t="shared" si="79"/>
        <v>69.3207606</v>
      </c>
      <c r="EJ25" s="5">
        <f t="shared" si="80"/>
        <v>1034.6487606</v>
      </c>
      <c r="EK25" s="38">
        <f t="shared" si="81"/>
        <v>9.4598166</v>
      </c>
      <c r="EM25" s="5">
        <f t="shared" si="114"/>
        <v>45620.848</v>
      </c>
      <c r="EN25" s="5">
        <f t="shared" si="82"/>
        <v>3276.0594146</v>
      </c>
      <c r="EO25" s="5">
        <f t="shared" si="83"/>
        <v>48896.9074146</v>
      </c>
      <c r="EP25" s="38">
        <f t="shared" si="84"/>
        <v>447.0655106</v>
      </c>
      <c r="ER25" s="5">
        <f t="shared" si="115"/>
        <v>3219.216</v>
      </c>
      <c r="ES25" s="5">
        <f t="shared" si="85"/>
        <v>231.1737582</v>
      </c>
      <c r="ET25" s="5">
        <f t="shared" si="86"/>
        <v>3450.3897582</v>
      </c>
      <c r="EU25" s="38">
        <f t="shared" si="87"/>
        <v>31.5469902</v>
      </c>
    </row>
    <row r="26" spans="1:151" ht="12.75">
      <c r="A26" s="40">
        <v>46661</v>
      </c>
      <c r="C26" s="77"/>
      <c r="D26" s="77">
        <v>402115</v>
      </c>
      <c r="E26" s="37">
        <f t="shared" si="0"/>
        <v>402115</v>
      </c>
      <c r="F26" s="37">
        <v>71341</v>
      </c>
      <c r="H26" s="50"/>
      <c r="I26" s="38">
        <f t="shared" si="1"/>
        <v>57628.26678350001</v>
      </c>
      <c r="J26" s="38">
        <f t="shared" si="2"/>
        <v>57628.26678350001</v>
      </c>
      <c r="K26" s="38">
        <f t="shared" si="3"/>
        <v>10224.0855989</v>
      </c>
      <c r="L26"/>
      <c r="N26" s="5">
        <f t="shared" si="4"/>
        <v>13316.4805515</v>
      </c>
      <c r="O26" s="5">
        <f t="shared" si="5"/>
        <v>13316.4805515</v>
      </c>
      <c r="P26" s="38">
        <f t="shared" si="6"/>
        <v>2362.5356901</v>
      </c>
      <c r="Q26"/>
      <c r="S26" s="38">
        <f t="shared" si="7"/>
        <v>1414.962262</v>
      </c>
      <c r="T26" s="38">
        <f t="shared" si="8"/>
        <v>1414.962262</v>
      </c>
      <c r="U26" s="38">
        <f t="shared" si="9"/>
        <v>251.0347108</v>
      </c>
      <c r="V26"/>
      <c r="X26" s="5">
        <f t="shared" si="10"/>
        <v>484.628998</v>
      </c>
      <c r="Y26" s="5">
        <f t="shared" si="11"/>
        <v>484.628998</v>
      </c>
      <c r="Z26" s="38">
        <f t="shared" si="12"/>
        <v>85.9801732</v>
      </c>
      <c r="AA26"/>
      <c r="AC26" s="5">
        <f t="shared" si="13"/>
        <v>278.385420845</v>
      </c>
      <c r="AD26" s="5">
        <f t="shared" si="14"/>
        <v>278.385420845</v>
      </c>
      <c r="AE26" s="38">
        <f t="shared" si="15"/>
        <v>49.389588323</v>
      </c>
      <c r="AF26"/>
      <c r="AH26" s="5">
        <f t="shared" si="16"/>
        <v>2147.133254</v>
      </c>
      <c r="AI26" s="5">
        <f t="shared" si="17"/>
        <v>2147.133254</v>
      </c>
      <c r="AJ26" s="38">
        <f t="shared" si="18"/>
        <v>380.9324036</v>
      </c>
      <c r="AK26"/>
      <c r="AM26" s="5">
        <f t="shared" si="19"/>
        <v>13114.1362835</v>
      </c>
      <c r="AN26" s="5">
        <f t="shared" si="20"/>
        <v>13114.1362835</v>
      </c>
      <c r="AO26" s="38">
        <f t="shared" si="21"/>
        <v>2326.6368989000002</v>
      </c>
      <c r="AP26"/>
      <c r="AR26" s="5">
        <f t="shared" si="22"/>
        <v>625.8517860000001</v>
      </c>
      <c r="AS26" s="5">
        <f t="shared" si="23"/>
        <v>625.8517860000001</v>
      </c>
      <c r="AT26" s="38">
        <f t="shared" si="24"/>
        <v>111.03513240000001</v>
      </c>
      <c r="AU26"/>
      <c r="AW26" s="5">
        <f t="shared" si="25"/>
        <v>1015.983759</v>
      </c>
      <c r="AX26" s="5">
        <f t="shared" si="26"/>
        <v>1015.983759</v>
      </c>
      <c r="AY26" s="38">
        <f t="shared" si="27"/>
        <v>180.2501706</v>
      </c>
      <c r="AZ26"/>
      <c r="BA26" s="38"/>
      <c r="BB26" s="5">
        <f t="shared" si="28"/>
        <v>2499.5066285</v>
      </c>
      <c r="BC26" s="38">
        <f t="shared" si="29"/>
        <v>2499.5066285</v>
      </c>
      <c r="BD26" s="38">
        <f t="shared" si="30"/>
        <v>443.4485219</v>
      </c>
      <c r="BE26"/>
      <c r="BG26" s="5">
        <f t="shared" si="31"/>
        <v>120.071539</v>
      </c>
      <c r="BH26" s="5">
        <f t="shared" si="32"/>
        <v>120.071539</v>
      </c>
      <c r="BI26" s="38">
        <f t="shared" si="33"/>
        <v>21.3024226</v>
      </c>
      <c r="BJ26"/>
      <c r="BL26" s="5">
        <f t="shared" si="34"/>
        <v>1281.9828315</v>
      </c>
      <c r="BM26" s="5">
        <f t="shared" si="35"/>
        <v>1281.9828315</v>
      </c>
      <c r="BN26" s="38">
        <f t="shared" si="36"/>
        <v>227.44224210000002</v>
      </c>
      <c r="BO26"/>
      <c r="BQ26" s="5">
        <f t="shared" si="37"/>
        <v>57.01870065500002</v>
      </c>
      <c r="BR26" s="5">
        <f t="shared" si="38"/>
        <v>57.01870065500002</v>
      </c>
      <c r="BS26" s="38">
        <f t="shared" si="39"/>
        <v>10.115939777000003</v>
      </c>
      <c r="BT26"/>
      <c r="BV26" s="5">
        <f t="shared" si="40"/>
        <v>38.241136499999996</v>
      </c>
      <c r="BW26" s="5">
        <f t="shared" si="41"/>
        <v>38.241136499999996</v>
      </c>
      <c r="BX26" s="38">
        <f t="shared" si="42"/>
        <v>6.784529099999999</v>
      </c>
      <c r="BY26"/>
      <c r="CA26" s="5">
        <f t="shared" si="43"/>
        <v>63.89607350000001</v>
      </c>
      <c r="CB26" s="5">
        <f t="shared" si="44"/>
        <v>63.89607350000001</v>
      </c>
      <c r="CC26" s="38">
        <f t="shared" si="45"/>
        <v>11.336084900000001</v>
      </c>
      <c r="CD26"/>
      <c r="CF26" s="5">
        <f t="shared" si="46"/>
        <v>1219.0116225</v>
      </c>
      <c r="CG26" s="5">
        <f t="shared" si="47"/>
        <v>1219.0116225</v>
      </c>
      <c r="CH26" s="38">
        <f t="shared" si="48"/>
        <v>216.2702415</v>
      </c>
      <c r="CI26"/>
      <c r="CK26" s="5">
        <f t="shared" si="49"/>
        <v>983.9351935000001</v>
      </c>
      <c r="CL26" s="38">
        <f t="shared" si="50"/>
        <v>983.9351935000001</v>
      </c>
      <c r="CM26" s="38">
        <f t="shared" si="51"/>
        <v>174.5642929</v>
      </c>
      <c r="CP26" s="5">
        <f t="shared" si="52"/>
        <v>178.4184255</v>
      </c>
      <c r="CQ26" s="5">
        <f t="shared" si="53"/>
        <v>178.4184255</v>
      </c>
      <c r="CR26" s="38">
        <f t="shared" si="54"/>
        <v>31.6540017</v>
      </c>
      <c r="CU26" s="5">
        <f t="shared" si="55"/>
        <v>71.7775275</v>
      </c>
      <c r="CV26" s="5">
        <f t="shared" si="56"/>
        <v>71.7775275</v>
      </c>
      <c r="CW26" s="38">
        <f t="shared" si="57"/>
        <v>12.7343685</v>
      </c>
      <c r="CZ26" s="5">
        <f t="shared" si="58"/>
        <v>577.3969285</v>
      </c>
      <c r="DA26" s="5">
        <f t="shared" si="59"/>
        <v>577.3969285</v>
      </c>
      <c r="DB26" s="38">
        <f t="shared" si="60"/>
        <v>102.43854189999999</v>
      </c>
      <c r="DE26" s="5">
        <f t="shared" si="61"/>
        <v>7329.993489</v>
      </c>
      <c r="DF26" s="38">
        <f t="shared" si="62"/>
        <v>7329.993489</v>
      </c>
      <c r="DG26" s="38">
        <f t="shared" si="63"/>
        <v>1300.4465526000001</v>
      </c>
      <c r="DJ26" s="38">
        <f t="shared" si="64"/>
        <v>614.110028</v>
      </c>
      <c r="DK26" s="38">
        <f t="shared" si="65"/>
        <v>614.110028</v>
      </c>
      <c r="DL26" s="38">
        <f t="shared" si="66"/>
        <v>108.9519752</v>
      </c>
      <c r="DO26" s="38">
        <f t="shared" si="67"/>
        <v>240.9070965</v>
      </c>
      <c r="DP26" s="38">
        <f t="shared" si="68"/>
        <v>240.9070965</v>
      </c>
      <c r="DQ26" s="38">
        <f t="shared" si="69"/>
        <v>42.7403931</v>
      </c>
      <c r="DT26" s="5">
        <f t="shared" si="70"/>
        <v>197.599311</v>
      </c>
      <c r="DU26" s="5">
        <f t="shared" si="71"/>
        <v>197.599311</v>
      </c>
      <c r="DV26" s="38">
        <f t="shared" si="72"/>
        <v>35.0569674</v>
      </c>
      <c r="DX26" s="38"/>
      <c r="DY26" s="38">
        <f t="shared" si="73"/>
        <v>1803.5259864999998</v>
      </c>
      <c r="DZ26" s="5">
        <f t="shared" si="74"/>
        <v>1803.5259864999998</v>
      </c>
      <c r="EA26" s="38">
        <f t="shared" si="75"/>
        <v>319.97151909999997</v>
      </c>
      <c r="EC26" s="38"/>
      <c r="ED26" s="38">
        <f t="shared" si="76"/>
        <v>5202.2823895</v>
      </c>
      <c r="EE26" s="5">
        <f t="shared" si="77"/>
        <v>5202.2823895</v>
      </c>
      <c r="EF26" s="38">
        <f t="shared" si="78"/>
        <v>922.9599193</v>
      </c>
      <c r="EI26" s="5">
        <f t="shared" si="79"/>
        <v>53.320448999999996</v>
      </c>
      <c r="EJ26" s="5">
        <f t="shared" si="80"/>
        <v>53.320448999999996</v>
      </c>
      <c r="EK26" s="38">
        <f t="shared" si="81"/>
        <v>9.4598166</v>
      </c>
      <c r="EM26" s="5"/>
      <c r="EN26" s="5">
        <f t="shared" si="82"/>
        <v>2519.893859</v>
      </c>
      <c r="EO26" s="5">
        <f t="shared" si="83"/>
        <v>2519.893859</v>
      </c>
      <c r="EP26" s="38">
        <f t="shared" si="84"/>
        <v>447.0655106</v>
      </c>
      <c r="ER26" s="5"/>
      <c r="ES26" s="5">
        <f t="shared" si="85"/>
        <v>177.815253</v>
      </c>
      <c r="ET26" s="5">
        <f t="shared" si="86"/>
        <v>177.815253</v>
      </c>
      <c r="EU26" s="38">
        <f t="shared" si="87"/>
        <v>31.5469902</v>
      </c>
    </row>
    <row r="27" spans="1:151" ht="12.75">
      <c r="A27" s="40">
        <v>46844</v>
      </c>
      <c r="C27" s="77">
        <v>7520000</v>
      </c>
      <c r="D27" s="77">
        <v>402115</v>
      </c>
      <c r="E27" s="37">
        <f t="shared" si="0"/>
        <v>7922115</v>
      </c>
      <c r="F27" s="37">
        <v>71341</v>
      </c>
      <c r="H27" s="50">
        <f t="shared" si="88"/>
        <v>1077713.008</v>
      </c>
      <c r="I27" s="38">
        <f t="shared" si="1"/>
        <v>57628.26678350001</v>
      </c>
      <c r="J27" s="38">
        <f t="shared" si="2"/>
        <v>1135341.2747835</v>
      </c>
      <c r="K27" s="38">
        <f t="shared" si="3"/>
        <v>10224.0855989</v>
      </c>
      <c r="L27"/>
      <c r="M27" s="5">
        <f t="shared" si="89"/>
        <v>249033.07200000001</v>
      </c>
      <c r="N27" s="5">
        <f t="shared" si="4"/>
        <v>13316.4805515</v>
      </c>
      <c r="O27" s="5">
        <f t="shared" si="5"/>
        <v>262349.55255150003</v>
      </c>
      <c r="P27" s="38">
        <f t="shared" si="6"/>
        <v>2362.5356901</v>
      </c>
      <c r="Q27"/>
      <c r="R27" s="5">
        <f t="shared" si="90"/>
        <v>26461.376</v>
      </c>
      <c r="S27" s="38">
        <f t="shared" si="7"/>
        <v>1414.962262</v>
      </c>
      <c r="T27" s="38">
        <f t="shared" si="8"/>
        <v>27876.338262</v>
      </c>
      <c r="U27" s="38">
        <f t="shared" si="9"/>
        <v>251.0347108</v>
      </c>
      <c r="V27"/>
      <c r="W27" s="5">
        <f t="shared" si="91"/>
        <v>9063.104</v>
      </c>
      <c r="X27" s="5">
        <f t="shared" si="10"/>
        <v>484.628998</v>
      </c>
      <c r="Y27" s="5">
        <f t="shared" si="11"/>
        <v>9547.732998</v>
      </c>
      <c r="Z27" s="38">
        <f t="shared" si="12"/>
        <v>85.9801732</v>
      </c>
      <c r="AA27"/>
      <c r="AB27" s="5">
        <f t="shared" si="92"/>
        <v>5206.11856</v>
      </c>
      <c r="AC27" s="5">
        <f t="shared" si="13"/>
        <v>278.385420845</v>
      </c>
      <c r="AD27" s="5">
        <f t="shared" si="14"/>
        <v>5484.503980845</v>
      </c>
      <c r="AE27" s="38">
        <f t="shared" si="15"/>
        <v>49.389588323</v>
      </c>
      <c r="AF27"/>
      <c r="AG27" s="5">
        <f t="shared" si="93"/>
        <v>40153.792</v>
      </c>
      <c r="AH27" s="5">
        <f t="shared" si="16"/>
        <v>2147.133254</v>
      </c>
      <c r="AI27" s="5">
        <f t="shared" si="17"/>
        <v>42300.925254</v>
      </c>
      <c r="AJ27" s="38">
        <f t="shared" si="18"/>
        <v>380.9324036</v>
      </c>
      <c r="AK27"/>
      <c r="AL27" s="5">
        <f t="shared" si="94"/>
        <v>245249.008</v>
      </c>
      <c r="AM27" s="5">
        <f t="shared" si="19"/>
        <v>13114.1362835</v>
      </c>
      <c r="AN27" s="5">
        <f t="shared" si="20"/>
        <v>258363.1442835</v>
      </c>
      <c r="AO27" s="38">
        <f t="shared" si="21"/>
        <v>2326.6368989000002</v>
      </c>
      <c r="AP27"/>
      <c r="AQ27" s="5">
        <f t="shared" si="95"/>
        <v>11704.128</v>
      </c>
      <c r="AR27" s="5">
        <f t="shared" si="22"/>
        <v>625.8517860000001</v>
      </c>
      <c r="AS27" s="5">
        <f t="shared" si="23"/>
        <v>12329.979786</v>
      </c>
      <c r="AT27" s="38">
        <f t="shared" si="24"/>
        <v>111.03513240000001</v>
      </c>
      <c r="AU27"/>
      <c r="AV27" s="5">
        <f>C27*$AX$6</f>
        <v>19000.032</v>
      </c>
      <c r="AW27" s="5">
        <f t="shared" si="25"/>
        <v>1015.983759</v>
      </c>
      <c r="AX27" s="5">
        <f t="shared" si="26"/>
        <v>20016.015758999998</v>
      </c>
      <c r="AY27" s="38">
        <f t="shared" si="27"/>
        <v>180.2501706</v>
      </c>
      <c r="AZ27"/>
      <c r="BA27" s="38">
        <f t="shared" si="96"/>
        <v>46743.568</v>
      </c>
      <c r="BB27" s="5">
        <f t="shared" si="28"/>
        <v>2499.5066285</v>
      </c>
      <c r="BC27" s="38">
        <f t="shared" si="29"/>
        <v>49243.0746285</v>
      </c>
      <c r="BD27" s="38">
        <f t="shared" si="30"/>
        <v>443.4485219</v>
      </c>
      <c r="BE27"/>
      <c r="BF27" s="5">
        <f t="shared" si="97"/>
        <v>2245.4719999999998</v>
      </c>
      <c r="BG27" s="5">
        <f t="shared" si="31"/>
        <v>120.071539</v>
      </c>
      <c r="BH27" s="5">
        <f t="shared" si="32"/>
        <v>2365.543539</v>
      </c>
      <c r="BI27" s="38">
        <f t="shared" si="33"/>
        <v>21.3024226</v>
      </c>
      <c r="BJ27"/>
      <c r="BK27" s="5">
        <f t="shared" si="98"/>
        <v>23974.512000000002</v>
      </c>
      <c r="BL27" s="5">
        <f t="shared" si="34"/>
        <v>1281.9828315</v>
      </c>
      <c r="BM27" s="5">
        <f t="shared" si="35"/>
        <v>25256.494831500004</v>
      </c>
      <c r="BN27" s="38">
        <f t="shared" si="36"/>
        <v>227.44224210000002</v>
      </c>
      <c r="BO27"/>
      <c r="BP27" s="5">
        <f t="shared" si="99"/>
        <v>1066.3134400000004</v>
      </c>
      <c r="BQ27" s="5">
        <f t="shared" si="37"/>
        <v>57.01870065500002</v>
      </c>
      <c r="BR27" s="5">
        <f t="shared" si="38"/>
        <v>1123.3321406550003</v>
      </c>
      <c r="BS27" s="38">
        <f t="shared" si="39"/>
        <v>10.115939777000003</v>
      </c>
      <c r="BT27"/>
      <c r="BU27" s="5">
        <f t="shared" si="100"/>
        <v>715.1519999999999</v>
      </c>
      <c r="BV27" s="5">
        <f t="shared" si="40"/>
        <v>38.241136499999996</v>
      </c>
      <c r="BW27" s="5">
        <f t="shared" si="41"/>
        <v>753.3931365</v>
      </c>
      <c r="BX27" s="38">
        <f t="shared" si="42"/>
        <v>6.784529099999999</v>
      </c>
      <c r="BY27"/>
      <c r="BZ27" s="5">
        <f t="shared" si="101"/>
        <v>1194.928</v>
      </c>
      <c r="CA27" s="5">
        <f t="shared" si="43"/>
        <v>63.89607350000001</v>
      </c>
      <c r="CB27" s="5">
        <f t="shared" si="44"/>
        <v>1258.8240735000002</v>
      </c>
      <c r="CC27" s="38">
        <f t="shared" si="45"/>
        <v>11.336084900000001</v>
      </c>
      <c r="CD27"/>
      <c r="CE27" s="5">
        <f t="shared" si="102"/>
        <v>22796.88</v>
      </c>
      <c r="CF27" s="5">
        <f t="shared" si="46"/>
        <v>1219.0116225</v>
      </c>
      <c r="CG27" s="5">
        <f t="shared" si="47"/>
        <v>24015.8916225</v>
      </c>
      <c r="CH27" s="38">
        <f t="shared" si="48"/>
        <v>216.2702415</v>
      </c>
      <c r="CI27"/>
      <c r="CJ27" s="5">
        <f t="shared" si="103"/>
        <v>18400.688000000002</v>
      </c>
      <c r="CK27" s="5">
        <f t="shared" si="49"/>
        <v>983.9351935000001</v>
      </c>
      <c r="CL27" s="38">
        <f t="shared" si="50"/>
        <v>19384.623193500003</v>
      </c>
      <c r="CM27" s="38">
        <f t="shared" si="51"/>
        <v>174.5642929</v>
      </c>
      <c r="CO27" s="5">
        <f t="shared" si="104"/>
        <v>3336.624</v>
      </c>
      <c r="CP27" s="5">
        <f t="shared" si="52"/>
        <v>178.4184255</v>
      </c>
      <c r="CQ27" s="5">
        <f t="shared" si="53"/>
        <v>3515.0424255</v>
      </c>
      <c r="CR27" s="38">
        <f t="shared" si="54"/>
        <v>31.6540017</v>
      </c>
      <c r="CT27" s="5">
        <f t="shared" si="105"/>
        <v>1342.32</v>
      </c>
      <c r="CU27" s="5">
        <f t="shared" si="55"/>
        <v>71.7775275</v>
      </c>
      <c r="CV27" s="5">
        <f t="shared" si="56"/>
        <v>1414.0975274999998</v>
      </c>
      <c r="CW27" s="38">
        <f t="shared" si="57"/>
        <v>12.7343685</v>
      </c>
      <c r="CY27" s="5">
        <f t="shared" si="106"/>
        <v>10797.967999999999</v>
      </c>
      <c r="CZ27" s="5">
        <f t="shared" si="58"/>
        <v>577.3969285</v>
      </c>
      <c r="DA27" s="5">
        <f t="shared" si="59"/>
        <v>11375.3649285</v>
      </c>
      <c r="DB27" s="38">
        <f t="shared" si="60"/>
        <v>102.43854189999999</v>
      </c>
      <c r="DD27" s="5">
        <f t="shared" si="107"/>
        <v>137079.07200000001</v>
      </c>
      <c r="DE27" s="5">
        <f t="shared" si="61"/>
        <v>7329.993489</v>
      </c>
      <c r="DF27" s="38">
        <f t="shared" si="62"/>
        <v>144409.065489</v>
      </c>
      <c r="DG27" s="38">
        <f t="shared" si="63"/>
        <v>1300.4465526000001</v>
      </c>
      <c r="DI27" s="5">
        <f t="shared" si="108"/>
        <v>11484.544</v>
      </c>
      <c r="DJ27" s="38">
        <f t="shared" si="64"/>
        <v>614.110028</v>
      </c>
      <c r="DK27" s="38">
        <f t="shared" si="65"/>
        <v>12098.654028</v>
      </c>
      <c r="DL27" s="38">
        <f t="shared" si="66"/>
        <v>108.9519752</v>
      </c>
      <c r="DN27" s="5">
        <f t="shared" si="109"/>
        <v>4505.232</v>
      </c>
      <c r="DO27" s="38">
        <f t="shared" si="67"/>
        <v>240.9070965</v>
      </c>
      <c r="DP27" s="38">
        <f t="shared" si="68"/>
        <v>4746.1390965</v>
      </c>
      <c r="DQ27" s="38">
        <f t="shared" si="69"/>
        <v>42.7403931</v>
      </c>
      <c r="DS27" s="5">
        <f t="shared" si="110"/>
        <v>3695.328</v>
      </c>
      <c r="DT27" s="5">
        <f t="shared" si="70"/>
        <v>197.599311</v>
      </c>
      <c r="DU27" s="5">
        <f t="shared" si="71"/>
        <v>3892.927311</v>
      </c>
      <c r="DV27" s="38">
        <f t="shared" si="72"/>
        <v>35.0569674</v>
      </c>
      <c r="DX27" s="38">
        <f t="shared" si="111"/>
        <v>33727.952</v>
      </c>
      <c r="DY27" s="38">
        <f t="shared" si="73"/>
        <v>1803.5259864999998</v>
      </c>
      <c r="DZ27" s="5">
        <f t="shared" si="74"/>
        <v>35531.477986499995</v>
      </c>
      <c r="EA27" s="38">
        <f t="shared" si="75"/>
        <v>319.97151909999997</v>
      </c>
      <c r="EC27" s="38">
        <f t="shared" si="112"/>
        <v>97288.496</v>
      </c>
      <c r="ED27" s="38">
        <f t="shared" si="76"/>
        <v>5202.2823895</v>
      </c>
      <c r="EE27" s="5">
        <f t="shared" si="77"/>
        <v>102490.7783895</v>
      </c>
      <c r="EF27" s="38">
        <f t="shared" si="78"/>
        <v>922.9599193</v>
      </c>
      <c r="EH27" s="5">
        <f t="shared" si="113"/>
        <v>997.1519999999999</v>
      </c>
      <c r="EI27" s="5">
        <f t="shared" si="79"/>
        <v>53.320448999999996</v>
      </c>
      <c r="EJ27" s="5">
        <f t="shared" si="80"/>
        <v>1050.4724489999999</v>
      </c>
      <c r="EK27" s="38">
        <f t="shared" si="81"/>
        <v>9.4598166</v>
      </c>
      <c r="EM27" s="5">
        <f t="shared" si="114"/>
        <v>47124.831999999995</v>
      </c>
      <c r="EN27" s="5">
        <f t="shared" si="82"/>
        <v>2519.893859</v>
      </c>
      <c r="EO27" s="5">
        <f t="shared" si="83"/>
        <v>49644.725859</v>
      </c>
      <c r="EP27" s="38">
        <f t="shared" si="84"/>
        <v>447.0655106</v>
      </c>
      <c r="ER27" s="5">
        <f t="shared" si="115"/>
        <v>3325.344</v>
      </c>
      <c r="ES27" s="5">
        <f t="shared" si="85"/>
        <v>177.815253</v>
      </c>
      <c r="ET27" s="5">
        <f t="shared" si="86"/>
        <v>3503.1592530000003</v>
      </c>
      <c r="EU27" s="38">
        <f t="shared" si="87"/>
        <v>31.5469902</v>
      </c>
    </row>
    <row r="28" spans="1:151" ht="12.75">
      <c r="A28" s="40">
        <v>47027</v>
      </c>
      <c r="C28" s="77"/>
      <c r="D28" s="77">
        <v>275027</v>
      </c>
      <c r="E28" s="37">
        <f t="shared" si="0"/>
        <v>275027</v>
      </c>
      <c r="F28" s="37">
        <v>71341</v>
      </c>
      <c r="H28" s="50"/>
      <c r="I28" s="38">
        <f t="shared" si="1"/>
        <v>39414.916948300015</v>
      </c>
      <c r="J28" s="38">
        <f t="shared" si="2"/>
        <v>39414.916948300015</v>
      </c>
      <c r="K28" s="38">
        <f t="shared" si="3"/>
        <v>10224.0855989</v>
      </c>
      <c r="L28"/>
      <c r="N28" s="5">
        <f t="shared" si="4"/>
        <v>9107.8216347</v>
      </c>
      <c r="O28" s="5">
        <f t="shared" si="5"/>
        <v>9107.8216347</v>
      </c>
      <c r="P28" s="38">
        <f t="shared" si="6"/>
        <v>2362.5356901</v>
      </c>
      <c r="Q28"/>
      <c r="S28" s="38">
        <f t="shared" si="7"/>
        <v>967.7650076</v>
      </c>
      <c r="T28" s="38">
        <f t="shared" si="8"/>
        <v>967.7650076</v>
      </c>
      <c r="U28" s="38">
        <f t="shared" si="9"/>
        <v>251.0347108</v>
      </c>
      <c r="V28"/>
      <c r="X28" s="5">
        <f t="shared" si="10"/>
        <v>331.4625404</v>
      </c>
      <c r="Y28" s="5">
        <f t="shared" si="11"/>
        <v>331.4625404</v>
      </c>
      <c r="Z28" s="38">
        <f t="shared" si="12"/>
        <v>85.9801732</v>
      </c>
      <c r="AA28"/>
      <c r="AC28" s="5">
        <f t="shared" si="13"/>
        <v>190.402017181</v>
      </c>
      <c r="AD28" s="5">
        <f t="shared" si="14"/>
        <v>190.402017181</v>
      </c>
      <c r="AE28" s="38">
        <f t="shared" si="15"/>
        <v>49.389588323</v>
      </c>
      <c r="AF28"/>
      <c r="AH28" s="5">
        <f t="shared" si="16"/>
        <v>1468.5341692</v>
      </c>
      <c r="AI28" s="5">
        <f t="shared" si="17"/>
        <v>1468.5341692</v>
      </c>
      <c r="AJ28" s="38">
        <f t="shared" si="18"/>
        <v>380.9324036</v>
      </c>
      <c r="AK28"/>
      <c r="AM28" s="5">
        <f t="shared" si="19"/>
        <v>8969.4280483</v>
      </c>
      <c r="AN28" s="5">
        <f t="shared" si="20"/>
        <v>8969.4280483</v>
      </c>
      <c r="AO28" s="38">
        <f t="shared" si="21"/>
        <v>2326.6368989000002</v>
      </c>
      <c r="AP28"/>
      <c r="AR28" s="5">
        <f t="shared" si="22"/>
        <v>428.05202280000003</v>
      </c>
      <c r="AS28" s="5">
        <f t="shared" si="23"/>
        <v>428.05202280000003</v>
      </c>
      <c r="AT28" s="38">
        <f t="shared" si="24"/>
        <v>111.03513240000001</v>
      </c>
      <c r="AU28"/>
      <c r="AW28" s="5">
        <f t="shared" si="25"/>
        <v>694.8832182</v>
      </c>
      <c r="AX28" s="5">
        <f t="shared" si="26"/>
        <v>694.8832182</v>
      </c>
      <c r="AY28" s="38">
        <f t="shared" si="27"/>
        <v>180.2501706</v>
      </c>
      <c r="AZ28"/>
      <c r="BA28" s="38"/>
      <c r="BB28" s="5">
        <f t="shared" si="28"/>
        <v>1709.5403293</v>
      </c>
      <c r="BC28" s="38">
        <f t="shared" si="29"/>
        <v>1709.5403293</v>
      </c>
      <c r="BD28" s="38">
        <f t="shared" si="30"/>
        <v>443.4485219</v>
      </c>
      <c r="BE28"/>
      <c r="BG28" s="5">
        <f t="shared" si="31"/>
        <v>82.12306219999999</v>
      </c>
      <c r="BH28" s="5">
        <f t="shared" si="32"/>
        <v>82.12306219999999</v>
      </c>
      <c r="BI28" s="38">
        <f t="shared" si="33"/>
        <v>21.3024226</v>
      </c>
      <c r="BJ28"/>
      <c r="BL28" s="5">
        <f t="shared" si="34"/>
        <v>876.8135787</v>
      </c>
      <c r="BM28" s="5">
        <f t="shared" si="35"/>
        <v>876.8135787</v>
      </c>
      <c r="BN28" s="38">
        <f t="shared" si="36"/>
        <v>227.44224210000002</v>
      </c>
      <c r="BO28"/>
      <c r="BQ28" s="5">
        <f t="shared" si="37"/>
        <v>38.99800351900001</v>
      </c>
      <c r="BR28" s="5">
        <f t="shared" si="38"/>
        <v>38.99800351900001</v>
      </c>
      <c r="BS28" s="38">
        <f t="shared" si="39"/>
        <v>10.115939777000003</v>
      </c>
      <c r="BT28"/>
      <c r="BV28" s="5">
        <f t="shared" si="40"/>
        <v>26.1550677</v>
      </c>
      <c r="BW28" s="5">
        <f t="shared" si="41"/>
        <v>26.1550677</v>
      </c>
      <c r="BX28" s="38">
        <f t="shared" si="42"/>
        <v>6.784529099999999</v>
      </c>
      <c r="BY28"/>
      <c r="CA28" s="5">
        <f t="shared" si="43"/>
        <v>43.701790300000006</v>
      </c>
      <c r="CB28" s="5">
        <f t="shared" si="44"/>
        <v>43.701790300000006</v>
      </c>
      <c r="CC28" s="38">
        <f t="shared" si="45"/>
        <v>11.336084900000001</v>
      </c>
      <c r="CD28"/>
      <c r="CF28" s="5">
        <f t="shared" si="46"/>
        <v>833.7443505</v>
      </c>
      <c r="CG28" s="5">
        <f t="shared" si="47"/>
        <v>833.7443505</v>
      </c>
      <c r="CH28" s="38">
        <f t="shared" si="48"/>
        <v>216.2702415</v>
      </c>
      <c r="CI28"/>
      <c r="CK28" s="5">
        <f t="shared" si="49"/>
        <v>672.9635663</v>
      </c>
      <c r="CL28" s="38">
        <f t="shared" si="50"/>
        <v>672.9635663</v>
      </c>
      <c r="CM28" s="38">
        <f t="shared" si="51"/>
        <v>174.5642929</v>
      </c>
      <c r="CP28" s="5">
        <f t="shared" si="52"/>
        <v>122.0294799</v>
      </c>
      <c r="CQ28" s="5">
        <f t="shared" si="53"/>
        <v>122.0294799</v>
      </c>
      <c r="CR28" s="38">
        <f t="shared" si="54"/>
        <v>31.6540017</v>
      </c>
      <c r="CU28" s="5">
        <f t="shared" si="55"/>
        <v>49.0923195</v>
      </c>
      <c r="CV28" s="5">
        <f t="shared" si="56"/>
        <v>49.0923195</v>
      </c>
      <c r="CW28" s="38">
        <f t="shared" si="57"/>
        <v>12.7343685</v>
      </c>
      <c r="CZ28" s="5">
        <f t="shared" si="58"/>
        <v>394.91126929999996</v>
      </c>
      <c r="DA28" s="5">
        <f t="shared" si="59"/>
        <v>394.91126929999996</v>
      </c>
      <c r="DB28" s="38">
        <f t="shared" si="60"/>
        <v>102.43854189999999</v>
      </c>
      <c r="DE28" s="5">
        <f t="shared" si="61"/>
        <v>5013.357172200001</v>
      </c>
      <c r="DF28" s="38">
        <f t="shared" si="62"/>
        <v>5013.357172200001</v>
      </c>
      <c r="DG28" s="38">
        <f t="shared" si="63"/>
        <v>1300.4465526000001</v>
      </c>
      <c r="DJ28" s="38">
        <f t="shared" si="64"/>
        <v>420.0212344</v>
      </c>
      <c r="DK28" s="38">
        <f t="shared" si="65"/>
        <v>420.0212344</v>
      </c>
      <c r="DL28" s="38">
        <f t="shared" si="66"/>
        <v>108.9519752</v>
      </c>
      <c r="DO28" s="38">
        <f t="shared" si="67"/>
        <v>164.7686757</v>
      </c>
      <c r="DP28" s="38">
        <f t="shared" si="68"/>
        <v>164.7686757</v>
      </c>
      <c r="DQ28" s="38">
        <f t="shared" si="69"/>
        <v>42.7403931</v>
      </c>
      <c r="DT28" s="5">
        <f t="shared" si="70"/>
        <v>135.1482678</v>
      </c>
      <c r="DU28" s="5">
        <f t="shared" si="71"/>
        <v>135.1482678</v>
      </c>
      <c r="DV28" s="38">
        <f t="shared" si="72"/>
        <v>35.0569674</v>
      </c>
      <c r="DX28" s="38"/>
      <c r="DY28" s="38">
        <f t="shared" si="73"/>
        <v>1233.5235977</v>
      </c>
      <c r="DZ28" s="5">
        <f t="shared" si="74"/>
        <v>1233.5235977</v>
      </c>
      <c r="EA28" s="38">
        <f t="shared" si="75"/>
        <v>319.97151909999997</v>
      </c>
      <c r="EC28" s="38"/>
      <c r="ED28" s="38">
        <f t="shared" si="76"/>
        <v>3558.1068071</v>
      </c>
      <c r="EE28" s="5">
        <f t="shared" si="77"/>
        <v>3558.1068071</v>
      </c>
      <c r="EF28" s="38">
        <f t="shared" si="78"/>
        <v>922.9599193</v>
      </c>
      <c r="EI28" s="5">
        <f t="shared" si="79"/>
        <v>36.4685802</v>
      </c>
      <c r="EJ28" s="5">
        <f t="shared" si="80"/>
        <v>36.4685802</v>
      </c>
      <c r="EK28" s="38">
        <f t="shared" si="81"/>
        <v>9.4598166</v>
      </c>
      <c r="EM28" s="5"/>
      <c r="EN28" s="5">
        <f t="shared" si="82"/>
        <v>1723.4841982</v>
      </c>
      <c r="EO28" s="5">
        <f t="shared" si="83"/>
        <v>1723.4841982</v>
      </c>
      <c r="EP28" s="38">
        <f t="shared" si="84"/>
        <v>447.0655106</v>
      </c>
      <c r="ER28" s="5"/>
      <c r="ES28" s="5">
        <f t="shared" si="85"/>
        <v>121.6169394</v>
      </c>
      <c r="ET28" s="5">
        <f t="shared" si="86"/>
        <v>121.6169394</v>
      </c>
      <c r="EU28" s="38">
        <f t="shared" si="87"/>
        <v>31.5469902</v>
      </c>
    </row>
    <row r="29" spans="1:151" ht="12.75">
      <c r="A29" s="40">
        <v>47209</v>
      </c>
      <c r="C29" s="77">
        <v>7775000</v>
      </c>
      <c r="D29" s="77">
        <v>275027</v>
      </c>
      <c r="E29" s="37">
        <f t="shared" si="0"/>
        <v>8050027</v>
      </c>
      <c r="F29" s="37">
        <v>71341</v>
      </c>
      <c r="H29" s="50">
        <f t="shared" si="88"/>
        <v>1114257.7975</v>
      </c>
      <c r="I29" s="38">
        <f t="shared" si="1"/>
        <v>39414.916948300015</v>
      </c>
      <c r="J29" s="38">
        <f t="shared" si="2"/>
        <v>1153672.7144483002</v>
      </c>
      <c r="K29" s="38">
        <f t="shared" si="3"/>
        <v>10224.0855989</v>
      </c>
      <c r="L29"/>
      <c r="M29" s="5">
        <f t="shared" si="89"/>
        <v>257477.67750000002</v>
      </c>
      <c r="N29" s="5">
        <f t="shared" si="4"/>
        <v>9107.8216347</v>
      </c>
      <c r="O29" s="5">
        <f t="shared" si="5"/>
        <v>266585.49913470005</v>
      </c>
      <c r="P29" s="38">
        <f t="shared" si="6"/>
        <v>2362.5356901</v>
      </c>
      <c r="Q29"/>
      <c r="R29" s="5">
        <f t="shared" si="90"/>
        <v>27358.67</v>
      </c>
      <c r="S29" s="38">
        <f t="shared" si="7"/>
        <v>967.7650076</v>
      </c>
      <c r="T29" s="38">
        <f t="shared" si="8"/>
        <v>28326.435007599997</v>
      </c>
      <c r="U29" s="38">
        <f t="shared" si="9"/>
        <v>251.0347108</v>
      </c>
      <c r="V29"/>
      <c r="W29" s="5">
        <f t="shared" si="91"/>
        <v>9370.43</v>
      </c>
      <c r="X29" s="5">
        <f t="shared" si="10"/>
        <v>331.4625404</v>
      </c>
      <c r="Y29" s="5">
        <f t="shared" si="11"/>
        <v>9701.8925404</v>
      </c>
      <c r="Z29" s="38">
        <f t="shared" si="12"/>
        <v>85.9801732</v>
      </c>
      <c r="AA29"/>
      <c r="AB29" s="5">
        <f t="shared" si="92"/>
        <v>5382.655825</v>
      </c>
      <c r="AC29" s="5">
        <f t="shared" si="13"/>
        <v>190.402017181</v>
      </c>
      <c r="AD29" s="5">
        <f t="shared" si="14"/>
        <v>5573.057842181</v>
      </c>
      <c r="AE29" s="38">
        <f t="shared" si="15"/>
        <v>49.389588323</v>
      </c>
      <c r="AF29"/>
      <c r="AG29" s="5">
        <f t="shared" si="93"/>
        <v>41515.39</v>
      </c>
      <c r="AH29" s="5">
        <f t="shared" si="16"/>
        <v>1468.5341692</v>
      </c>
      <c r="AI29" s="5">
        <f t="shared" si="17"/>
        <v>42983.9241692</v>
      </c>
      <c r="AJ29" s="38">
        <f t="shared" si="18"/>
        <v>380.9324036</v>
      </c>
      <c r="AK29"/>
      <c r="AL29" s="5">
        <f t="shared" si="94"/>
        <v>253565.29750000002</v>
      </c>
      <c r="AM29" s="5">
        <f t="shared" si="19"/>
        <v>8969.4280483</v>
      </c>
      <c r="AN29" s="5">
        <f t="shared" si="20"/>
        <v>262534.7255483</v>
      </c>
      <c r="AO29" s="38">
        <f t="shared" si="21"/>
        <v>2326.6368989000002</v>
      </c>
      <c r="AP29"/>
      <c r="AQ29" s="5">
        <f t="shared" si="95"/>
        <v>12101.01</v>
      </c>
      <c r="AR29" s="5">
        <f t="shared" si="22"/>
        <v>428.05202280000003</v>
      </c>
      <c r="AS29" s="5">
        <f t="shared" si="23"/>
        <v>12529.0620228</v>
      </c>
      <c r="AT29" s="38">
        <f t="shared" si="24"/>
        <v>111.03513240000001</v>
      </c>
      <c r="AU29"/>
      <c r="AV29" s="5">
        <f>C29*$AX$6</f>
        <v>19644.315</v>
      </c>
      <c r="AW29" s="5">
        <f t="shared" si="25"/>
        <v>694.8832182</v>
      </c>
      <c r="AX29" s="5">
        <f t="shared" si="26"/>
        <v>20339.1982182</v>
      </c>
      <c r="AY29" s="38">
        <f t="shared" si="27"/>
        <v>180.2501706</v>
      </c>
      <c r="AZ29"/>
      <c r="BA29" s="38">
        <f t="shared" si="96"/>
        <v>48328.6225</v>
      </c>
      <c r="BB29" s="5">
        <f t="shared" si="28"/>
        <v>1709.5403293</v>
      </c>
      <c r="BC29" s="38">
        <f t="shared" si="29"/>
        <v>50038.162829299996</v>
      </c>
      <c r="BD29" s="38">
        <f t="shared" si="30"/>
        <v>443.4485219</v>
      </c>
      <c r="BE29"/>
      <c r="BF29" s="5">
        <f t="shared" si="97"/>
        <v>2321.615</v>
      </c>
      <c r="BG29" s="5">
        <f t="shared" si="31"/>
        <v>82.12306219999999</v>
      </c>
      <c r="BH29" s="5">
        <f t="shared" si="32"/>
        <v>2403.7380621999996</v>
      </c>
      <c r="BI29" s="38">
        <f t="shared" si="33"/>
        <v>21.3024226</v>
      </c>
      <c r="BJ29"/>
      <c r="BK29" s="5">
        <f t="shared" si="98"/>
        <v>24787.4775</v>
      </c>
      <c r="BL29" s="5">
        <f t="shared" si="34"/>
        <v>876.8135787</v>
      </c>
      <c r="BM29" s="5">
        <f t="shared" si="35"/>
        <v>25664.2910787</v>
      </c>
      <c r="BN29" s="38">
        <f t="shared" si="36"/>
        <v>227.44224210000002</v>
      </c>
      <c r="BO29"/>
      <c r="BP29" s="5">
        <f t="shared" si="99"/>
        <v>1102.4716750000002</v>
      </c>
      <c r="BQ29" s="5">
        <f t="shared" si="37"/>
        <v>38.99800351900001</v>
      </c>
      <c r="BR29" s="5">
        <f t="shared" si="38"/>
        <v>1141.4696785190004</v>
      </c>
      <c r="BS29" s="38">
        <f t="shared" si="39"/>
        <v>10.115939777000003</v>
      </c>
      <c r="BT29"/>
      <c r="BU29" s="5">
        <f t="shared" si="100"/>
        <v>739.4024999999999</v>
      </c>
      <c r="BV29" s="5">
        <f t="shared" si="40"/>
        <v>26.1550677</v>
      </c>
      <c r="BW29" s="5">
        <f t="shared" si="41"/>
        <v>765.5575676999999</v>
      </c>
      <c r="BX29" s="38">
        <f t="shared" si="42"/>
        <v>6.784529099999999</v>
      </c>
      <c r="BY29"/>
      <c r="BZ29" s="5">
        <f t="shared" si="101"/>
        <v>1235.4475000000002</v>
      </c>
      <c r="CA29" s="5">
        <f t="shared" si="43"/>
        <v>43.701790300000006</v>
      </c>
      <c r="CB29" s="5">
        <f t="shared" si="44"/>
        <v>1279.1492903000003</v>
      </c>
      <c r="CC29" s="38">
        <f t="shared" si="45"/>
        <v>11.336084900000001</v>
      </c>
      <c r="CD29"/>
      <c r="CE29" s="5">
        <f t="shared" si="102"/>
        <v>23569.9125</v>
      </c>
      <c r="CF29" s="5">
        <f t="shared" si="46"/>
        <v>833.7443505</v>
      </c>
      <c r="CG29" s="5">
        <f t="shared" si="47"/>
        <v>24403.6568505</v>
      </c>
      <c r="CH29" s="38">
        <f t="shared" si="48"/>
        <v>216.2702415</v>
      </c>
      <c r="CI29"/>
      <c r="CJ29" s="5">
        <f t="shared" si="103"/>
        <v>19024.6475</v>
      </c>
      <c r="CK29" s="5">
        <f t="shared" si="49"/>
        <v>672.9635663</v>
      </c>
      <c r="CL29" s="38">
        <f t="shared" si="50"/>
        <v>19697.6110663</v>
      </c>
      <c r="CM29" s="38">
        <f t="shared" si="51"/>
        <v>174.5642929</v>
      </c>
      <c r="CO29" s="5">
        <f t="shared" si="104"/>
        <v>3449.7675</v>
      </c>
      <c r="CP29" s="5">
        <f t="shared" si="52"/>
        <v>122.0294799</v>
      </c>
      <c r="CQ29" s="5">
        <f t="shared" si="53"/>
        <v>3571.7969798999998</v>
      </c>
      <c r="CR29" s="38">
        <f t="shared" si="54"/>
        <v>31.6540017</v>
      </c>
      <c r="CT29" s="5">
        <f t="shared" si="105"/>
        <v>1387.8375</v>
      </c>
      <c r="CU29" s="5">
        <f t="shared" si="55"/>
        <v>49.0923195</v>
      </c>
      <c r="CV29" s="5">
        <f t="shared" si="56"/>
        <v>1436.9298195000001</v>
      </c>
      <c r="CW29" s="38">
        <f t="shared" si="57"/>
        <v>12.7343685</v>
      </c>
      <c r="CY29" s="5">
        <f t="shared" si="106"/>
        <v>11164.1225</v>
      </c>
      <c r="CZ29" s="5">
        <f t="shared" si="58"/>
        <v>394.91126929999996</v>
      </c>
      <c r="DA29" s="5">
        <f t="shared" si="59"/>
        <v>11559.0337693</v>
      </c>
      <c r="DB29" s="38">
        <f t="shared" si="60"/>
        <v>102.43854189999999</v>
      </c>
      <c r="DD29" s="5">
        <f t="shared" si="107"/>
        <v>141727.36500000002</v>
      </c>
      <c r="DE29" s="5">
        <f t="shared" si="61"/>
        <v>5013.357172200001</v>
      </c>
      <c r="DF29" s="38">
        <f t="shared" si="62"/>
        <v>146740.7221722</v>
      </c>
      <c r="DG29" s="38">
        <f t="shared" si="63"/>
        <v>1300.4465526000001</v>
      </c>
      <c r="DI29" s="5">
        <f t="shared" si="108"/>
        <v>11873.98</v>
      </c>
      <c r="DJ29" s="38">
        <f t="shared" si="64"/>
        <v>420.0212344</v>
      </c>
      <c r="DK29" s="38">
        <f t="shared" si="65"/>
        <v>12294.001234399999</v>
      </c>
      <c r="DL29" s="38">
        <f t="shared" si="66"/>
        <v>108.9519752</v>
      </c>
      <c r="DN29" s="5">
        <f t="shared" si="109"/>
        <v>4658.0025</v>
      </c>
      <c r="DO29" s="38">
        <f t="shared" si="67"/>
        <v>164.7686757</v>
      </c>
      <c r="DP29" s="38">
        <f t="shared" si="68"/>
        <v>4822.7711757</v>
      </c>
      <c r="DQ29" s="38">
        <f t="shared" si="69"/>
        <v>42.7403931</v>
      </c>
      <c r="DS29" s="5">
        <f t="shared" si="110"/>
        <v>3820.635</v>
      </c>
      <c r="DT29" s="5">
        <f t="shared" si="70"/>
        <v>135.1482678</v>
      </c>
      <c r="DU29" s="5">
        <f t="shared" si="71"/>
        <v>3955.7832678000004</v>
      </c>
      <c r="DV29" s="38">
        <f t="shared" si="72"/>
        <v>35.0569674</v>
      </c>
      <c r="DX29" s="38">
        <f t="shared" si="111"/>
        <v>34871.6525</v>
      </c>
      <c r="DY29" s="38">
        <f t="shared" si="73"/>
        <v>1233.5235977</v>
      </c>
      <c r="DZ29" s="5">
        <f t="shared" si="74"/>
        <v>36105.176097699994</v>
      </c>
      <c r="EA29" s="38">
        <f t="shared" si="75"/>
        <v>319.97151909999997</v>
      </c>
      <c r="EC29" s="38">
        <f t="shared" si="112"/>
        <v>100587.5075</v>
      </c>
      <c r="ED29" s="38">
        <f t="shared" si="76"/>
        <v>3558.1068071</v>
      </c>
      <c r="EE29" s="5">
        <f t="shared" si="77"/>
        <v>104145.61430710001</v>
      </c>
      <c r="EF29" s="38">
        <f t="shared" si="78"/>
        <v>922.9599193</v>
      </c>
      <c r="EH29" s="5">
        <f t="shared" si="113"/>
        <v>1030.965</v>
      </c>
      <c r="EI29" s="5">
        <f t="shared" si="79"/>
        <v>36.4685802</v>
      </c>
      <c r="EJ29" s="5">
        <f t="shared" si="80"/>
        <v>1067.4335801999998</v>
      </c>
      <c r="EK29" s="38">
        <f t="shared" si="81"/>
        <v>9.4598166</v>
      </c>
      <c r="EM29" s="5">
        <f t="shared" si="114"/>
        <v>48722.814999999995</v>
      </c>
      <c r="EN29" s="5">
        <f t="shared" si="82"/>
        <v>1723.4841982</v>
      </c>
      <c r="EO29" s="5">
        <f t="shared" si="83"/>
        <v>50446.299198199995</v>
      </c>
      <c r="EP29" s="38">
        <f t="shared" si="84"/>
        <v>447.0655106</v>
      </c>
      <c r="ER29" s="5">
        <f t="shared" si="115"/>
        <v>3438.105</v>
      </c>
      <c r="ES29" s="5">
        <f t="shared" si="85"/>
        <v>121.6169394</v>
      </c>
      <c r="ET29" s="5">
        <f t="shared" si="86"/>
        <v>3559.7219394</v>
      </c>
      <c r="EU29" s="38">
        <f t="shared" si="87"/>
        <v>31.5469902</v>
      </c>
    </row>
    <row r="30" spans="1:151" ht="12.75">
      <c r="A30" s="40">
        <v>47392</v>
      </c>
      <c r="C30" s="77"/>
      <c r="D30" s="77">
        <v>141102</v>
      </c>
      <c r="E30" s="37">
        <f t="shared" si="0"/>
        <v>141102</v>
      </c>
      <c r="F30" s="37">
        <v>71341</v>
      </c>
      <c r="H30" s="50"/>
      <c r="I30" s="38">
        <f t="shared" si="1"/>
        <v>20221.736815800006</v>
      </c>
      <c r="J30" s="38">
        <f t="shared" si="2"/>
        <v>20221.736815800006</v>
      </c>
      <c r="K30" s="38">
        <f t="shared" si="3"/>
        <v>10224.0855989</v>
      </c>
      <c r="L30"/>
      <c r="N30" s="5">
        <f t="shared" si="4"/>
        <v>4672.747942200001</v>
      </c>
      <c r="O30" s="5">
        <f t="shared" si="5"/>
        <v>4672.747942200001</v>
      </c>
      <c r="P30" s="38">
        <f t="shared" si="6"/>
        <v>2362.5356901</v>
      </c>
      <c r="Q30"/>
      <c r="S30" s="38">
        <f t="shared" si="7"/>
        <v>496.5097176</v>
      </c>
      <c r="T30" s="38">
        <f t="shared" si="8"/>
        <v>496.5097176</v>
      </c>
      <c r="U30" s="38">
        <f t="shared" si="9"/>
        <v>251.0347108</v>
      </c>
      <c r="V30"/>
      <c r="X30" s="5">
        <f t="shared" si="10"/>
        <v>170.0561304</v>
      </c>
      <c r="Y30" s="5">
        <f t="shared" si="11"/>
        <v>170.0561304</v>
      </c>
      <c r="Z30" s="38">
        <f t="shared" si="12"/>
        <v>85.9801732</v>
      </c>
      <c r="AA30"/>
      <c r="AC30" s="5">
        <f t="shared" si="13"/>
        <v>97.685337906</v>
      </c>
      <c r="AD30" s="5">
        <f t="shared" si="14"/>
        <v>97.685337906</v>
      </c>
      <c r="AE30" s="38">
        <f t="shared" si="15"/>
        <v>49.389588323</v>
      </c>
      <c r="AF30"/>
      <c r="AH30" s="5">
        <f t="shared" si="16"/>
        <v>753.4282392</v>
      </c>
      <c r="AI30" s="5">
        <f t="shared" si="17"/>
        <v>753.4282392</v>
      </c>
      <c r="AJ30" s="38">
        <f t="shared" si="18"/>
        <v>380.9324036</v>
      </c>
      <c r="AK30"/>
      <c r="AM30" s="5">
        <f t="shared" si="19"/>
        <v>4601.7454158</v>
      </c>
      <c r="AN30" s="5">
        <f t="shared" si="20"/>
        <v>4601.7454158</v>
      </c>
      <c r="AO30" s="38">
        <f t="shared" si="21"/>
        <v>2326.6368989000002</v>
      </c>
      <c r="AP30"/>
      <c r="AR30" s="5">
        <f t="shared" si="22"/>
        <v>219.6111528</v>
      </c>
      <c r="AS30" s="5">
        <f t="shared" si="23"/>
        <v>219.6111528</v>
      </c>
      <c r="AT30" s="38">
        <f t="shared" si="24"/>
        <v>111.03513240000001</v>
      </c>
      <c r="AU30"/>
      <c r="AW30" s="5">
        <f t="shared" si="25"/>
        <v>356.5083132</v>
      </c>
      <c r="AX30" s="5">
        <f t="shared" si="26"/>
        <v>356.5083132</v>
      </c>
      <c r="AY30" s="38">
        <f t="shared" si="27"/>
        <v>180.2501706</v>
      </c>
      <c r="AZ30"/>
      <c r="BA30" s="38"/>
      <c r="BB30" s="5">
        <f t="shared" si="28"/>
        <v>877.0759218</v>
      </c>
      <c r="BC30" s="38">
        <f t="shared" si="29"/>
        <v>877.0759218</v>
      </c>
      <c r="BD30" s="38">
        <f t="shared" si="30"/>
        <v>443.4485219</v>
      </c>
      <c r="BE30"/>
      <c r="BG30" s="5">
        <f t="shared" si="31"/>
        <v>42.133057199999996</v>
      </c>
      <c r="BH30" s="5">
        <f t="shared" si="32"/>
        <v>42.133057199999996</v>
      </c>
      <c r="BI30" s="38">
        <f t="shared" si="33"/>
        <v>21.3024226</v>
      </c>
      <c r="BJ30"/>
      <c r="BL30" s="5">
        <f t="shared" si="34"/>
        <v>449.84728620000004</v>
      </c>
      <c r="BM30" s="5">
        <f t="shared" si="35"/>
        <v>449.84728620000004</v>
      </c>
      <c r="BN30" s="38">
        <f t="shared" si="36"/>
        <v>227.44224210000002</v>
      </c>
      <c r="BO30"/>
      <c r="BQ30" s="5">
        <f t="shared" si="37"/>
        <v>20.007840294000005</v>
      </c>
      <c r="BR30" s="5">
        <f t="shared" si="38"/>
        <v>20.007840294000005</v>
      </c>
      <c r="BS30" s="38">
        <f t="shared" si="39"/>
        <v>10.115939777000003</v>
      </c>
      <c r="BT30"/>
      <c r="BV30" s="5">
        <f t="shared" si="40"/>
        <v>13.4188002</v>
      </c>
      <c r="BW30" s="5">
        <f t="shared" si="41"/>
        <v>13.4188002</v>
      </c>
      <c r="BX30" s="38">
        <f t="shared" si="42"/>
        <v>6.784529099999999</v>
      </c>
      <c r="BY30"/>
      <c r="CA30" s="5">
        <f t="shared" si="43"/>
        <v>22.4211078</v>
      </c>
      <c r="CB30" s="5">
        <f t="shared" si="44"/>
        <v>22.4211078</v>
      </c>
      <c r="CC30" s="38">
        <f t="shared" si="45"/>
        <v>11.336084900000001</v>
      </c>
      <c r="CD30"/>
      <c r="CF30" s="5">
        <f t="shared" si="46"/>
        <v>427.75071299999996</v>
      </c>
      <c r="CG30" s="5">
        <f t="shared" si="47"/>
        <v>427.75071299999996</v>
      </c>
      <c r="CH30" s="38">
        <f t="shared" si="48"/>
        <v>216.2702415</v>
      </c>
      <c r="CI30"/>
      <c r="CK30" s="5">
        <f t="shared" si="49"/>
        <v>345.26248380000004</v>
      </c>
      <c r="CL30" s="38">
        <f t="shared" si="50"/>
        <v>345.26248380000004</v>
      </c>
      <c r="CM30" s="38">
        <f t="shared" si="51"/>
        <v>174.5642929</v>
      </c>
      <c r="CP30" s="5">
        <f t="shared" si="52"/>
        <v>62.6069574</v>
      </c>
      <c r="CQ30" s="5">
        <f t="shared" si="53"/>
        <v>62.6069574</v>
      </c>
      <c r="CR30" s="38">
        <f t="shared" si="54"/>
        <v>31.6540017</v>
      </c>
      <c r="CU30" s="5">
        <f t="shared" si="55"/>
        <v>25.186707000000002</v>
      </c>
      <c r="CV30" s="5">
        <f t="shared" si="56"/>
        <v>25.186707000000002</v>
      </c>
      <c r="CW30" s="38">
        <f t="shared" si="57"/>
        <v>12.7343685</v>
      </c>
      <c r="CZ30" s="5">
        <f t="shared" si="58"/>
        <v>202.60836179999998</v>
      </c>
      <c r="DA30" s="5">
        <f t="shared" si="59"/>
        <v>202.60836179999998</v>
      </c>
      <c r="DB30" s="38">
        <f t="shared" si="60"/>
        <v>102.43854189999999</v>
      </c>
      <c r="DE30" s="5">
        <f t="shared" si="61"/>
        <v>2572.0919172000004</v>
      </c>
      <c r="DF30" s="38">
        <f t="shared" si="62"/>
        <v>2572.0919172000004</v>
      </c>
      <c r="DG30" s="38">
        <f t="shared" si="63"/>
        <v>1300.4465526000001</v>
      </c>
      <c r="DJ30" s="38">
        <f t="shared" si="64"/>
        <v>215.4909744</v>
      </c>
      <c r="DK30" s="38">
        <f t="shared" si="65"/>
        <v>215.4909744</v>
      </c>
      <c r="DL30" s="38">
        <f t="shared" si="66"/>
        <v>108.9519752</v>
      </c>
      <c r="DO30" s="38">
        <f t="shared" si="67"/>
        <v>84.5342082</v>
      </c>
      <c r="DP30" s="38">
        <f t="shared" si="68"/>
        <v>84.5342082</v>
      </c>
      <c r="DQ30" s="38">
        <f t="shared" si="69"/>
        <v>42.7403931</v>
      </c>
      <c r="DT30" s="5">
        <f t="shared" si="70"/>
        <v>69.3375228</v>
      </c>
      <c r="DU30" s="5">
        <f t="shared" si="71"/>
        <v>69.3375228</v>
      </c>
      <c r="DV30" s="38">
        <f t="shared" si="72"/>
        <v>35.0569674</v>
      </c>
      <c r="DX30" s="38"/>
      <c r="DY30" s="38">
        <f t="shared" si="73"/>
        <v>632.8565801999999</v>
      </c>
      <c r="DZ30" s="5">
        <f t="shared" si="74"/>
        <v>632.8565801999999</v>
      </c>
      <c r="EA30" s="38">
        <f t="shared" si="75"/>
        <v>319.97151909999997</v>
      </c>
      <c r="EC30" s="38"/>
      <c r="ED30" s="38">
        <f t="shared" si="76"/>
        <v>1825.4789046</v>
      </c>
      <c r="EE30" s="5">
        <f t="shared" si="77"/>
        <v>1825.4789046</v>
      </c>
      <c r="EF30" s="38">
        <f t="shared" si="78"/>
        <v>922.9599193</v>
      </c>
      <c r="EI30" s="5">
        <f t="shared" si="79"/>
        <v>18.7101252</v>
      </c>
      <c r="EJ30" s="5">
        <f t="shared" si="80"/>
        <v>18.7101252</v>
      </c>
      <c r="EK30" s="38">
        <f t="shared" si="81"/>
        <v>9.4598166</v>
      </c>
      <c r="EM30" s="5"/>
      <c r="EN30" s="5">
        <f t="shared" si="82"/>
        <v>884.2297932</v>
      </c>
      <c r="EO30" s="5">
        <f t="shared" si="83"/>
        <v>884.2297932</v>
      </c>
      <c r="EP30" s="38">
        <f t="shared" si="84"/>
        <v>447.0655106</v>
      </c>
      <c r="ER30" s="5"/>
      <c r="ES30" s="5">
        <f t="shared" si="85"/>
        <v>62.3953044</v>
      </c>
      <c r="ET30" s="5">
        <f t="shared" si="86"/>
        <v>62.3953044</v>
      </c>
      <c r="EU30" s="38">
        <f t="shared" si="87"/>
        <v>31.5469902</v>
      </c>
    </row>
    <row r="31" spans="1:151" ht="12.75">
      <c r="A31" s="40">
        <v>11049</v>
      </c>
      <c r="C31" s="77">
        <v>8040000</v>
      </c>
      <c r="D31" s="77">
        <v>141102</v>
      </c>
      <c r="E31" s="37">
        <f t="shared" si="0"/>
        <v>8181102</v>
      </c>
      <c r="F31" s="37">
        <v>71356</v>
      </c>
      <c r="H31" s="50">
        <f t="shared" si="88"/>
        <v>1152235.716</v>
      </c>
      <c r="I31" s="38">
        <f t="shared" si="1"/>
        <v>20221.736815800006</v>
      </c>
      <c r="J31" s="38">
        <f t="shared" si="2"/>
        <v>1172457.4528158</v>
      </c>
      <c r="K31" s="38">
        <f t="shared" si="3"/>
        <v>10226.2352924</v>
      </c>
      <c r="L31"/>
      <c r="M31" s="5">
        <f t="shared" si="89"/>
        <v>266253.444</v>
      </c>
      <c r="N31" s="5">
        <f t="shared" si="4"/>
        <v>4672.747942200001</v>
      </c>
      <c r="O31" s="5">
        <f t="shared" si="5"/>
        <v>270926.1919422</v>
      </c>
      <c r="P31" s="38">
        <f t="shared" si="6"/>
        <v>2363.0324316</v>
      </c>
      <c r="Q31"/>
      <c r="R31" s="5">
        <f t="shared" si="90"/>
        <v>28291.152</v>
      </c>
      <c r="S31" s="38">
        <f t="shared" si="7"/>
        <v>496.5097176</v>
      </c>
      <c r="T31" s="38">
        <f t="shared" si="8"/>
        <v>28787.6617176</v>
      </c>
      <c r="U31" s="38">
        <f t="shared" si="9"/>
        <v>251.08749279999998</v>
      </c>
      <c r="V31"/>
      <c r="W31" s="5">
        <f t="shared" si="91"/>
        <v>9689.808</v>
      </c>
      <c r="X31" s="5">
        <f t="shared" si="10"/>
        <v>170.0561304</v>
      </c>
      <c r="Y31" s="5">
        <f t="shared" si="11"/>
        <v>9859.864130400001</v>
      </c>
      <c r="Z31" s="38">
        <f t="shared" si="12"/>
        <v>85.9982512</v>
      </c>
      <c r="AA31"/>
      <c r="AB31" s="5">
        <f t="shared" si="92"/>
        <v>5566.11612</v>
      </c>
      <c r="AC31" s="5">
        <f t="shared" si="13"/>
        <v>97.685337906</v>
      </c>
      <c r="AD31" s="5">
        <f t="shared" si="14"/>
        <v>5663.801457906</v>
      </c>
      <c r="AE31" s="38">
        <f t="shared" si="15"/>
        <v>49.399972868</v>
      </c>
      <c r="AF31"/>
      <c r="AG31" s="5">
        <f t="shared" si="93"/>
        <v>42930.384</v>
      </c>
      <c r="AH31" s="5">
        <f t="shared" si="16"/>
        <v>753.4282392</v>
      </c>
      <c r="AI31" s="5">
        <f t="shared" si="17"/>
        <v>43683.8122392</v>
      </c>
      <c r="AJ31" s="38">
        <f t="shared" si="18"/>
        <v>381.0124976</v>
      </c>
      <c r="AK31"/>
      <c r="AL31" s="5">
        <f t="shared" si="94"/>
        <v>262207.716</v>
      </c>
      <c r="AM31" s="5">
        <f t="shared" si="19"/>
        <v>4601.7454158</v>
      </c>
      <c r="AN31" s="5">
        <f t="shared" si="20"/>
        <v>266809.46141580003</v>
      </c>
      <c r="AO31" s="38">
        <f t="shared" si="21"/>
        <v>2327.1260924</v>
      </c>
      <c r="AP31"/>
      <c r="AQ31" s="5">
        <f t="shared" si="95"/>
        <v>12513.456</v>
      </c>
      <c r="AR31" s="5">
        <f t="shared" si="22"/>
        <v>219.6111528</v>
      </c>
      <c r="AS31" s="5">
        <f t="shared" si="23"/>
        <v>12733.0671528</v>
      </c>
      <c r="AT31" s="38">
        <f t="shared" si="24"/>
        <v>111.05847840000001</v>
      </c>
      <c r="AU31"/>
      <c r="AV31" s="5">
        <f>C31*$AX$6</f>
        <v>20313.863999999998</v>
      </c>
      <c r="AW31" s="5">
        <f t="shared" si="25"/>
        <v>356.5083132</v>
      </c>
      <c r="AX31" s="5">
        <f t="shared" si="26"/>
        <v>20670.372313199998</v>
      </c>
      <c r="AY31" s="38">
        <f t="shared" si="27"/>
        <v>180.2880696</v>
      </c>
      <c r="AZ31"/>
      <c r="BA31" s="38">
        <f t="shared" si="96"/>
        <v>49975.835999999996</v>
      </c>
      <c r="BB31" s="5">
        <f t="shared" si="28"/>
        <v>877.0759218</v>
      </c>
      <c r="BC31" s="38">
        <f t="shared" si="29"/>
        <v>50852.9119218</v>
      </c>
      <c r="BD31" s="38">
        <f t="shared" si="30"/>
        <v>443.5417604</v>
      </c>
      <c r="BE31"/>
      <c r="BF31" s="5">
        <f t="shared" si="97"/>
        <v>2400.744</v>
      </c>
      <c r="BG31" s="5">
        <f t="shared" si="31"/>
        <v>42.133057199999996</v>
      </c>
      <c r="BH31" s="5">
        <f t="shared" si="32"/>
        <v>2442.8770572000003</v>
      </c>
      <c r="BI31" s="38">
        <f t="shared" si="33"/>
        <v>21.3069016</v>
      </c>
      <c r="BJ31"/>
      <c r="BK31" s="5">
        <f t="shared" si="98"/>
        <v>25632.324</v>
      </c>
      <c r="BL31" s="5">
        <f t="shared" si="34"/>
        <v>449.84728620000004</v>
      </c>
      <c r="BM31" s="5">
        <f t="shared" si="35"/>
        <v>26082.171286200002</v>
      </c>
      <c r="BN31" s="38">
        <f t="shared" si="36"/>
        <v>227.4900636</v>
      </c>
      <c r="BO31"/>
      <c r="BP31" s="5">
        <f t="shared" si="99"/>
        <v>1140.0478800000003</v>
      </c>
      <c r="BQ31" s="5">
        <f t="shared" si="37"/>
        <v>20.007840294000005</v>
      </c>
      <c r="BR31" s="5">
        <f t="shared" si="38"/>
        <v>1160.0557202940004</v>
      </c>
      <c r="BS31" s="38">
        <f t="shared" si="39"/>
        <v>10.118066732000003</v>
      </c>
      <c r="BT31"/>
      <c r="BU31" s="5">
        <f t="shared" si="100"/>
        <v>764.6039999999999</v>
      </c>
      <c r="BV31" s="5">
        <f t="shared" si="40"/>
        <v>13.4188002</v>
      </c>
      <c r="BW31" s="5">
        <f t="shared" si="41"/>
        <v>778.0228001999999</v>
      </c>
      <c r="BX31" s="38">
        <f t="shared" si="42"/>
        <v>6.785955599999999</v>
      </c>
      <c r="BY31"/>
      <c r="BZ31" s="5">
        <f t="shared" si="101"/>
        <v>1277.556</v>
      </c>
      <c r="CA31" s="5">
        <f t="shared" si="43"/>
        <v>22.4211078</v>
      </c>
      <c r="CB31" s="5">
        <f t="shared" si="44"/>
        <v>1299.9771078</v>
      </c>
      <c r="CC31" s="38">
        <f t="shared" si="45"/>
        <v>11.338468400000002</v>
      </c>
      <c r="CD31"/>
      <c r="CE31" s="5">
        <f t="shared" si="102"/>
        <v>24373.26</v>
      </c>
      <c r="CF31" s="5">
        <f t="shared" si="46"/>
        <v>427.75071299999996</v>
      </c>
      <c r="CG31" s="5">
        <f t="shared" si="47"/>
        <v>24801.010713</v>
      </c>
      <c r="CH31" s="38">
        <f t="shared" si="48"/>
        <v>216.31571399999999</v>
      </c>
      <c r="CI31"/>
      <c r="CJ31" s="5">
        <f t="shared" si="103"/>
        <v>19673.076</v>
      </c>
      <c r="CK31" s="5">
        <f t="shared" si="49"/>
        <v>345.26248380000004</v>
      </c>
      <c r="CL31" s="38">
        <f t="shared" si="50"/>
        <v>20018.338483800002</v>
      </c>
      <c r="CM31" s="38">
        <f t="shared" si="51"/>
        <v>174.6009964</v>
      </c>
      <c r="CO31" s="5">
        <f t="shared" si="104"/>
        <v>3567.348</v>
      </c>
      <c r="CP31" s="5">
        <f t="shared" si="52"/>
        <v>62.6069574</v>
      </c>
      <c r="CQ31" s="5">
        <f t="shared" si="53"/>
        <v>3629.9549574</v>
      </c>
      <c r="CR31" s="38">
        <f t="shared" si="54"/>
        <v>31.6606572</v>
      </c>
      <c r="CT31" s="5">
        <f t="shared" si="105"/>
        <v>1435.14</v>
      </c>
      <c r="CU31" s="5">
        <f t="shared" si="55"/>
        <v>25.186707000000002</v>
      </c>
      <c r="CV31" s="5">
        <f t="shared" si="56"/>
        <v>1460.3267070000002</v>
      </c>
      <c r="CW31" s="38">
        <f t="shared" si="57"/>
        <v>12.737046</v>
      </c>
      <c r="CY31" s="5">
        <f t="shared" si="106"/>
        <v>11544.635999999999</v>
      </c>
      <c r="CZ31" s="5">
        <f t="shared" si="58"/>
        <v>202.60836179999998</v>
      </c>
      <c r="DA31" s="5">
        <f t="shared" si="59"/>
        <v>11747.244361799998</v>
      </c>
      <c r="DB31" s="38">
        <f t="shared" si="60"/>
        <v>102.4600804</v>
      </c>
      <c r="DD31" s="5">
        <f t="shared" si="107"/>
        <v>146557.94400000002</v>
      </c>
      <c r="DE31" s="5">
        <f t="shared" si="61"/>
        <v>2572.0919172000004</v>
      </c>
      <c r="DF31" s="38">
        <f t="shared" si="62"/>
        <v>149130.03591720003</v>
      </c>
      <c r="DG31" s="38">
        <f t="shared" si="63"/>
        <v>1300.7199816</v>
      </c>
      <c r="DI31" s="5">
        <f t="shared" si="108"/>
        <v>12278.688</v>
      </c>
      <c r="DJ31" s="38">
        <f t="shared" si="64"/>
        <v>215.4909744</v>
      </c>
      <c r="DK31" s="38">
        <f t="shared" si="65"/>
        <v>12494.1789744</v>
      </c>
      <c r="DL31" s="38">
        <f t="shared" si="66"/>
        <v>108.97488320000001</v>
      </c>
      <c r="DN31" s="5">
        <f t="shared" si="109"/>
        <v>4816.764</v>
      </c>
      <c r="DO31" s="38">
        <f t="shared" si="67"/>
        <v>84.5342082</v>
      </c>
      <c r="DP31" s="38">
        <f t="shared" si="68"/>
        <v>4901.2982082</v>
      </c>
      <c r="DQ31" s="38">
        <f t="shared" si="69"/>
        <v>42.7493796</v>
      </c>
      <c r="DS31" s="5">
        <f t="shared" si="110"/>
        <v>3950.856</v>
      </c>
      <c r="DT31" s="5">
        <f t="shared" si="70"/>
        <v>69.3375228</v>
      </c>
      <c r="DU31" s="5">
        <f t="shared" si="71"/>
        <v>4020.1935228</v>
      </c>
      <c r="DV31" s="38">
        <f t="shared" si="72"/>
        <v>35.064338400000004</v>
      </c>
      <c r="DX31" s="38">
        <f t="shared" si="111"/>
        <v>36060.204</v>
      </c>
      <c r="DY31" s="38">
        <f t="shared" si="73"/>
        <v>632.8565801999999</v>
      </c>
      <c r="DZ31" s="5">
        <f t="shared" si="74"/>
        <v>36693.0605802</v>
      </c>
      <c r="EA31" s="38">
        <f t="shared" si="75"/>
        <v>320.03879559999996</v>
      </c>
      <c r="EC31" s="38">
        <f t="shared" si="112"/>
        <v>104015.892</v>
      </c>
      <c r="ED31" s="38">
        <f t="shared" si="76"/>
        <v>1825.4789046</v>
      </c>
      <c r="EE31" s="5">
        <f t="shared" si="77"/>
        <v>105841.3709046</v>
      </c>
      <c r="EF31" s="38">
        <f t="shared" si="78"/>
        <v>923.1539788</v>
      </c>
      <c r="EH31" s="5">
        <f t="shared" si="113"/>
        <v>1066.104</v>
      </c>
      <c r="EI31" s="5">
        <f t="shared" si="79"/>
        <v>18.7101252</v>
      </c>
      <c r="EJ31" s="5">
        <f t="shared" si="80"/>
        <v>1084.8141252</v>
      </c>
      <c r="EK31" s="38">
        <f t="shared" si="81"/>
        <v>9.4618056</v>
      </c>
      <c r="EM31" s="5">
        <f t="shared" si="114"/>
        <v>50383.464</v>
      </c>
      <c r="EN31" s="5">
        <f t="shared" si="82"/>
        <v>884.2297932</v>
      </c>
      <c r="EO31" s="5">
        <f t="shared" si="83"/>
        <v>51267.6937932</v>
      </c>
      <c r="EP31" s="38">
        <f t="shared" si="84"/>
        <v>447.1595096</v>
      </c>
      <c r="ER31" s="5">
        <f t="shared" si="115"/>
        <v>3555.288</v>
      </c>
      <c r="ES31" s="5">
        <f t="shared" si="85"/>
        <v>62.3953044</v>
      </c>
      <c r="ET31" s="5">
        <f t="shared" si="86"/>
        <v>3617.6833044</v>
      </c>
      <c r="EU31" s="38">
        <f t="shared" si="87"/>
        <v>31.5536232</v>
      </c>
    </row>
    <row r="32" spans="2:141" ht="12.75">
      <c r="B32" s="36"/>
      <c r="C32" s="37"/>
      <c r="D32" s="37"/>
      <c r="E32" s="37"/>
      <c r="F32" s="3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M32"/>
      <c r="CR32"/>
      <c r="CW32"/>
      <c r="DB32"/>
      <c r="DG32"/>
      <c r="DL32"/>
      <c r="DQ32"/>
      <c r="DV32"/>
      <c r="EA32"/>
      <c r="EF32"/>
      <c r="EK32"/>
    </row>
    <row r="33" spans="1:151" ht="13.5" thickBot="1">
      <c r="A33" s="41" t="s">
        <v>31</v>
      </c>
      <c r="C33" s="42">
        <f>SUM(C8:C32)</f>
        <v>81345000</v>
      </c>
      <c r="D33" s="42">
        <f>SUM(D8:D32)</f>
        <v>18545502</v>
      </c>
      <c r="E33" s="42">
        <f>SUM(E8:E32)</f>
        <v>99890502</v>
      </c>
      <c r="F33" s="42">
        <f>SUM(F8:F32)</f>
        <v>1712199</v>
      </c>
      <c r="H33" s="42">
        <f>SUM(H8:H32)</f>
        <v>11657787.8505</v>
      </c>
      <c r="I33" s="42">
        <f>SUM(I8:I32)</f>
        <v>2657809.6735758</v>
      </c>
      <c r="J33" s="42">
        <f>SUM(J8:J32)</f>
        <v>14315597.524075799</v>
      </c>
      <c r="K33" s="42">
        <f>SUM(K8:K32)</f>
        <v>245380.2040671001</v>
      </c>
      <c r="M33" s="42">
        <f>SUM(M8:M32)</f>
        <v>2693829.154500001</v>
      </c>
      <c r="N33" s="42">
        <f>SUM(N8:N32)</f>
        <v>614154.6987822001</v>
      </c>
      <c r="O33" s="42">
        <f>SUM(O8:O32)</f>
        <v>3307983.8532822</v>
      </c>
      <c r="P33" s="42">
        <f>SUM(P8:P32)</f>
        <v>56701.35330389998</v>
      </c>
      <c r="R33" s="42">
        <f>SUM(R8:R32)</f>
        <v>286236.786</v>
      </c>
      <c r="S33" s="42">
        <f>SUM(S8:S32)</f>
        <v>65257.91243760001</v>
      </c>
      <c r="T33" s="42">
        <f>SUM(T8:T32)</f>
        <v>351494.6984376001</v>
      </c>
      <c r="U33" s="42">
        <f>SUM(U8:U32)</f>
        <v>6024.885841199999</v>
      </c>
      <c r="W33" s="42">
        <f>SUM(W8:W32)</f>
        <v>98036.99399999999</v>
      </c>
      <c r="X33" s="42">
        <f>SUM(X8:X32)</f>
        <v>22351.0390104</v>
      </c>
      <c r="Y33" s="42">
        <f>SUM(Y8:Y32)</f>
        <v>120388.03301039999</v>
      </c>
      <c r="Z33" s="42">
        <f>SUM(Z8:Z32)</f>
        <v>2063.5422348000006</v>
      </c>
      <c r="AB33" s="42">
        <f>SUM(AB8:AB32)</f>
        <v>56315.387535</v>
      </c>
      <c r="AC33" s="42">
        <f>SUM(AC8:AC32)</f>
        <v>12839.106671105998</v>
      </c>
      <c r="AD33" s="42">
        <f>SUM(AD8:AD32)</f>
        <v>69154.49420610598</v>
      </c>
      <c r="AE33" s="42">
        <f>SUM(AE8:AE32)</f>
        <v>1185.360504297</v>
      </c>
      <c r="AG33" s="42">
        <f>SUM(AG8:AG32)</f>
        <v>434349.76200000005</v>
      </c>
      <c r="AH33" s="42">
        <f>SUM(AH8:AH32)</f>
        <v>99025.5624792</v>
      </c>
      <c r="AI33" s="42">
        <f>SUM(AI8:AI32)</f>
        <v>533375.3244792</v>
      </c>
      <c r="AJ33" s="42">
        <f>SUM(AJ8:AJ32)</f>
        <v>9142.457780399998</v>
      </c>
      <c r="AL33" s="42">
        <f>SUM(AL8:AL32)</f>
        <v>2652896.3505</v>
      </c>
      <c r="AM33" s="42">
        <f>SUM(AM8:AM32)</f>
        <v>604822.6021758</v>
      </c>
      <c r="AN33" s="42">
        <f>SUM(AN8:AN32)</f>
        <v>3257718.9526758</v>
      </c>
      <c r="AO33" s="42">
        <f>SUM(AO8:AO32)</f>
        <v>55839.77476710003</v>
      </c>
      <c r="AQ33" s="42">
        <f>SUM(AQ8:AQ32)</f>
        <v>126605.35800000001</v>
      </c>
      <c r="AR33" s="42">
        <f>SUM(AR8:AR32)</f>
        <v>28864.219312799996</v>
      </c>
      <c r="AS33" s="42">
        <f>SUM(AS8:AS32)</f>
        <v>155469.57731280001</v>
      </c>
      <c r="AT33" s="42">
        <f>SUM(AT8:AT32)</f>
        <v>2664.8665236000006</v>
      </c>
      <c r="AV33" s="42">
        <f>SUM(AV8:AV32)</f>
        <v>205526.277</v>
      </c>
      <c r="AW33" s="42">
        <f>SUM(AW8:AW32)</f>
        <v>46857.06535319999</v>
      </c>
      <c r="AX33" s="42">
        <f>SUM(AX8:AX32)</f>
        <v>252383.34235320002</v>
      </c>
      <c r="AY33" s="42">
        <f>SUM(AY8:AY32)</f>
        <v>4326.041993399998</v>
      </c>
      <c r="BA33" s="42">
        <f>SUM(BA8:BA32)</f>
        <v>505632.3854999999</v>
      </c>
      <c r="BB33" s="42">
        <f>SUM(BB8:BB32)</f>
        <v>115276.98588180002</v>
      </c>
      <c r="BC33" s="42">
        <f>SUM(BC8:BC32)</f>
        <v>620909.3713818</v>
      </c>
      <c r="BD33" s="42">
        <f>SUM(BD8:BD32)</f>
        <v>10642.857764099997</v>
      </c>
      <c r="BF33" s="42">
        <f>SUM(BF8:BF32)</f>
        <v>24289.617</v>
      </c>
      <c r="BG33" s="42">
        <f>SUM(BG8:BG32)</f>
        <v>5537.686897199999</v>
      </c>
      <c r="BH33" s="42">
        <f>SUM(BH8:BH32)</f>
        <v>29827.303897199996</v>
      </c>
      <c r="BI33" s="42">
        <f>SUM(BI8:BI32)</f>
        <v>511.2626214</v>
      </c>
      <c r="BK33" s="42">
        <f>SUM(BK8:BK32)</f>
        <v>259335.99450000003</v>
      </c>
      <c r="BL33" s="42">
        <f>SUM(BL8:BL32)</f>
        <v>59124.914926199985</v>
      </c>
      <c r="BM33" s="42">
        <f>SUM(BM8:BM32)</f>
        <v>318460.9094262</v>
      </c>
      <c r="BN33" s="42">
        <f>SUM(BN8:BN32)</f>
        <v>5458.6616318999995</v>
      </c>
      <c r="BP33" s="42">
        <f>SUM(BP8:BP32)</f>
        <v>11534.476965000003</v>
      </c>
      <c r="BQ33" s="42">
        <f>SUM(BQ8:BQ32)</f>
        <v>2629.6965470940013</v>
      </c>
      <c r="BR33" s="42">
        <f>SUM(BR8:BR32)</f>
        <v>14164.173512094001</v>
      </c>
      <c r="BS33" s="42">
        <f>SUM(BS8:BS32)</f>
        <v>242.78468160300002</v>
      </c>
      <c r="BU33" s="42">
        <f>SUM(BU8:BU32)</f>
        <v>7735.909500000001</v>
      </c>
      <c r="BV33" s="42">
        <f>SUM(BV8:BV32)</f>
        <v>1763.6772402000006</v>
      </c>
      <c r="BW33" s="42">
        <f>SUM(BW8:BW32)</f>
        <v>9499.586740199999</v>
      </c>
      <c r="BX33" s="42">
        <f>SUM(BX8:BX32)</f>
        <v>162.83012489999993</v>
      </c>
      <c r="BZ33" s="42">
        <f>SUM(BZ8:BZ32)</f>
        <v>12925.720500000001</v>
      </c>
      <c r="CA33" s="42">
        <f>SUM(CA8:CA32)</f>
        <v>2946.8802678</v>
      </c>
      <c r="CB33" s="42">
        <f>SUM(CB8:CB32)</f>
        <v>15872.600767799999</v>
      </c>
      <c r="CC33" s="42">
        <f>SUM(CC8:CC32)</f>
        <v>272.0684211</v>
      </c>
      <c r="CE33" s="42">
        <f>SUM(CE8:CE32)</f>
        <v>246597.36750000002</v>
      </c>
      <c r="CF33" s="42">
        <f>SUM(CF8:CF32)</f>
        <v>56220.68931300002</v>
      </c>
      <c r="CG33" s="42">
        <f>SUM(CG8:CG32)</f>
        <v>302818.056813</v>
      </c>
      <c r="CH33" s="42">
        <f>SUM(CH8:CH32)</f>
        <v>5190.5312685</v>
      </c>
      <c r="CJ33" s="42">
        <f>SUM(CJ8:CJ32)</f>
        <v>199043.08049999998</v>
      </c>
      <c r="CK33" s="42">
        <f>SUM(CK8:CK32)</f>
        <v>45378.98884380001</v>
      </c>
      <c r="CL33" s="42">
        <f>SUM(CL8:CL32)</f>
        <v>244422.06934380002</v>
      </c>
      <c r="CM33" s="42">
        <f>SUM(CM8:CM32)</f>
        <v>4189.579733100001</v>
      </c>
      <c r="CO33" s="42">
        <f>SUM(CO8:CO32)</f>
        <v>36092.77649999999</v>
      </c>
      <c r="CP33" s="42">
        <f>SUM(CP8:CP32)</f>
        <v>8228.6392374</v>
      </c>
      <c r="CQ33" s="42">
        <f>SUM(CQ8:CQ32)</f>
        <v>44321.41573739999</v>
      </c>
      <c r="CR33" s="42">
        <f>SUM(CR8:CR32)</f>
        <v>759.7026962999997</v>
      </c>
      <c r="CT33" s="42">
        <f>SUM(CT8:CT32)</f>
        <v>14520.082499999999</v>
      </c>
      <c r="CU33" s="42">
        <f>SUM(CU8:CU32)</f>
        <v>3310.3721069999992</v>
      </c>
      <c r="CV33" s="42">
        <f>SUM(CV8:CV32)</f>
        <v>17830.454607000003</v>
      </c>
      <c r="CW33" s="42">
        <f>SUM(CW8:CW32)</f>
        <v>305.62752149999994</v>
      </c>
      <c r="CY33" s="42">
        <f>SUM(CY8:CY32)</f>
        <v>116803.28549999998</v>
      </c>
      <c r="CZ33" s="42">
        <f>SUM(CZ8:CZ32)</f>
        <v>26629.486321799995</v>
      </c>
      <c r="DA33" s="42">
        <f>SUM(DA8:DA32)</f>
        <v>143432.7718218</v>
      </c>
      <c r="DB33" s="42">
        <f>SUM(DB8:DB32)</f>
        <v>2458.5465441</v>
      </c>
      <c r="DD33" s="42">
        <f>SUM(DD8:DD32)</f>
        <v>1482805.4670000002</v>
      </c>
      <c r="DE33" s="42">
        <f>SUM(DE8:DE32)</f>
        <v>338058.5377572</v>
      </c>
      <c r="DF33" s="42">
        <f>SUM(DF8:DF32)</f>
        <v>1820864.0047572004</v>
      </c>
      <c r="DG33" s="42">
        <f>SUM(DG8:DG32)</f>
        <v>31210.990691399988</v>
      </c>
      <c r="DI33" s="42">
        <f>SUM(DI8:DI32)</f>
        <v>124230.08399999997</v>
      </c>
      <c r="DJ33" s="42">
        <f>SUM(DJ8:DJ32)</f>
        <v>28322.69065439999</v>
      </c>
      <c r="DK33" s="42">
        <f>SUM(DK8:DK32)</f>
        <v>152552.7746544</v>
      </c>
      <c r="DL33" s="42">
        <f>SUM(DL8:DL32)</f>
        <v>2614.8703128000016</v>
      </c>
      <c r="DN33" s="42">
        <f>SUM(DN8:DN32)</f>
        <v>48733.789500000006</v>
      </c>
      <c r="DO33" s="42">
        <f>SUM(DO8:DO32)</f>
        <v>11110.610248199997</v>
      </c>
      <c r="DP33" s="42">
        <f>SUM(DP8:DP32)</f>
        <v>59844.399748200005</v>
      </c>
      <c r="DQ33" s="42">
        <f>SUM(DQ8:DQ32)</f>
        <v>1025.7784209000001</v>
      </c>
      <c r="DS33" s="42">
        <f>SUM(DS8:DS32)</f>
        <v>39972.933</v>
      </c>
      <c r="DT33" s="42">
        <f>SUM(DT8:DT32)</f>
        <v>9113.2596828</v>
      </c>
      <c r="DU33" s="42">
        <f>SUM(DU8:DU32)</f>
        <v>49086.19268279999</v>
      </c>
      <c r="DV33" s="42">
        <f>SUM(DV8:DV32)</f>
        <v>841.3745885999998</v>
      </c>
      <c r="DX33" s="42">
        <f>SUM(DX8:DX32)</f>
        <v>364840.4595</v>
      </c>
      <c r="DY33" s="42">
        <f>SUM(DY8:DY32)</f>
        <v>83178.43102019998</v>
      </c>
      <c r="DZ33" s="42">
        <f>SUM(DZ8:DZ32)</f>
        <v>448018.8905202001</v>
      </c>
      <c r="EA33" s="42">
        <f>SUM(EA8:EA32)</f>
        <v>7679.383734899995</v>
      </c>
      <c r="EC33" s="42">
        <f>SUM(EC8:EC32)</f>
        <v>1052384.6685</v>
      </c>
      <c r="ED33" s="42">
        <f>SUM(ED8:ED32)</f>
        <v>239928.7230246</v>
      </c>
      <c r="EE33" s="42">
        <f>SUM(EE8:EE32)</f>
        <v>1292313.3915245996</v>
      </c>
      <c r="EF33" s="42">
        <f>SUM(EF8:EF32)</f>
        <v>22151.232122699996</v>
      </c>
      <c r="EH33" s="42">
        <f>SUM(EH8:EH32)</f>
        <v>10786.347</v>
      </c>
      <c r="EI33" s="42">
        <f>SUM(EI8:EI32)</f>
        <v>2459.1335652</v>
      </c>
      <c r="EJ33" s="42">
        <f>SUM(EJ8:EJ32)</f>
        <v>13245.480565199998</v>
      </c>
      <c r="EK33" s="42">
        <f>SUM(EK8:EK32)</f>
        <v>227.03758740000006</v>
      </c>
      <c r="EM33" s="42">
        <f>SUM(EM8:EM32)</f>
        <v>509756.577</v>
      </c>
      <c r="EN33" s="42">
        <f>SUM(EN8:EN32)</f>
        <v>116217.24283319997</v>
      </c>
      <c r="EO33" s="42">
        <f>SUM(EO8:EO32)</f>
        <v>625973.8198332</v>
      </c>
      <c r="EP33" s="42">
        <f>SUM(EP8:EP32)</f>
        <v>10729.6662534</v>
      </c>
      <c r="ER33" s="42">
        <f>SUM(ER8:ER32)</f>
        <v>35970.759000000005</v>
      </c>
      <c r="ES33" s="42">
        <f>SUM(ES8:ES32)</f>
        <v>8200.820984399998</v>
      </c>
      <c r="ET33" s="42">
        <f>SUM(ET8:ET32)</f>
        <v>44171.5799844</v>
      </c>
      <c r="EU33" s="42">
        <f>SUM(EU8:EU32)</f>
        <v>757.1343977999998</v>
      </c>
    </row>
    <row r="34" spans="8:89" ht="13.5" thickTop="1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8:89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8:89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8:89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8:89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8:89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8:89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ht="12.75">
      <c r="A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ht="12.75">
      <c r="A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6" ht="12.75">
      <c r="A47"/>
      <c r="C47"/>
      <c r="D47"/>
      <c r="E47"/>
      <c r="F47"/>
    </row>
    <row r="48" spans="1:6" ht="12.75">
      <c r="A48"/>
      <c r="C48"/>
      <c r="D48"/>
      <c r="E48"/>
      <c r="F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</sheetData>
  <sheetProtection/>
  <printOptions/>
  <pageMargins left="0.25" right="0" top="0" bottom="0.25" header="0.5" footer="0"/>
  <pageSetup horizontalDpi="600" verticalDpi="600" orientation="landscape" scale="95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pane xSplit="3" ySplit="6" topLeftCell="D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9" sqref="D5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52" customWidth="1"/>
    <col min="5" max="5" width="13.7109375" style="52" customWidth="1"/>
    <col min="6" max="6" width="12.7109375" style="52" customWidth="1"/>
    <col min="7" max="8" width="10.7109375" style="52" customWidth="1"/>
    <col min="9" max="9" width="12.7109375" style="52" customWidth="1"/>
    <col min="10" max="10" width="9.7109375" style="52" customWidth="1"/>
    <col min="11" max="13" width="12.7109375" style="52" customWidth="1"/>
    <col min="14" max="16" width="13.7109375" style="52" customWidth="1"/>
    <col min="17" max="17" width="10.7109375" style="52" customWidth="1"/>
    <col min="18" max="18" width="12.7109375" style="8" customWidth="1"/>
    <col min="19" max="19" width="10.28125" style="0" bestFit="1" customWidth="1"/>
  </cols>
  <sheetData>
    <row r="1" ht="12.75">
      <c r="A1" s="51" t="s">
        <v>113</v>
      </c>
    </row>
    <row r="3" spans="1:18" ht="12.75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51</v>
      </c>
    </row>
    <row r="4" spans="1:18" ht="12.75">
      <c r="A4" s="56" t="s">
        <v>52</v>
      </c>
      <c r="B4" s="56" t="s">
        <v>53</v>
      </c>
      <c r="C4" s="56" t="s">
        <v>54</v>
      </c>
      <c r="D4" s="57" t="s">
        <v>31</v>
      </c>
      <c r="E4" s="57" t="s">
        <v>55</v>
      </c>
      <c r="F4" s="57" t="s">
        <v>56</v>
      </c>
      <c r="G4" s="57" t="s">
        <v>57</v>
      </c>
      <c r="H4" s="57" t="s">
        <v>58</v>
      </c>
      <c r="I4" s="57" t="s">
        <v>59</v>
      </c>
      <c r="J4" s="57" t="s">
        <v>60</v>
      </c>
      <c r="K4" s="57" t="s">
        <v>61</v>
      </c>
      <c r="L4" s="57" t="s">
        <v>62</v>
      </c>
      <c r="M4" s="57" t="s">
        <v>63</v>
      </c>
      <c r="N4" s="57" t="s">
        <v>64</v>
      </c>
      <c r="O4" s="57" t="s">
        <v>65</v>
      </c>
      <c r="P4" s="57" t="s">
        <v>66</v>
      </c>
      <c r="Q4" s="57" t="s">
        <v>67</v>
      </c>
      <c r="R4" s="58" t="s">
        <v>68</v>
      </c>
    </row>
    <row r="5" spans="1:18" s="62" customFormat="1" ht="13.5" thickBot="1">
      <c r="A5" s="59"/>
      <c r="B5" s="59"/>
      <c r="C5" s="59" t="s">
        <v>69</v>
      </c>
      <c r="D5" s="60">
        <f>SUM(E5:Q5)</f>
        <v>120628045.74</v>
      </c>
      <c r="E5" s="60">
        <f aca="true" t="shared" si="0" ref="E5:Q5">SUM(E6:E61)</f>
        <v>13461205.45</v>
      </c>
      <c r="F5" s="60">
        <f t="shared" si="0"/>
        <v>5145580.32</v>
      </c>
      <c r="G5" s="60">
        <f t="shared" si="0"/>
        <v>100611</v>
      </c>
      <c r="H5" s="60">
        <f t="shared" si="0"/>
        <v>873254.08</v>
      </c>
      <c r="I5" s="60">
        <f t="shared" si="0"/>
        <v>6622644.790000001</v>
      </c>
      <c r="J5" s="60">
        <f t="shared" si="0"/>
        <v>30640</v>
      </c>
      <c r="K5" s="60">
        <f t="shared" si="0"/>
        <v>1071587.1099999999</v>
      </c>
      <c r="L5" s="60">
        <f t="shared" si="0"/>
        <v>1244682.3800000001</v>
      </c>
      <c r="M5" s="60">
        <f t="shared" si="0"/>
        <v>2657454.3499999996</v>
      </c>
      <c r="N5" s="60">
        <f t="shared" si="0"/>
        <v>10823642.82</v>
      </c>
      <c r="O5" s="60">
        <f t="shared" si="0"/>
        <v>28251551.790000003</v>
      </c>
      <c r="P5" s="60">
        <f t="shared" si="0"/>
        <v>49535928.19</v>
      </c>
      <c r="Q5" s="60">
        <f t="shared" si="0"/>
        <v>809263.46</v>
      </c>
      <c r="R5" s="61"/>
    </row>
    <row r="6" spans="1:17" ht="13.5" thickTop="1">
      <c r="A6" s="63"/>
      <c r="B6" s="64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8" ht="12.75">
      <c r="A7" s="64" t="s">
        <v>55</v>
      </c>
      <c r="B7" s="64" t="s">
        <v>114</v>
      </c>
      <c r="C7" s="64" t="s">
        <v>71</v>
      </c>
      <c r="D7" s="52">
        <f aca="true" t="shared" si="1" ref="D7:D60">SUM(E7:Q7)</f>
        <v>3994735.95</v>
      </c>
      <c r="E7" s="66">
        <f>1273174.6+1586225.13+1135336.22</f>
        <v>3994735.95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8">
        <f aca="true" t="shared" si="2" ref="R7:R38">D7/$D$5</f>
        <v>0.03311614579755522</v>
      </c>
    </row>
    <row r="8" spans="1:18" ht="12.75">
      <c r="A8" s="64" t="s">
        <v>55</v>
      </c>
      <c r="B8" s="64" t="s">
        <v>72</v>
      </c>
      <c r="C8" s="64" t="s">
        <v>73</v>
      </c>
      <c r="D8" s="52">
        <f t="shared" si="1"/>
        <v>424460.83</v>
      </c>
      <c r="E8" s="66">
        <v>424460.83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8">
        <f t="shared" si="2"/>
        <v>0.0035187574116460193</v>
      </c>
    </row>
    <row r="9" spans="1:18" ht="12.75">
      <c r="A9" s="64" t="s">
        <v>55</v>
      </c>
      <c r="B9" s="64" t="s">
        <v>124</v>
      </c>
      <c r="C9" s="64" t="s">
        <v>75</v>
      </c>
      <c r="D9" s="52">
        <f t="shared" si="1"/>
        <v>145378.6</v>
      </c>
      <c r="E9" s="66">
        <f>38543.26+76170.64+30664.7</f>
        <v>145378.6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8">
        <f t="shared" si="2"/>
        <v>0.001205180761307756</v>
      </c>
    </row>
    <row r="10" spans="1:18" ht="12.75">
      <c r="A10" s="64" t="s">
        <v>56</v>
      </c>
      <c r="B10" s="64" t="s">
        <v>76</v>
      </c>
      <c r="C10" s="64" t="s">
        <v>71</v>
      </c>
      <c r="D10" s="52">
        <f t="shared" si="1"/>
        <v>644111.0900000001</v>
      </c>
      <c r="E10" s="66"/>
      <c r="F10" s="66">
        <f>91850.75+20067.79+520650.28+11542.27</f>
        <v>644111.0900000001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8">
        <f t="shared" si="2"/>
        <v>0.005339646232753435</v>
      </c>
    </row>
    <row r="11" spans="1:18" ht="12.75">
      <c r="A11" s="64" t="s">
        <v>56</v>
      </c>
      <c r="B11" s="64" t="s">
        <v>72</v>
      </c>
      <c r="C11" s="64" t="s">
        <v>77</v>
      </c>
      <c r="D11" s="52">
        <f t="shared" si="1"/>
        <v>3934025.45</v>
      </c>
      <c r="E11" s="66"/>
      <c r="F11" s="66">
        <f>2933123.54+1000901.91</f>
        <v>3934025.45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8">
        <f t="shared" si="2"/>
        <v>0.032612859023508876</v>
      </c>
    </row>
    <row r="12" spans="1:18" ht="12.75">
      <c r="A12" s="64" t="s">
        <v>56</v>
      </c>
      <c r="B12" s="64" t="s">
        <v>78</v>
      </c>
      <c r="C12" s="64" t="s">
        <v>75</v>
      </c>
      <c r="D12" s="52">
        <f t="shared" si="1"/>
        <v>187747.03</v>
      </c>
      <c r="E12" s="66"/>
      <c r="F12" s="66">
        <f>18047.77+18954+41328.2+28000+81417.06</f>
        <v>187747.03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8">
        <f t="shared" si="2"/>
        <v>0.0015564127632861377</v>
      </c>
    </row>
    <row r="13" spans="1:18" ht="12.75">
      <c r="A13" s="64" t="s">
        <v>56</v>
      </c>
      <c r="B13" s="64" t="s">
        <v>120</v>
      </c>
      <c r="C13" s="64" t="s">
        <v>121</v>
      </c>
      <c r="D13" s="52">
        <f t="shared" si="1"/>
        <v>304783.75</v>
      </c>
      <c r="E13" s="66"/>
      <c r="F13" s="66">
        <f>304783.75</f>
        <v>304783.75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8">
        <f t="shared" si="2"/>
        <v>0.0025266408663945916</v>
      </c>
    </row>
    <row r="14" spans="1:18" ht="12.75">
      <c r="A14" s="64" t="s">
        <v>57</v>
      </c>
      <c r="B14" s="64" t="s">
        <v>76</v>
      </c>
      <c r="C14" s="64" t="s">
        <v>71</v>
      </c>
      <c r="D14" s="52">
        <f t="shared" si="1"/>
        <v>100611</v>
      </c>
      <c r="E14" s="66"/>
      <c r="F14" s="66"/>
      <c r="G14" s="65">
        <f>56077+44534</f>
        <v>100611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>
        <f t="shared" si="2"/>
        <v>0.000834059769291592</v>
      </c>
    </row>
    <row r="15" spans="1:18" ht="12.75">
      <c r="A15" s="64" t="s">
        <v>58</v>
      </c>
      <c r="B15" s="64" t="s">
        <v>118</v>
      </c>
      <c r="C15" s="64" t="s">
        <v>71</v>
      </c>
      <c r="D15" s="52">
        <f t="shared" si="1"/>
        <v>749817.8999999999</v>
      </c>
      <c r="E15" s="66"/>
      <c r="F15" s="66"/>
      <c r="G15" s="65"/>
      <c r="H15" s="66">
        <f>99265.52+134516.85+2500+176366.44+165927.64+170041.45+1200</f>
        <v>749817.8999999999</v>
      </c>
      <c r="I15" s="65"/>
      <c r="J15" s="65"/>
      <c r="K15" s="65"/>
      <c r="L15" s="65"/>
      <c r="M15" s="65"/>
      <c r="N15" s="65"/>
      <c r="O15" s="65"/>
      <c r="P15" s="65"/>
      <c r="Q15" s="65"/>
      <c r="R15" s="8">
        <f t="shared" si="2"/>
        <v>0.006215949992393535</v>
      </c>
    </row>
    <row r="16" spans="1:18" ht="12.75">
      <c r="A16" s="64" t="s">
        <v>58</v>
      </c>
      <c r="B16" s="64" t="s">
        <v>83</v>
      </c>
      <c r="C16" s="64" t="s">
        <v>123</v>
      </c>
      <c r="D16" s="52">
        <f t="shared" si="1"/>
        <v>36014.18</v>
      </c>
      <c r="E16" s="66"/>
      <c r="F16" s="66"/>
      <c r="G16" s="65"/>
      <c r="H16" s="66">
        <f>36014.18</f>
        <v>36014.18</v>
      </c>
      <c r="I16" s="65"/>
      <c r="J16" s="65"/>
      <c r="K16" s="65"/>
      <c r="L16" s="65"/>
      <c r="M16" s="65"/>
      <c r="N16" s="65"/>
      <c r="O16" s="65"/>
      <c r="P16" s="65"/>
      <c r="Q16" s="65"/>
      <c r="R16" s="8">
        <f t="shared" si="2"/>
        <v>0.00029855561183196534</v>
      </c>
    </row>
    <row r="17" spans="1:18" ht="12.75">
      <c r="A17" s="64" t="s">
        <v>59</v>
      </c>
      <c r="B17" s="64" t="s">
        <v>115</v>
      </c>
      <c r="C17" s="64" t="s">
        <v>71</v>
      </c>
      <c r="D17" s="52">
        <f t="shared" si="1"/>
        <v>384569.74000000005</v>
      </c>
      <c r="E17" s="66"/>
      <c r="F17" s="66"/>
      <c r="G17" s="65"/>
      <c r="H17" s="66"/>
      <c r="I17" s="66">
        <f>26905.38+72685.58+284978.78</f>
        <v>384569.74000000005</v>
      </c>
      <c r="J17" s="65"/>
      <c r="K17" s="65"/>
      <c r="L17" s="65"/>
      <c r="M17" s="65"/>
      <c r="N17" s="65"/>
      <c r="O17" s="65"/>
      <c r="P17" s="65"/>
      <c r="Q17" s="65"/>
      <c r="R17" s="8">
        <f t="shared" si="2"/>
        <v>0.0031880624247937854</v>
      </c>
    </row>
    <row r="18" spans="1:18" ht="12.75">
      <c r="A18" s="64" t="s">
        <v>60</v>
      </c>
      <c r="B18" s="64" t="s">
        <v>70</v>
      </c>
      <c r="C18" s="64" t="s">
        <v>71</v>
      </c>
      <c r="D18" s="52">
        <f t="shared" si="1"/>
        <v>11475</v>
      </c>
      <c r="E18" s="66"/>
      <c r="F18" s="66"/>
      <c r="G18" s="65"/>
      <c r="H18" s="66"/>
      <c r="I18" s="65"/>
      <c r="J18" s="66">
        <f>11475</f>
        <v>11475</v>
      </c>
      <c r="K18" s="66"/>
      <c r="L18" s="65"/>
      <c r="M18" s="65"/>
      <c r="N18" s="65"/>
      <c r="O18" s="65"/>
      <c r="P18" s="65"/>
      <c r="Q18" s="65"/>
      <c r="R18" s="8">
        <f t="shared" si="2"/>
        <v>9.512713175121028E-05</v>
      </c>
    </row>
    <row r="19" spans="1:18" ht="12.75">
      <c r="A19" s="64" t="s">
        <v>60</v>
      </c>
      <c r="B19" s="64" t="s">
        <v>120</v>
      </c>
      <c r="C19" s="64" t="s">
        <v>75</v>
      </c>
      <c r="D19" s="52">
        <f t="shared" si="1"/>
        <v>19165</v>
      </c>
      <c r="E19" s="66"/>
      <c r="F19" s="66"/>
      <c r="G19" s="65"/>
      <c r="H19" s="66"/>
      <c r="I19" s="65"/>
      <c r="J19" s="66">
        <f>19165</f>
        <v>19165</v>
      </c>
      <c r="K19" s="66"/>
      <c r="L19" s="65"/>
      <c r="M19" s="65"/>
      <c r="N19" s="65"/>
      <c r="O19" s="65"/>
      <c r="P19" s="65"/>
      <c r="Q19" s="65"/>
      <c r="R19" s="8">
        <f t="shared" si="2"/>
        <v>0.00015887681743023487</v>
      </c>
    </row>
    <row r="20" spans="1:18" ht="12.75">
      <c r="A20" s="64" t="s">
        <v>61</v>
      </c>
      <c r="B20" s="64" t="s">
        <v>74</v>
      </c>
      <c r="C20" s="64" t="s">
        <v>79</v>
      </c>
      <c r="D20" s="52">
        <f t="shared" si="1"/>
        <v>365680</v>
      </c>
      <c r="E20" s="66"/>
      <c r="F20" s="66"/>
      <c r="G20" s="65"/>
      <c r="H20" s="66"/>
      <c r="I20" s="65"/>
      <c r="J20" s="66"/>
      <c r="K20" s="66">
        <f>90922.62+274757.38</f>
        <v>365680</v>
      </c>
      <c r="L20" s="65"/>
      <c r="M20" s="65"/>
      <c r="N20" s="65"/>
      <c r="O20" s="65"/>
      <c r="P20" s="65"/>
      <c r="Q20" s="65"/>
      <c r="R20" s="8">
        <f t="shared" si="2"/>
        <v>0.003031467497933122</v>
      </c>
    </row>
    <row r="21" spans="1:18" ht="12.75">
      <c r="A21" s="64" t="s">
        <v>62</v>
      </c>
      <c r="B21" s="64" t="s">
        <v>117</v>
      </c>
      <c r="C21" s="64" t="s">
        <v>71</v>
      </c>
      <c r="D21" s="52">
        <f t="shared" si="1"/>
        <v>295158.75</v>
      </c>
      <c r="E21" s="66"/>
      <c r="F21" s="66"/>
      <c r="G21" s="65"/>
      <c r="H21" s="66"/>
      <c r="I21" s="65"/>
      <c r="J21" s="66"/>
      <c r="K21" s="66"/>
      <c r="L21" s="66">
        <f>7743.75+286415+1000</f>
        <v>295158.75</v>
      </c>
      <c r="M21" s="65"/>
      <c r="N21" s="65"/>
      <c r="O21" s="65"/>
      <c r="P21" s="65"/>
      <c r="Q21" s="65"/>
      <c r="R21" s="8">
        <f t="shared" si="2"/>
        <v>0.0024468501349692844</v>
      </c>
    </row>
    <row r="22" spans="1:18" ht="12.75">
      <c r="A22" s="64" t="s">
        <v>62</v>
      </c>
      <c r="B22" s="64" t="s">
        <v>70</v>
      </c>
      <c r="C22" s="64" t="s">
        <v>75</v>
      </c>
      <c r="D22" s="52">
        <f t="shared" si="1"/>
        <v>53526</v>
      </c>
      <c r="E22" s="66"/>
      <c r="F22" s="66"/>
      <c r="G22" s="65"/>
      <c r="H22" s="66"/>
      <c r="I22" s="65"/>
      <c r="J22" s="66"/>
      <c r="K22" s="66"/>
      <c r="L22" s="66">
        <f>53526</f>
        <v>53526</v>
      </c>
      <c r="M22" s="65"/>
      <c r="N22" s="65"/>
      <c r="O22" s="65"/>
      <c r="P22" s="65"/>
      <c r="Q22" s="65"/>
      <c r="R22" s="8">
        <f t="shared" si="2"/>
        <v>0.0004437276561320507</v>
      </c>
    </row>
    <row r="23" spans="1:18" ht="12.75">
      <c r="A23" s="64" t="s">
        <v>62</v>
      </c>
      <c r="B23" s="64" t="s">
        <v>70</v>
      </c>
      <c r="C23" s="64" t="s">
        <v>81</v>
      </c>
      <c r="D23" s="52">
        <f t="shared" si="1"/>
        <v>21537.53</v>
      </c>
      <c r="E23" s="66"/>
      <c r="F23" s="65"/>
      <c r="G23" s="65"/>
      <c r="H23" s="65"/>
      <c r="I23" s="65"/>
      <c r="J23" s="65"/>
      <c r="K23" s="65"/>
      <c r="L23" s="66">
        <f>6607.32+14930.21</f>
        <v>21537.53</v>
      </c>
      <c r="M23" s="65"/>
      <c r="N23" s="65"/>
      <c r="O23" s="65"/>
      <c r="P23" s="65"/>
      <c r="Q23" s="65"/>
      <c r="R23" s="8">
        <f t="shared" si="2"/>
        <v>0.0001785449633033241</v>
      </c>
    </row>
    <row r="24" spans="1:18" ht="12.75">
      <c r="A24" s="64" t="s">
        <v>63</v>
      </c>
      <c r="B24" s="64" t="s">
        <v>76</v>
      </c>
      <c r="C24" s="64" t="s">
        <v>71</v>
      </c>
      <c r="D24" s="52">
        <f t="shared" si="1"/>
        <v>173215.5</v>
      </c>
      <c r="E24" s="66"/>
      <c r="F24" s="65"/>
      <c r="G24" s="65"/>
      <c r="H24" s="65"/>
      <c r="I24" s="65"/>
      <c r="J24" s="65"/>
      <c r="K24" s="65"/>
      <c r="L24" s="66"/>
      <c r="M24" s="66">
        <f>44756+108040+20419.5</f>
        <v>173215.5</v>
      </c>
      <c r="N24" s="65"/>
      <c r="O24" s="65"/>
      <c r="P24" s="65"/>
      <c r="Q24" s="65"/>
      <c r="R24" s="8">
        <f t="shared" si="2"/>
        <v>0.001435947162514315</v>
      </c>
    </row>
    <row r="25" spans="1:18" ht="12.75">
      <c r="A25" s="64" t="s">
        <v>63</v>
      </c>
      <c r="B25" s="64" t="s">
        <v>80</v>
      </c>
      <c r="C25" s="64" t="s">
        <v>82</v>
      </c>
      <c r="D25" s="52">
        <f t="shared" si="1"/>
        <v>2198876.2399999998</v>
      </c>
      <c r="E25" s="66"/>
      <c r="F25" s="65"/>
      <c r="G25" s="65"/>
      <c r="H25" s="65"/>
      <c r="I25" s="65"/>
      <c r="J25" s="65"/>
      <c r="K25" s="65"/>
      <c r="L25" s="66"/>
      <c r="M25" s="66">
        <f>2002217.97+196658.27</f>
        <v>2198876.2399999998</v>
      </c>
      <c r="N25" s="65"/>
      <c r="O25" s="65"/>
      <c r="P25" s="65"/>
      <c r="Q25" s="65"/>
      <c r="R25" s="8">
        <f t="shared" si="2"/>
        <v>0.01822856555878744</v>
      </c>
    </row>
    <row r="26" spans="1:18" ht="12.75">
      <c r="A26" s="64" t="s">
        <v>63</v>
      </c>
      <c r="B26" s="64" t="s">
        <v>83</v>
      </c>
      <c r="C26" s="64" t="s">
        <v>75</v>
      </c>
      <c r="D26" s="52">
        <f t="shared" si="1"/>
        <v>184219.11</v>
      </c>
      <c r="E26" s="66"/>
      <c r="F26" s="65"/>
      <c r="G26" s="65"/>
      <c r="H26" s="65"/>
      <c r="I26" s="65"/>
      <c r="J26" s="65"/>
      <c r="K26" s="65"/>
      <c r="L26" s="66"/>
      <c r="M26" s="66">
        <f>89978.8+94240.31</f>
        <v>184219.11</v>
      </c>
      <c r="N26" s="65"/>
      <c r="O26" s="65"/>
      <c r="P26" s="65"/>
      <c r="Q26" s="65"/>
      <c r="R26" s="8">
        <f t="shared" si="2"/>
        <v>0.001527166496563024</v>
      </c>
    </row>
    <row r="27" spans="1:18" ht="12.75">
      <c r="A27" s="64" t="s">
        <v>64</v>
      </c>
      <c r="B27" s="64" t="s">
        <v>76</v>
      </c>
      <c r="C27" s="64" t="s">
        <v>71</v>
      </c>
      <c r="D27" s="52">
        <f t="shared" si="1"/>
        <v>72272</v>
      </c>
      <c r="E27" s="66"/>
      <c r="F27" s="65"/>
      <c r="G27" s="65"/>
      <c r="H27" s="65"/>
      <c r="I27" s="65"/>
      <c r="J27" s="65"/>
      <c r="K27" s="65"/>
      <c r="L27" s="66"/>
      <c r="M27" s="66"/>
      <c r="N27" s="66">
        <f>24788.48+38594.7+8888.82</f>
        <v>72272</v>
      </c>
      <c r="O27" s="65"/>
      <c r="P27" s="65"/>
      <c r="Q27" s="65"/>
      <c r="R27" s="8">
        <f t="shared" si="2"/>
        <v>0.0005991309861371215</v>
      </c>
    </row>
    <row r="28" spans="1:18" ht="12.75">
      <c r="A28" s="64" t="s">
        <v>64</v>
      </c>
      <c r="B28" s="64" t="s">
        <v>70</v>
      </c>
      <c r="C28" s="64" t="s">
        <v>75</v>
      </c>
      <c r="D28" s="52">
        <f t="shared" si="1"/>
        <v>59281.71</v>
      </c>
      <c r="E28" s="66"/>
      <c r="F28" s="65"/>
      <c r="G28" s="65"/>
      <c r="H28" s="65"/>
      <c r="I28" s="65"/>
      <c r="J28" s="65"/>
      <c r="K28" s="65"/>
      <c r="L28" s="66"/>
      <c r="M28" s="66"/>
      <c r="N28" s="66">
        <f>59281.71</f>
        <v>59281.71</v>
      </c>
      <c r="O28" s="65"/>
      <c r="P28" s="65"/>
      <c r="Q28" s="65"/>
      <c r="R28" s="8">
        <f t="shared" si="2"/>
        <v>0.0004914421819265394</v>
      </c>
    </row>
    <row r="29" spans="1:18" ht="12.75">
      <c r="A29" s="64" t="s">
        <v>65</v>
      </c>
      <c r="B29" s="64" t="s">
        <v>119</v>
      </c>
      <c r="C29" s="64" t="s">
        <v>71</v>
      </c>
      <c r="D29" s="52">
        <f t="shared" si="1"/>
        <v>541025.88</v>
      </c>
      <c r="E29" s="66"/>
      <c r="F29" s="65"/>
      <c r="G29" s="65"/>
      <c r="H29" s="65"/>
      <c r="I29" s="65"/>
      <c r="J29" s="65"/>
      <c r="K29" s="65"/>
      <c r="L29" s="66"/>
      <c r="M29" s="66"/>
      <c r="N29" s="66"/>
      <c r="O29" s="66">
        <f>53280.93+396553.33+91191.62</f>
        <v>541025.88</v>
      </c>
      <c r="P29" s="65"/>
      <c r="Q29" s="65"/>
      <c r="R29" s="8">
        <f t="shared" si="2"/>
        <v>0.004485075395867058</v>
      </c>
    </row>
    <row r="30" spans="1:18" ht="12.75">
      <c r="A30" s="64" t="s">
        <v>66</v>
      </c>
      <c r="B30" s="64" t="s">
        <v>84</v>
      </c>
      <c r="C30" s="64" t="s">
        <v>71</v>
      </c>
      <c r="D30" s="52">
        <f t="shared" si="1"/>
        <v>1560607.0799999998</v>
      </c>
      <c r="E30" s="66"/>
      <c r="F30" s="65"/>
      <c r="G30" s="65"/>
      <c r="H30" s="65"/>
      <c r="I30" s="65"/>
      <c r="J30" s="65"/>
      <c r="K30" s="65"/>
      <c r="L30" s="66"/>
      <c r="M30" s="66"/>
      <c r="N30" s="66"/>
      <c r="O30" s="65"/>
      <c r="P30" s="66">
        <f>209782.92+900000+74424+112561+3315+22968.15+216303.98+7979.03+9278+3995</f>
        <v>1560607.0799999998</v>
      </c>
      <c r="Q30" s="65"/>
      <c r="R30" s="8">
        <f t="shared" si="2"/>
        <v>0.012937348610983142</v>
      </c>
    </row>
    <row r="31" spans="1:18" ht="12.75">
      <c r="A31" s="64" t="s">
        <v>66</v>
      </c>
      <c r="B31" s="64" t="s">
        <v>70</v>
      </c>
      <c r="C31" s="64" t="s">
        <v>116</v>
      </c>
      <c r="D31" s="52">
        <f t="shared" si="1"/>
        <v>16000</v>
      </c>
      <c r="E31" s="66"/>
      <c r="F31" s="65"/>
      <c r="G31" s="65"/>
      <c r="H31" s="65"/>
      <c r="I31" s="65"/>
      <c r="J31" s="65"/>
      <c r="K31" s="65"/>
      <c r="L31" s="66"/>
      <c r="M31" s="66"/>
      <c r="N31" s="66"/>
      <c r="O31" s="65"/>
      <c r="P31" s="66">
        <f>16000</f>
        <v>16000</v>
      </c>
      <c r="Q31" s="65"/>
      <c r="R31" s="8">
        <f t="shared" si="2"/>
        <v>0.00013263913795375727</v>
      </c>
    </row>
    <row r="32" spans="1:19" ht="12.75">
      <c r="A32" s="64" t="s">
        <v>67</v>
      </c>
      <c r="B32" s="64" t="s">
        <v>122</v>
      </c>
      <c r="C32" s="64" t="s">
        <v>71</v>
      </c>
      <c r="D32" s="52">
        <f t="shared" si="1"/>
        <v>755922.46</v>
      </c>
      <c r="E32" s="66"/>
      <c r="F32" s="65"/>
      <c r="G32" s="65"/>
      <c r="H32" s="65"/>
      <c r="I32" s="65"/>
      <c r="J32" s="65"/>
      <c r="K32" s="65"/>
      <c r="L32" s="66"/>
      <c r="M32" s="66"/>
      <c r="N32" s="66"/>
      <c r="O32" s="65"/>
      <c r="P32" s="66"/>
      <c r="Q32" s="66">
        <f>33775+205471.69+46860+231623.37+238192.4</f>
        <v>755922.46</v>
      </c>
      <c r="R32" s="8">
        <f t="shared" si="2"/>
        <v>0.0062665564658927215</v>
      </c>
      <c r="S32" s="8"/>
    </row>
    <row r="33" spans="1:19" ht="12.75">
      <c r="A33" s="64" t="s">
        <v>67</v>
      </c>
      <c r="B33" s="64" t="s">
        <v>120</v>
      </c>
      <c r="C33" s="64" t="s">
        <v>75</v>
      </c>
      <c r="D33" s="52">
        <f t="shared" si="1"/>
        <v>53341</v>
      </c>
      <c r="E33" s="66"/>
      <c r="F33" s="65"/>
      <c r="G33" s="65"/>
      <c r="H33" s="65"/>
      <c r="I33" s="65"/>
      <c r="J33" s="65"/>
      <c r="K33" s="65"/>
      <c r="L33" s="66"/>
      <c r="M33" s="66"/>
      <c r="N33" s="66"/>
      <c r="O33" s="65"/>
      <c r="P33" s="66"/>
      <c r="Q33" s="66">
        <f>53341</f>
        <v>53341</v>
      </c>
      <c r="R33" s="8">
        <f t="shared" si="2"/>
        <v>0.0004421940160994604</v>
      </c>
      <c r="S33" s="8">
        <f>SUM(R7:R33)</f>
        <v>0.14331293086900673</v>
      </c>
    </row>
    <row r="34" spans="1:18" ht="12.75">
      <c r="A34" s="2" t="s">
        <v>55</v>
      </c>
      <c r="B34" s="2" t="s">
        <v>85</v>
      </c>
      <c r="C34" t="s">
        <v>86</v>
      </c>
      <c r="D34" s="52">
        <f t="shared" si="1"/>
        <v>2048379.4</v>
      </c>
      <c r="E34" s="52">
        <f>10002.14+886205.21+500553.64+651618.41</f>
        <v>2048379.4</v>
      </c>
      <c r="R34" s="8">
        <f t="shared" si="2"/>
        <v>0.016980954863639656</v>
      </c>
    </row>
    <row r="35" spans="1:18" ht="12.75">
      <c r="A35" s="2" t="s">
        <v>55</v>
      </c>
      <c r="B35" s="2" t="s">
        <v>87</v>
      </c>
      <c r="C35" s="67" t="s">
        <v>88</v>
      </c>
      <c r="D35" s="52">
        <f t="shared" si="1"/>
        <v>487866.4</v>
      </c>
      <c r="E35" s="52">
        <f>460888.88+26977.52</f>
        <v>487866.4</v>
      </c>
      <c r="R35" s="8">
        <f t="shared" si="2"/>
        <v>0.004044386170787683</v>
      </c>
    </row>
    <row r="36" spans="1:18" ht="12.75">
      <c r="A36" s="2" t="s">
        <v>55</v>
      </c>
      <c r="B36" s="2" t="s">
        <v>89</v>
      </c>
      <c r="C36" s="67" t="s">
        <v>88</v>
      </c>
      <c r="D36" s="52">
        <f t="shared" si="1"/>
        <v>120166.78</v>
      </c>
      <c r="E36" s="52">
        <f>1780.15+118386.63</f>
        <v>120166.78</v>
      </c>
      <c r="R36" s="8">
        <f t="shared" si="2"/>
        <v>0.0009961761318674248</v>
      </c>
    </row>
    <row r="37" spans="1:18" ht="12.75">
      <c r="A37" s="2" t="s">
        <v>55</v>
      </c>
      <c r="B37" s="2" t="s">
        <v>125</v>
      </c>
      <c r="C37" s="67" t="s">
        <v>88</v>
      </c>
      <c r="D37" s="52">
        <f t="shared" si="1"/>
        <v>4396.76</v>
      </c>
      <c r="E37" s="52">
        <f>4396.76</f>
        <v>4396.76</v>
      </c>
      <c r="R37" s="8">
        <f t="shared" si="2"/>
        <v>3.6448903511847615E-05</v>
      </c>
    </row>
    <row r="38" spans="1:18" ht="12.75">
      <c r="A38" s="2" t="s">
        <v>55</v>
      </c>
      <c r="B38" s="2" t="s">
        <v>87</v>
      </c>
      <c r="C38" t="s">
        <v>90</v>
      </c>
      <c r="D38" s="52">
        <f t="shared" si="1"/>
        <v>485.15</v>
      </c>
      <c r="E38" s="52">
        <f>485.15</f>
        <v>485.15</v>
      </c>
      <c r="R38" s="8">
        <f t="shared" si="2"/>
        <v>4.021867361141583E-06</v>
      </c>
    </row>
    <row r="39" spans="1:18" ht="12.75">
      <c r="A39" s="2" t="s">
        <v>55</v>
      </c>
      <c r="B39" s="2" t="s">
        <v>91</v>
      </c>
      <c r="C39" t="s">
        <v>92</v>
      </c>
      <c r="D39" s="52">
        <f t="shared" si="1"/>
        <v>6235335.58</v>
      </c>
      <c r="E39" s="52">
        <f>1066489.48+5168846.1</f>
        <v>6235335.58</v>
      </c>
      <c r="R39" s="8">
        <f aca="true" t="shared" si="3" ref="R39:R60">D39/$D$5</f>
        <v>0.05169059601147444</v>
      </c>
    </row>
    <row r="40" spans="1:18" ht="12.75">
      <c r="A40" s="2" t="s">
        <v>56</v>
      </c>
      <c r="B40" s="2" t="s">
        <v>132</v>
      </c>
      <c r="C40" t="s">
        <v>93</v>
      </c>
      <c r="D40" s="52">
        <f t="shared" si="1"/>
        <v>74913</v>
      </c>
      <c r="F40" s="52">
        <f>35279.75+17502.65+22130.6</f>
        <v>74913</v>
      </c>
      <c r="R40" s="8">
        <f t="shared" si="3"/>
        <v>0.0006210247338456136</v>
      </c>
    </row>
    <row r="41" spans="1:18" ht="12.75">
      <c r="A41" s="2" t="s">
        <v>58</v>
      </c>
      <c r="B41" s="2" t="s">
        <v>99</v>
      </c>
      <c r="C41" t="s">
        <v>130</v>
      </c>
      <c r="D41" s="52">
        <f t="shared" si="1"/>
        <v>87422</v>
      </c>
      <c r="H41" s="52">
        <f>87422</f>
        <v>87422</v>
      </c>
      <c r="R41" s="8">
        <f t="shared" si="3"/>
        <v>0.0007247236698870854</v>
      </c>
    </row>
    <row r="42" spans="1:18" ht="12.75">
      <c r="A42" s="2" t="s">
        <v>59</v>
      </c>
      <c r="B42" s="2" t="s">
        <v>87</v>
      </c>
      <c r="C42" t="s">
        <v>154</v>
      </c>
      <c r="D42" s="52">
        <f t="shared" si="1"/>
        <v>450</v>
      </c>
      <c r="I42" s="52">
        <v>450</v>
      </c>
      <c r="R42" s="8">
        <f t="shared" si="3"/>
        <v>3.7304757549494228E-06</v>
      </c>
    </row>
    <row r="43" spans="1:18" ht="12.75">
      <c r="A43" s="2" t="s">
        <v>59</v>
      </c>
      <c r="B43" s="2" t="s">
        <v>91</v>
      </c>
      <c r="C43" t="s">
        <v>94</v>
      </c>
      <c r="D43" s="52">
        <f t="shared" si="1"/>
        <v>462785.52</v>
      </c>
      <c r="I43" s="52">
        <f>426725.4+36060.12</f>
        <v>462785.52</v>
      </c>
      <c r="R43" s="8">
        <f t="shared" si="3"/>
        <v>0.0038364670268925807</v>
      </c>
    </row>
    <row r="44" spans="1:18" ht="12.75">
      <c r="A44" s="2" t="s">
        <v>59</v>
      </c>
      <c r="B44" s="2" t="s">
        <v>87</v>
      </c>
      <c r="C44" t="s">
        <v>95</v>
      </c>
      <c r="D44" s="52">
        <f t="shared" si="1"/>
        <v>264144.05000000005</v>
      </c>
      <c r="I44" s="52">
        <f>179400.45+84743.6</f>
        <v>264144.05000000005</v>
      </c>
      <c r="R44" s="8">
        <f t="shared" si="3"/>
        <v>0.002189739942975885</v>
      </c>
    </row>
    <row r="45" spans="1:18" ht="12.75">
      <c r="A45" s="2" t="s">
        <v>59</v>
      </c>
      <c r="B45" s="2" t="s">
        <v>127</v>
      </c>
      <c r="C45" t="s">
        <v>96</v>
      </c>
      <c r="D45" s="52">
        <f t="shared" si="1"/>
        <v>2920294.5300000003</v>
      </c>
      <c r="I45" s="52">
        <f>207807.81+1728142.51+984344.21</f>
        <v>2920294.5300000003</v>
      </c>
      <c r="R45" s="8">
        <f t="shared" si="3"/>
        <v>0.024209084314392046</v>
      </c>
    </row>
    <row r="46" spans="1:18" ht="12.75">
      <c r="A46" s="2" t="s">
        <v>59</v>
      </c>
      <c r="B46" s="2" t="s">
        <v>83</v>
      </c>
      <c r="C46" t="s">
        <v>133</v>
      </c>
      <c r="D46" s="52">
        <f t="shared" si="1"/>
        <v>21410.85</v>
      </c>
      <c r="I46" s="52">
        <f>21410.85</f>
        <v>21410.85</v>
      </c>
      <c r="R46" s="8">
        <f t="shared" si="3"/>
        <v>0.00017749479292857522</v>
      </c>
    </row>
    <row r="47" spans="1:18" ht="12.75">
      <c r="A47" s="2" t="s">
        <v>59</v>
      </c>
      <c r="B47" s="2" t="s">
        <v>91</v>
      </c>
      <c r="C47" t="s">
        <v>97</v>
      </c>
      <c r="D47" s="52">
        <f t="shared" si="1"/>
        <v>765627.25</v>
      </c>
      <c r="I47" s="52">
        <f>765627.25</f>
        <v>765627.25</v>
      </c>
      <c r="R47" s="8">
        <f t="shared" si="3"/>
        <v>0.0063470086521191125</v>
      </c>
    </row>
    <row r="48" spans="1:18" ht="12.75">
      <c r="A48" s="2" t="s">
        <v>59</v>
      </c>
      <c r="B48" s="2" t="s">
        <v>129</v>
      </c>
      <c r="C48" t="s">
        <v>126</v>
      </c>
      <c r="D48" s="52">
        <f t="shared" si="1"/>
        <v>1803362.85</v>
      </c>
      <c r="I48" s="52">
        <f>503362.85+1300000</f>
        <v>1803362.85</v>
      </c>
      <c r="R48" s="8">
        <f t="shared" si="3"/>
        <v>0.014949780865114429</v>
      </c>
    </row>
    <row r="49" spans="1:18" ht="12.75">
      <c r="A49" s="2" t="s">
        <v>61</v>
      </c>
      <c r="B49" s="2" t="s">
        <v>87</v>
      </c>
      <c r="C49" t="s">
        <v>98</v>
      </c>
      <c r="D49" s="52">
        <f t="shared" si="1"/>
        <v>705907.11</v>
      </c>
      <c r="K49" s="52">
        <f>176757.83+529149.28</f>
        <v>705907.11</v>
      </c>
      <c r="R49" s="8">
        <f t="shared" si="3"/>
        <v>0.005851931909114256</v>
      </c>
    </row>
    <row r="50" spans="1:18" ht="12.75">
      <c r="A50" s="2" t="s">
        <v>62</v>
      </c>
      <c r="B50" s="2" t="s">
        <v>99</v>
      </c>
      <c r="C50" t="s">
        <v>100</v>
      </c>
      <c r="D50" s="52">
        <f t="shared" si="1"/>
        <v>874460.1000000001</v>
      </c>
      <c r="L50" s="52">
        <f>6707.56+867752.54</f>
        <v>874460.1000000001</v>
      </c>
      <c r="R50" s="8">
        <f t="shared" si="3"/>
        <v>0.007249227114934774</v>
      </c>
    </row>
    <row r="51" spans="1:18" ht="12.75">
      <c r="A51" s="2" t="s">
        <v>63</v>
      </c>
      <c r="B51" s="2" t="s">
        <v>91</v>
      </c>
      <c r="C51" t="s">
        <v>101</v>
      </c>
      <c r="D51" s="52">
        <f t="shared" si="1"/>
        <v>101143.5</v>
      </c>
      <c r="M51" s="52">
        <f>86225+14918.5</f>
        <v>101143.5</v>
      </c>
      <c r="R51" s="8">
        <f t="shared" si="3"/>
        <v>0.0008384741656016155</v>
      </c>
    </row>
    <row r="52" spans="1:18" ht="12.75">
      <c r="A52" s="2" t="s">
        <v>64</v>
      </c>
      <c r="B52" s="2" t="s">
        <v>89</v>
      </c>
      <c r="C52" t="s">
        <v>102</v>
      </c>
      <c r="D52" s="52">
        <f t="shared" si="1"/>
        <v>10692089.11</v>
      </c>
      <c r="N52" s="52">
        <f>2747573.98+7944515.13</f>
        <v>10692089.11</v>
      </c>
      <c r="R52" s="8">
        <f t="shared" si="3"/>
        <v>0.08863684265469722</v>
      </c>
    </row>
    <row r="53" spans="1:18" ht="12.75">
      <c r="A53" s="2" t="s">
        <v>65</v>
      </c>
      <c r="B53" s="2" t="s">
        <v>128</v>
      </c>
      <c r="C53" t="s">
        <v>103</v>
      </c>
      <c r="D53" s="52">
        <f t="shared" si="1"/>
        <v>10178862.96</v>
      </c>
      <c r="O53" s="52">
        <f>2404948.21+2329664.01+3022791.16+2300411.67+121047.91</f>
        <v>10178862.96</v>
      </c>
      <c r="R53" s="8">
        <f t="shared" si="3"/>
        <v>0.08438222552273938</v>
      </c>
    </row>
    <row r="54" spans="1:18" ht="12.75">
      <c r="A54" s="2" t="s">
        <v>65</v>
      </c>
      <c r="B54" s="2" t="s">
        <v>87</v>
      </c>
      <c r="C54" t="s">
        <v>104</v>
      </c>
      <c r="D54" s="52">
        <f t="shared" si="1"/>
        <v>241333.83000000002</v>
      </c>
      <c r="O54" s="52">
        <f>79472.42+161861.41</f>
        <v>241333.83000000002</v>
      </c>
      <c r="R54" s="8">
        <f t="shared" si="3"/>
        <v>0.0020006444481424127</v>
      </c>
    </row>
    <row r="55" spans="1:18" ht="12.75">
      <c r="A55" s="2" t="s">
        <v>65</v>
      </c>
      <c r="B55" s="2" t="s">
        <v>105</v>
      </c>
      <c r="C55" t="s">
        <v>106</v>
      </c>
      <c r="D55" s="52">
        <f t="shared" si="1"/>
        <v>17290329.12</v>
      </c>
      <c r="O55" s="52">
        <f>6751923.04+10538406.08</f>
        <v>17290329.12</v>
      </c>
      <c r="R55" s="8">
        <f t="shared" si="3"/>
        <v>0.14333589683834666</v>
      </c>
    </row>
    <row r="56" spans="1:18" ht="12.75">
      <c r="A56" s="2" t="s">
        <v>66</v>
      </c>
      <c r="B56" s="2" t="s">
        <v>107</v>
      </c>
      <c r="C56" t="s">
        <v>108</v>
      </c>
      <c r="D56" s="52">
        <f t="shared" si="1"/>
        <v>22233898.2</v>
      </c>
      <c r="P56" s="52">
        <f>5735361.06+16498537.14</f>
        <v>22233898.2</v>
      </c>
      <c r="R56" s="8">
        <f t="shared" si="3"/>
        <v>0.1843178181624747</v>
      </c>
    </row>
    <row r="57" spans="1:18" ht="12.75">
      <c r="A57" s="2" t="s">
        <v>66</v>
      </c>
      <c r="B57" s="2" t="s">
        <v>89</v>
      </c>
      <c r="C57" t="s">
        <v>96</v>
      </c>
      <c r="D57" s="52">
        <f t="shared" si="1"/>
        <v>693759.84</v>
      </c>
      <c r="P57" s="52">
        <f>154588.09+539171.75</f>
        <v>693759.84</v>
      </c>
      <c r="R57" s="8">
        <f t="shared" si="3"/>
        <v>0.005751231695283535</v>
      </c>
    </row>
    <row r="58" spans="1:18" ht="12.75">
      <c r="A58" s="2" t="s">
        <v>66</v>
      </c>
      <c r="B58" s="2" t="s">
        <v>91</v>
      </c>
      <c r="C58" t="s">
        <v>109</v>
      </c>
      <c r="D58" s="52">
        <f t="shared" si="1"/>
        <v>1902291.47</v>
      </c>
      <c r="P58" s="52">
        <f>169072.96+1733218.51</f>
        <v>1902291.47</v>
      </c>
      <c r="R58" s="8">
        <f t="shared" si="3"/>
        <v>0.015769893794849107</v>
      </c>
    </row>
    <row r="59" spans="1:18" ht="12.75">
      <c r="A59" s="2" t="s">
        <v>66</v>
      </c>
      <c r="B59" s="2" t="s">
        <v>131</v>
      </c>
      <c r="C59" t="s">
        <v>110</v>
      </c>
      <c r="D59" s="52">
        <f t="shared" si="1"/>
        <v>13427692.74</v>
      </c>
      <c r="P59" s="52">
        <f>6985220.3+45968.4+6367206.44+29297.6</f>
        <v>13427692.74</v>
      </c>
      <c r="R59" s="8">
        <f t="shared" si="3"/>
        <v>0.11131484935884531</v>
      </c>
    </row>
    <row r="60" spans="1:19" ht="12.75">
      <c r="A60" s="2" t="s">
        <v>66</v>
      </c>
      <c r="B60" s="2" t="s">
        <v>99</v>
      </c>
      <c r="C60" t="s">
        <v>111</v>
      </c>
      <c r="D60" s="52">
        <f t="shared" si="1"/>
        <v>9701678.860000001</v>
      </c>
      <c r="P60" s="52">
        <f>430704.14+9270974.72</f>
        <v>9701678.860000001</v>
      </c>
      <c r="R60" s="8">
        <f t="shared" si="3"/>
        <v>0.08042639504341191</v>
      </c>
      <c r="S60" s="8">
        <f>SUM(R34:R60)</f>
        <v>0.8566870691309932</v>
      </c>
    </row>
    <row r="61" spans="5:18" ht="12.75"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/>
    </row>
    <row r="62" spans="2:18" s="8" customFormat="1" ht="13.5" thickBot="1">
      <c r="B62" s="70"/>
      <c r="C62" s="71" t="s">
        <v>112</v>
      </c>
      <c r="D62" s="72">
        <f>SUM(E62:Q62)</f>
        <v>1.0000000000000002</v>
      </c>
      <c r="E62" s="73">
        <f>E5/D5</f>
        <v>0.11159266791915119</v>
      </c>
      <c r="F62" s="73">
        <f>F5/D5</f>
        <v>0.042656583619788656</v>
      </c>
      <c r="G62" s="73">
        <f>G5/D5</f>
        <v>0.000834059769291592</v>
      </c>
      <c r="H62" s="73">
        <f>H5/D5</f>
        <v>0.007239229274112586</v>
      </c>
      <c r="I62" s="73">
        <f>I5/D5</f>
        <v>0.05490136849497137</v>
      </c>
      <c r="J62" s="73">
        <f>J5/D5</f>
        <v>0.0002540039491814451</v>
      </c>
      <c r="K62" s="73">
        <f>K5/D5</f>
        <v>0.008883399407047377</v>
      </c>
      <c r="L62" s="73">
        <f>L5/D5</f>
        <v>0.010318349869339433</v>
      </c>
      <c r="M62" s="73">
        <f>M5/D5</f>
        <v>0.02203015338346639</v>
      </c>
      <c r="N62" s="73">
        <f>N5/D5</f>
        <v>0.08972741582276089</v>
      </c>
      <c r="O62" s="73">
        <f>O5/D5</f>
        <v>0.23420384220509552</v>
      </c>
      <c r="P62" s="73">
        <f>P5/D5</f>
        <v>0.4106501758038014</v>
      </c>
      <c r="Q62" s="73">
        <f>Q5/D5</f>
        <v>0.006708750481992183</v>
      </c>
      <c r="R62" s="73">
        <f>SUM(R6:R61)</f>
        <v>1</v>
      </c>
    </row>
    <row r="63" spans="1:18" s="8" customFormat="1" ht="13.5" thickTop="1">
      <c r="A63" s="74"/>
      <c r="C63" s="7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</sheetData>
  <sheetProtection/>
  <printOptions/>
  <pageMargins left="0" right="0" top="0.25" bottom="0.5" header="0.5" footer="0.25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0" sqref="C50"/>
    </sheetView>
  </sheetViews>
  <sheetFormatPr defaultColWidth="8.8515625" defaultRowHeight="12.75"/>
  <cols>
    <col min="1" max="1" width="8.8515625" style="0" customWidth="1"/>
    <col min="2" max="5" width="13.7109375" style="0" customWidth="1"/>
    <col min="6" max="6" width="5.28125" style="0" customWidth="1"/>
    <col min="7" max="9" width="9.28125" style="0" bestFit="1" customWidth="1"/>
    <col min="10" max="10" width="12.28125" style="0" customWidth="1"/>
    <col min="11" max="11" width="3.851562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5" spans="2:12" ht="12.75">
      <c r="B5" s="81">
        <v>1</v>
      </c>
      <c r="G5" s="81">
        <v>0.83</v>
      </c>
      <c r="L5" s="81">
        <v>0.17</v>
      </c>
    </row>
    <row r="6" spans="2:15" ht="12.75">
      <c r="B6" s="43" t="s">
        <v>139</v>
      </c>
      <c r="C6" s="14"/>
      <c r="D6" s="15"/>
      <c r="E6" s="12"/>
      <c r="G6" s="79" t="s">
        <v>159</v>
      </c>
      <c r="H6" s="14"/>
      <c r="I6" s="15"/>
      <c r="J6" s="80"/>
      <c r="L6" s="79" t="s">
        <v>160</v>
      </c>
      <c r="M6" s="14"/>
      <c r="N6" s="15"/>
      <c r="O6" s="80"/>
    </row>
    <row r="7" spans="2:15" ht="12.75">
      <c r="B7" s="48"/>
      <c r="C7" s="8">
        <v>0</v>
      </c>
      <c r="D7" s="25">
        <v>0.0008341</v>
      </c>
      <c r="E7" s="78" t="s">
        <v>157</v>
      </c>
      <c r="G7" s="48"/>
      <c r="H7" s="8"/>
      <c r="I7" s="25">
        <f>D7*G5</f>
        <v>0.000692303</v>
      </c>
      <c r="J7" s="78" t="s">
        <v>157</v>
      </c>
      <c r="L7" s="48"/>
      <c r="M7" s="8"/>
      <c r="N7" s="25">
        <f>D7-I7</f>
        <v>0.00014179700000000004</v>
      </c>
      <c r="O7" s="78" t="s">
        <v>157</v>
      </c>
    </row>
    <row r="8" spans="2:15" ht="12.75">
      <c r="B8" s="32" t="s">
        <v>29</v>
      </c>
      <c r="C8" s="32" t="s">
        <v>30</v>
      </c>
      <c r="D8" s="32" t="s">
        <v>31</v>
      </c>
      <c r="E8" s="32" t="s">
        <v>158</v>
      </c>
      <c r="G8" s="32" t="s">
        <v>29</v>
      </c>
      <c r="H8" s="32" t="s">
        <v>30</v>
      </c>
      <c r="I8" s="32" t="s">
        <v>31</v>
      </c>
      <c r="J8" s="32" t="s">
        <v>158</v>
      </c>
      <c r="L8" s="32" t="s">
        <v>29</v>
      </c>
      <c r="M8" s="32" t="s">
        <v>30</v>
      </c>
      <c r="N8" s="32" t="s">
        <v>31</v>
      </c>
      <c r="O8" s="32" t="s">
        <v>158</v>
      </c>
    </row>
    <row r="9" spans="1:15" ht="12.75">
      <c r="A9" s="35">
        <v>40452</v>
      </c>
      <c r="B9" s="39"/>
      <c r="C9" s="39">
        <v>0</v>
      </c>
      <c r="D9" s="39">
        <v>0</v>
      </c>
      <c r="E9" s="39">
        <v>59.50552810000001</v>
      </c>
      <c r="G9" s="77"/>
      <c r="H9" s="77"/>
      <c r="I9" s="77">
        <f>SUM(G9:H9)</f>
        <v>0</v>
      </c>
      <c r="J9" s="77">
        <f>$G$5*$E9</f>
        <v>49.389588323000005</v>
      </c>
      <c r="L9" s="82"/>
      <c r="M9" s="82"/>
      <c r="N9" s="82">
        <f>SUM(L9:M9)</f>
        <v>0</v>
      </c>
      <c r="O9" s="77">
        <f>E9-J9</f>
        <v>10.115939777000001</v>
      </c>
    </row>
    <row r="10" spans="1:15" ht="12.75">
      <c r="A10" s="40">
        <v>40634</v>
      </c>
      <c r="B10" s="5">
        <v>3528.2430000000004</v>
      </c>
      <c r="C10" s="5">
        <v>1671.5530820000001</v>
      </c>
      <c r="D10" s="5">
        <v>5199.796082000001</v>
      </c>
      <c r="E10" s="38">
        <v>59.50552810000001</v>
      </c>
      <c r="G10" s="77">
        <f aca="true" t="shared" si="0" ref="G10:G48">$G$5*$B10</f>
        <v>2928.44169</v>
      </c>
      <c r="H10" s="77">
        <f aca="true" t="shared" si="1" ref="H10:H48">$G$5*$C10</f>
        <v>1387.38905806</v>
      </c>
      <c r="I10" s="77">
        <f aca="true" t="shared" si="2" ref="I10:I48">SUM(G10:H10)</f>
        <v>4315.83074806</v>
      </c>
      <c r="J10" s="77">
        <f aca="true" t="shared" si="3" ref="J10:J48">$G$5*$E10</f>
        <v>49.389588323000005</v>
      </c>
      <c r="L10" s="82">
        <f aca="true" t="shared" si="4" ref="L10:L48">B10-G10</f>
        <v>599.8013100000003</v>
      </c>
      <c r="M10" s="82">
        <f aca="true" t="shared" si="5" ref="M10:M48">C10-H10</f>
        <v>284.1640239400001</v>
      </c>
      <c r="N10" s="82">
        <f aca="true" t="shared" si="6" ref="N10:N48">SUM(L10:M10)</f>
        <v>883.9653339400004</v>
      </c>
      <c r="O10" s="77">
        <f aca="true" t="shared" si="7" ref="O10:O47">E10-J10</f>
        <v>10.115939777000001</v>
      </c>
    </row>
    <row r="11" spans="1:15" ht="12.75">
      <c r="A11" s="40">
        <v>40817</v>
      </c>
      <c r="B11" s="5"/>
      <c r="C11" s="5">
        <v>1618.629437</v>
      </c>
      <c r="D11" s="5">
        <v>1618.629437</v>
      </c>
      <c r="E11" s="38">
        <v>59.50552810000001</v>
      </c>
      <c r="G11" s="77"/>
      <c r="H11" s="77">
        <f t="shared" si="1"/>
        <v>1343.46243271</v>
      </c>
      <c r="I11" s="77">
        <f t="shared" si="2"/>
        <v>1343.46243271</v>
      </c>
      <c r="J11" s="77">
        <f t="shared" si="3"/>
        <v>49.389588323000005</v>
      </c>
      <c r="L11" s="82"/>
      <c r="M11" s="82">
        <f t="shared" si="5"/>
        <v>275.16700429</v>
      </c>
      <c r="N11" s="82">
        <f t="shared" si="6"/>
        <v>275.16700429</v>
      </c>
      <c r="O11" s="77">
        <f t="shared" si="7"/>
        <v>10.115939777000001</v>
      </c>
    </row>
    <row r="12" spans="1:15" ht="12.75">
      <c r="A12" s="40">
        <v>41000</v>
      </c>
      <c r="B12" s="5">
        <v>3707.5745</v>
      </c>
      <c r="C12" s="5">
        <v>1618.629437</v>
      </c>
      <c r="D12" s="5">
        <v>5326.203937</v>
      </c>
      <c r="E12" s="38">
        <v>59.50552810000001</v>
      </c>
      <c r="G12" s="77">
        <f t="shared" si="0"/>
        <v>3077.286835</v>
      </c>
      <c r="H12" s="77">
        <f t="shared" si="1"/>
        <v>1343.46243271</v>
      </c>
      <c r="I12" s="77">
        <f t="shared" si="2"/>
        <v>4420.74926771</v>
      </c>
      <c r="J12" s="77">
        <f t="shared" si="3"/>
        <v>49.389588323000005</v>
      </c>
      <c r="L12" s="82">
        <f t="shared" si="4"/>
        <v>630.2876650000003</v>
      </c>
      <c r="M12" s="82">
        <f t="shared" si="5"/>
        <v>275.16700429</v>
      </c>
      <c r="N12" s="82">
        <f t="shared" si="6"/>
        <v>905.4546692900003</v>
      </c>
      <c r="O12" s="77">
        <f t="shared" si="7"/>
        <v>10.115939777000001</v>
      </c>
    </row>
    <row r="13" spans="1:15" ht="12.75">
      <c r="A13" s="40">
        <v>41183</v>
      </c>
      <c r="B13" s="5"/>
      <c r="C13" s="5">
        <v>1563.0158195000001</v>
      </c>
      <c r="D13" s="5">
        <v>1563.0158195000001</v>
      </c>
      <c r="E13" s="38">
        <v>59.50552810000001</v>
      </c>
      <c r="G13" s="77"/>
      <c r="H13" s="77">
        <f t="shared" si="1"/>
        <v>1297.303130185</v>
      </c>
      <c r="I13" s="77">
        <f t="shared" si="2"/>
        <v>1297.303130185</v>
      </c>
      <c r="J13" s="77">
        <f t="shared" si="3"/>
        <v>49.389588323000005</v>
      </c>
      <c r="L13" s="82"/>
      <c r="M13" s="82">
        <f t="shared" si="5"/>
        <v>265.71268931500003</v>
      </c>
      <c r="N13" s="82">
        <f t="shared" si="6"/>
        <v>265.71268931500003</v>
      </c>
      <c r="O13" s="77">
        <f t="shared" si="7"/>
        <v>10.115939777000001</v>
      </c>
    </row>
    <row r="14" spans="1:15" ht="12.75">
      <c r="A14" s="40">
        <v>41365</v>
      </c>
      <c r="B14" s="5">
        <v>3816.0075</v>
      </c>
      <c r="C14" s="5">
        <v>1563.0158195000001</v>
      </c>
      <c r="D14" s="5">
        <v>5379.0233195</v>
      </c>
      <c r="E14" s="38">
        <v>59.50552810000001</v>
      </c>
      <c r="G14" s="77">
        <f t="shared" si="0"/>
        <v>3167.286225</v>
      </c>
      <c r="H14" s="77">
        <f t="shared" si="1"/>
        <v>1297.303130185</v>
      </c>
      <c r="I14" s="77">
        <f t="shared" si="2"/>
        <v>4464.589355185</v>
      </c>
      <c r="J14" s="77">
        <f t="shared" si="3"/>
        <v>49.389588323000005</v>
      </c>
      <c r="L14" s="82">
        <f t="shared" si="4"/>
        <v>648.7212750000003</v>
      </c>
      <c r="M14" s="82">
        <f t="shared" si="5"/>
        <v>265.71268931500003</v>
      </c>
      <c r="N14" s="82">
        <f t="shared" si="6"/>
        <v>914.4339643150004</v>
      </c>
      <c r="O14" s="77">
        <f t="shared" si="7"/>
        <v>10.115939777000001</v>
      </c>
    </row>
    <row r="15" spans="1:15" ht="12.75">
      <c r="A15" s="40">
        <v>41548</v>
      </c>
      <c r="B15" s="5"/>
      <c r="C15" s="5">
        <v>1515.3153087</v>
      </c>
      <c r="D15" s="5">
        <v>1515.3153087</v>
      </c>
      <c r="E15" s="38">
        <v>59.50552810000001</v>
      </c>
      <c r="G15" s="77"/>
      <c r="H15" s="77">
        <f t="shared" si="1"/>
        <v>1257.711706221</v>
      </c>
      <c r="I15" s="77">
        <f t="shared" si="2"/>
        <v>1257.711706221</v>
      </c>
      <c r="J15" s="77">
        <f t="shared" si="3"/>
        <v>49.389588323000005</v>
      </c>
      <c r="L15" s="82"/>
      <c r="M15" s="82">
        <f t="shared" si="5"/>
        <v>257.6036024790001</v>
      </c>
      <c r="N15" s="82">
        <f t="shared" si="6"/>
        <v>257.6036024790001</v>
      </c>
      <c r="O15" s="77">
        <f t="shared" si="7"/>
        <v>10.115939777000001</v>
      </c>
    </row>
    <row r="16" spans="1:15" ht="12.75">
      <c r="A16" s="40">
        <v>41730</v>
      </c>
      <c r="B16" s="5">
        <v>3911.929</v>
      </c>
      <c r="C16" s="5">
        <v>1515.3153087</v>
      </c>
      <c r="D16" s="5">
        <v>5427.2443087</v>
      </c>
      <c r="E16" s="38">
        <v>59.50552810000001</v>
      </c>
      <c r="G16" s="77">
        <f t="shared" si="0"/>
        <v>3246.90107</v>
      </c>
      <c r="H16" s="77">
        <f t="shared" si="1"/>
        <v>1257.711706221</v>
      </c>
      <c r="I16" s="77">
        <f t="shared" si="2"/>
        <v>4504.612776221</v>
      </c>
      <c r="J16" s="77">
        <f t="shared" si="3"/>
        <v>49.389588323000005</v>
      </c>
      <c r="L16" s="82">
        <f t="shared" si="4"/>
        <v>665.0279300000002</v>
      </c>
      <c r="M16" s="82">
        <f t="shared" si="5"/>
        <v>257.6036024790001</v>
      </c>
      <c r="N16" s="82">
        <f t="shared" si="6"/>
        <v>922.6315324790003</v>
      </c>
      <c r="O16" s="77">
        <f t="shared" si="7"/>
        <v>10.115939777000001</v>
      </c>
    </row>
    <row r="17" spans="1:15" ht="12.75">
      <c r="A17" s="40">
        <v>41913</v>
      </c>
      <c r="B17" s="5"/>
      <c r="C17" s="5">
        <v>1437.0767287</v>
      </c>
      <c r="D17" s="5">
        <v>1437.0767287</v>
      </c>
      <c r="E17" s="38">
        <v>59.50552810000001</v>
      </c>
      <c r="G17" s="77"/>
      <c r="H17" s="77">
        <f t="shared" si="1"/>
        <v>1192.773684821</v>
      </c>
      <c r="I17" s="77">
        <f t="shared" si="2"/>
        <v>1192.773684821</v>
      </c>
      <c r="J17" s="77">
        <f t="shared" si="3"/>
        <v>49.389588323000005</v>
      </c>
      <c r="L17" s="82"/>
      <c r="M17" s="82">
        <f t="shared" si="5"/>
        <v>244.30304387900014</v>
      </c>
      <c r="N17" s="82">
        <f t="shared" si="6"/>
        <v>244.30304387900014</v>
      </c>
      <c r="O17" s="77">
        <f t="shared" si="7"/>
        <v>10.115939777000001</v>
      </c>
    </row>
    <row r="18" spans="1:15" ht="12.75">
      <c r="A18" s="40">
        <v>42095</v>
      </c>
      <c r="B18" s="5">
        <v>4070.4080000000004</v>
      </c>
      <c r="C18" s="5">
        <v>1437.0767287</v>
      </c>
      <c r="D18" s="5">
        <v>5507.4847287</v>
      </c>
      <c r="E18" s="38">
        <v>59.50552810000001</v>
      </c>
      <c r="G18" s="77">
        <f t="shared" si="0"/>
        <v>3378.4386400000003</v>
      </c>
      <c r="H18" s="77">
        <f t="shared" si="1"/>
        <v>1192.773684821</v>
      </c>
      <c r="I18" s="77">
        <f t="shared" si="2"/>
        <v>4571.212324821</v>
      </c>
      <c r="J18" s="77">
        <f t="shared" si="3"/>
        <v>49.389588323000005</v>
      </c>
      <c r="L18" s="82">
        <f t="shared" si="4"/>
        <v>691.96936</v>
      </c>
      <c r="M18" s="82">
        <f t="shared" si="5"/>
        <v>244.30304387900014</v>
      </c>
      <c r="N18" s="82">
        <f t="shared" si="6"/>
        <v>936.2724038790002</v>
      </c>
      <c r="O18" s="77">
        <f t="shared" si="7"/>
        <v>10.115939777000001</v>
      </c>
    </row>
    <row r="19" spans="1:15" ht="12.75">
      <c r="A19" s="40">
        <v>42278</v>
      </c>
      <c r="B19" s="5"/>
      <c r="C19" s="5">
        <v>1355.6685687000002</v>
      </c>
      <c r="D19" s="5">
        <v>1355.6685687000002</v>
      </c>
      <c r="E19" s="38">
        <v>59.50552810000001</v>
      </c>
      <c r="G19" s="77"/>
      <c r="H19" s="77">
        <f t="shared" si="1"/>
        <v>1125.2049120210002</v>
      </c>
      <c r="I19" s="77">
        <f t="shared" si="2"/>
        <v>1125.2049120210002</v>
      </c>
      <c r="J19" s="77">
        <f t="shared" si="3"/>
        <v>49.389588323000005</v>
      </c>
      <c r="L19" s="82"/>
      <c r="M19" s="82">
        <f t="shared" si="5"/>
        <v>230.463656679</v>
      </c>
      <c r="N19" s="82">
        <f t="shared" si="6"/>
        <v>230.463656679</v>
      </c>
      <c r="O19" s="77">
        <f t="shared" si="7"/>
        <v>10.115939777000001</v>
      </c>
    </row>
    <row r="20" spans="1:15" ht="12.75">
      <c r="A20" s="40">
        <v>42461</v>
      </c>
      <c r="B20" s="5">
        <v>4233.0575</v>
      </c>
      <c r="C20" s="5">
        <v>1355.6685687000002</v>
      </c>
      <c r="D20" s="5">
        <v>5588.7260687</v>
      </c>
      <c r="E20" s="38">
        <v>59.50552810000001</v>
      </c>
      <c r="G20" s="77">
        <f t="shared" si="0"/>
        <v>3513.437725</v>
      </c>
      <c r="H20" s="77">
        <f t="shared" si="1"/>
        <v>1125.2049120210002</v>
      </c>
      <c r="I20" s="77">
        <f t="shared" si="2"/>
        <v>4638.642637021</v>
      </c>
      <c r="J20" s="77">
        <f t="shared" si="3"/>
        <v>49.389588323000005</v>
      </c>
      <c r="L20" s="82">
        <f t="shared" si="4"/>
        <v>719.6197750000001</v>
      </c>
      <c r="M20" s="82">
        <f t="shared" si="5"/>
        <v>230.463656679</v>
      </c>
      <c r="N20" s="82">
        <f t="shared" si="6"/>
        <v>950.0834316790001</v>
      </c>
      <c r="O20" s="77">
        <f t="shared" si="7"/>
        <v>10.115939777000001</v>
      </c>
    </row>
    <row r="21" spans="1:15" ht="12.75">
      <c r="A21" s="40">
        <v>42644</v>
      </c>
      <c r="B21" s="5"/>
      <c r="C21" s="5">
        <v>1271.0074187</v>
      </c>
      <c r="D21" s="5">
        <v>1271.0074187</v>
      </c>
      <c r="E21" s="38">
        <v>59.50552810000001</v>
      </c>
      <c r="G21" s="77"/>
      <c r="H21" s="77">
        <f t="shared" si="1"/>
        <v>1054.936157521</v>
      </c>
      <c r="I21" s="77">
        <f t="shared" si="2"/>
        <v>1054.936157521</v>
      </c>
      <c r="J21" s="77">
        <f t="shared" si="3"/>
        <v>49.389588323000005</v>
      </c>
      <c r="L21" s="82"/>
      <c r="M21" s="82">
        <f t="shared" si="5"/>
        <v>216.07126117899998</v>
      </c>
      <c r="N21" s="82">
        <f t="shared" si="6"/>
        <v>216.07126117899998</v>
      </c>
      <c r="O21" s="77">
        <f t="shared" si="7"/>
        <v>10.115939777000001</v>
      </c>
    </row>
    <row r="22" spans="1:15" ht="12.75">
      <c r="A22" s="40">
        <v>42826</v>
      </c>
      <c r="B22" s="5">
        <v>4399.8775000000005</v>
      </c>
      <c r="C22" s="5">
        <v>1271.0074187</v>
      </c>
      <c r="D22" s="5">
        <v>5670.8849187000005</v>
      </c>
      <c r="E22" s="38">
        <v>59.50552810000001</v>
      </c>
      <c r="G22" s="77">
        <f t="shared" si="0"/>
        <v>3651.898325</v>
      </c>
      <c r="H22" s="77">
        <f t="shared" si="1"/>
        <v>1054.936157521</v>
      </c>
      <c r="I22" s="77">
        <f t="shared" si="2"/>
        <v>4706.834482521001</v>
      </c>
      <c r="J22" s="77">
        <f t="shared" si="3"/>
        <v>49.389588323000005</v>
      </c>
      <c r="L22" s="82">
        <f t="shared" si="4"/>
        <v>747.9791750000004</v>
      </c>
      <c r="M22" s="82">
        <f t="shared" si="5"/>
        <v>216.07126117899998</v>
      </c>
      <c r="N22" s="82">
        <f t="shared" si="6"/>
        <v>964.0504361790004</v>
      </c>
      <c r="O22" s="77">
        <f t="shared" si="7"/>
        <v>10.115939777000001</v>
      </c>
    </row>
    <row r="23" spans="1:15" ht="12.75">
      <c r="A23" s="40">
        <v>43009</v>
      </c>
      <c r="B23" s="5"/>
      <c r="C23" s="5">
        <v>1183.0098687</v>
      </c>
      <c r="D23" s="5">
        <v>1183.0098687</v>
      </c>
      <c r="E23" s="38">
        <v>59.50552810000001</v>
      </c>
      <c r="G23" s="77"/>
      <c r="H23" s="77">
        <f t="shared" si="1"/>
        <v>981.8981910209999</v>
      </c>
      <c r="I23" s="77">
        <f t="shared" si="2"/>
        <v>981.8981910209999</v>
      </c>
      <c r="J23" s="77">
        <f t="shared" si="3"/>
        <v>49.389588323000005</v>
      </c>
      <c r="L23" s="82"/>
      <c r="M23" s="82">
        <f t="shared" si="5"/>
        <v>201.11167767900008</v>
      </c>
      <c r="N23" s="82">
        <f t="shared" si="6"/>
        <v>201.11167767900008</v>
      </c>
      <c r="O23" s="77">
        <f t="shared" si="7"/>
        <v>10.115939777000001</v>
      </c>
    </row>
    <row r="24" spans="1:15" ht="12.75">
      <c r="A24" s="40">
        <v>43191</v>
      </c>
      <c r="B24" s="5">
        <v>4575.038500000001</v>
      </c>
      <c r="C24" s="5">
        <v>1183.0098687</v>
      </c>
      <c r="D24" s="5">
        <v>5758.0483687000005</v>
      </c>
      <c r="E24" s="38">
        <v>59.50552810000001</v>
      </c>
      <c r="G24" s="77">
        <f t="shared" si="0"/>
        <v>3797.2819550000004</v>
      </c>
      <c r="H24" s="77">
        <f t="shared" si="1"/>
        <v>981.8981910209999</v>
      </c>
      <c r="I24" s="77">
        <f t="shared" si="2"/>
        <v>4779.180146021</v>
      </c>
      <c r="J24" s="77">
        <f t="shared" si="3"/>
        <v>49.389588323000005</v>
      </c>
      <c r="L24" s="82">
        <f t="shared" si="4"/>
        <v>777.7565450000002</v>
      </c>
      <c r="M24" s="82">
        <f t="shared" si="5"/>
        <v>201.11167767900008</v>
      </c>
      <c r="N24" s="82">
        <f t="shared" si="6"/>
        <v>978.8682226790003</v>
      </c>
      <c r="O24" s="77">
        <f t="shared" si="7"/>
        <v>10.115939777000001</v>
      </c>
    </row>
    <row r="25" spans="1:15" ht="12.75">
      <c r="A25" s="40">
        <v>43374</v>
      </c>
      <c r="B25" s="5"/>
      <c r="C25" s="5">
        <v>1091.5090987</v>
      </c>
      <c r="D25" s="5">
        <v>1091.5090987</v>
      </c>
      <c r="E25" s="38">
        <v>59.50552810000001</v>
      </c>
      <c r="G25" s="77"/>
      <c r="H25" s="77">
        <f t="shared" si="1"/>
        <v>905.952551921</v>
      </c>
      <c r="I25" s="77">
        <f t="shared" si="2"/>
        <v>905.952551921</v>
      </c>
      <c r="J25" s="77">
        <f t="shared" si="3"/>
        <v>49.389588323000005</v>
      </c>
      <c r="L25" s="82"/>
      <c r="M25" s="82">
        <f t="shared" si="5"/>
        <v>185.5565467790001</v>
      </c>
      <c r="N25" s="82">
        <f t="shared" si="6"/>
        <v>185.5565467790001</v>
      </c>
      <c r="O25" s="77">
        <f t="shared" si="7"/>
        <v>10.115939777000001</v>
      </c>
    </row>
    <row r="26" spans="1:15" ht="12.75">
      <c r="A26" s="40">
        <v>43556</v>
      </c>
      <c r="B26" s="5">
        <v>4758.5405</v>
      </c>
      <c r="C26" s="5">
        <v>1091.5090987</v>
      </c>
      <c r="D26" s="5">
        <v>5850.0495987</v>
      </c>
      <c r="E26" s="38">
        <v>59.50552810000001</v>
      </c>
      <c r="G26" s="77">
        <f t="shared" si="0"/>
        <v>3949.5886149999997</v>
      </c>
      <c r="H26" s="77">
        <f t="shared" si="1"/>
        <v>905.952551921</v>
      </c>
      <c r="I26" s="77">
        <f t="shared" si="2"/>
        <v>4855.541166921</v>
      </c>
      <c r="J26" s="77">
        <f t="shared" si="3"/>
        <v>49.389588323000005</v>
      </c>
      <c r="L26" s="82">
        <f t="shared" si="4"/>
        <v>808.9518850000004</v>
      </c>
      <c r="M26" s="82">
        <f t="shared" si="5"/>
        <v>185.5565467790001</v>
      </c>
      <c r="N26" s="82">
        <f t="shared" si="6"/>
        <v>994.5084317790005</v>
      </c>
      <c r="O26" s="77">
        <f t="shared" si="7"/>
        <v>10.115939777000001</v>
      </c>
    </row>
    <row r="27" spans="1:15" ht="12.75">
      <c r="A27" s="40">
        <v>43739</v>
      </c>
      <c r="B27" s="5"/>
      <c r="C27" s="5">
        <v>1024.2355973</v>
      </c>
      <c r="D27" s="5">
        <v>1024.2355973</v>
      </c>
      <c r="E27" s="38">
        <v>59.50552810000001</v>
      </c>
      <c r="G27" s="77"/>
      <c r="H27" s="77">
        <f t="shared" si="1"/>
        <v>850.115545759</v>
      </c>
      <c r="I27" s="77">
        <f t="shared" si="2"/>
        <v>850.115545759</v>
      </c>
      <c r="J27" s="77">
        <f t="shared" si="3"/>
        <v>49.389588323000005</v>
      </c>
      <c r="L27" s="82"/>
      <c r="M27" s="82">
        <f t="shared" si="5"/>
        <v>174.12005154100007</v>
      </c>
      <c r="N27" s="82">
        <f t="shared" si="6"/>
        <v>174.12005154100007</v>
      </c>
      <c r="O27" s="77">
        <f t="shared" si="7"/>
        <v>10.115939777000001</v>
      </c>
    </row>
    <row r="28" spans="1:15" ht="12.75">
      <c r="A28" s="40">
        <v>43922</v>
      </c>
      <c r="B28" s="5">
        <v>4896.167</v>
      </c>
      <c r="C28" s="5">
        <v>1024.2355973</v>
      </c>
      <c r="D28" s="5">
        <v>5920.402597300001</v>
      </c>
      <c r="E28" s="38">
        <v>59.50552810000001</v>
      </c>
      <c r="G28" s="77">
        <f t="shared" si="0"/>
        <v>4063.8186100000003</v>
      </c>
      <c r="H28" s="77">
        <f t="shared" si="1"/>
        <v>850.115545759</v>
      </c>
      <c r="I28" s="77">
        <f t="shared" si="2"/>
        <v>4913.9341557590005</v>
      </c>
      <c r="J28" s="77">
        <f t="shared" si="3"/>
        <v>49.389588323000005</v>
      </c>
      <c r="L28" s="82">
        <f t="shared" si="4"/>
        <v>832.3483900000001</v>
      </c>
      <c r="M28" s="82">
        <f t="shared" si="5"/>
        <v>174.12005154100007</v>
      </c>
      <c r="N28" s="82">
        <f t="shared" si="6"/>
        <v>1006.4684415410002</v>
      </c>
      <c r="O28" s="77">
        <f t="shared" si="7"/>
        <v>10.115939777000001</v>
      </c>
    </row>
    <row r="29" spans="1:15" ht="12.75">
      <c r="A29" s="40">
        <v>44105</v>
      </c>
      <c r="B29" s="5"/>
      <c r="C29" s="5">
        <v>952.6289464</v>
      </c>
      <c r="D29" s="5">
        <v>952.6289464</v>
      </c>
      <c r="E29" s="38">
        <v>59.50552810000001</v>
      </c>
      <c r="G29" s="77"/>
      <c r="H29" s="77">
        <f t="shared" si="1"/>
        <v>790.682025512</v>
      </c>
      <c r="I29" s="77">
        <f t="shared" si="2"/>
        <v>790.682025512</v>
      </c>
      <c r="J29" s="77">
        <f t="shared" si="3"/>
        <v>49.389588323000005</v>
      </c>
      <c r="L29" s="82"/>
      <c r="M29" s="82">
        <f t="shared" si="5"/>
        <v>161.94692088800002</v>
      </c>
      <c r="N29" s="82">
        <f t="shared" si="6"/>
        <v>161.94692088800002</v>
      </c>
      <c r="O29" s="77">
        <f t="shared" si="7"/>
        <v>10.115939777000001</v>
      </c>
    </row>
    <row r="30" spans="1:15" ht="12.75">
      <c r="A30" s="40">
        <v>44287</v>
      </c>
      <c r="B30" s="5">
        <v>5037.964</v>
      </c>
      <c r="C30" s="5">
        <v>952.6289464</v>
      </c>
      <c r="D30" s="5">
        <v>5990.5929464</v>
      </c>
      <c r="E30" s="38">
        <v>59.50552810000001</v>
      </c>
      <c r="G30" s="77">
        <f t="shared" si="0"/>
        <v>4181.51012</v>
      </c>
      <c r="H30" s="77">
        <f t="shared" si="1"/>
        <v>790.682025512</v>
      </c>
      <c r="I30" s="77">
        <f t="shared" si="2"/>
        <v>4972.192145512</v>
      </c>
      <c r="J30" s="77">
        <f t="shared" si="3"/>
        <v>49.389588323000005</v>
      </c>
      <c r="L30" s="82">
        <f t="shared" si="4"/>
        <v>856.45388</v>
      </c>
      <c r="M30" s="82">
        <f t="shared" si="5"/>
        <v>161.94692088800002</v>
      </c>
      <c r="N30" s="82">
        <f t="shared" si="6"/>
        <v>1018.400800888</v>
      </c>
      <c r="O30" s="77">
        <f t="shared" si="7"/>
        <v>10.115939777000001</v>
      </c>
    </row>
    <row r="31" spans="1:15" ht="12.75">
      <c r="A31" s="40">
        <v>44470</v>
      </c>
      <c r="B31" s="5"/>
      <c r="C31" s="5">
        <v>878.9487229</v>
      </c>
      <c r="D31" s="5">
        <v>878.9487229</v>
      </c>
      <c r="E31" s="38">
        <v>59.50552810000001</v>
      </c>
      <c r="G31" s="77"/>
      <c r="H31" s="77">
        <f t="shared" si="1"/>
        <v>729.527440007</v>
      </c>
      <c r="I31" s="77">
        <f t="shared" si="2"/>
        <v>729.527440007</v>
      </c>
      <c r="J31" s="77">
        <f t="shared" si="3"/>
        <v>49.389588323000005</v>
      </c>
      <c r="L31" s="82"/>
      <c r="M31" s="82">
        <f t="shared" si="5"/>
        <v>149.421282893</v>
      </c>
      <c r="N31" s="82">
        <f t="shared" si="6"/>
        <v>149.421282893</v>
      </c>
      <c r="O31" s="77">
        <f t="shared" si="7"/>
        <v>10.115939777000001</v>
      </c>
    </row>
    <row r="32" spans="1:15" ht="12.75">
      <c r="A32" s="40">
        <v>44652</v>
      </c>
      <c r="B32" s="5">
        <v>5183.931500000001</v>
      </c>
      <c r="C32" s="5">
        <v>878.9487229</v>
      </c>
      <c r="D32" s="5">
        <v>6062.8802229</v>
      </c>
      <c r="E32" s="38">
        <v>59.50552810000001</v>
      </c>
      <c r="G32" s="77">
        <f t="shared" si="0"/>
        <v>4302.663145</v>
      </c>
      <c r="H32" s="77">
        <f t="shared" si="1"/>
        <v>729.527440007</v>
      </c>
      <c r="I32" s="77">
        <f t="shared" si="2"/>
        <v>5032.190585007001</v>
      </c>
      <c r="J32" s="77">
        <f t="shared" si="3"/>
        <v>49.389588323000005</v>
      </c>
      <c r="L32" s="82">
        <f t="shared" si="4"/>
        <v>881.2683550000002</v>
      </c>
      <c r="M32" s="82">
        <f t="shared" si="5"/>
        <v>149.421282893</v>
      </c>
      <c r="N32" s="82">
        <f t="shared" si="6"/>
        <v>1030.689637893</v>
      </c>
      <c r="O32" s="77">
        <f t="shared" si="7"/>
        <v>10.115939777000001</v>
      </c>
    </row>
    <row r="33" spans="1:15" ht="12.75">
      <c r="A33" s="40">
        <v>44835</v>
      </c>
      <c r="B33" s="5"/>
      <c r="C33" s="5">
        <v>798.0793915</v>
      </c>
      <c r="D33" s="5">
        <v>798.0793915</v>
      </c>
      <c r="E33" s="38">
        <v>59.50552810000001</v>
      </c>
      <c r="G33" s="77"/>
      <c r="H33" s="77">
        <f t="shared" si="1"/>
        <v>662.405894945</v>
      </c>
      <c r="I33" s="77">
        <f t="shared" si="2"/>
        <v>662.405894945</v>
      </c>
      <c r="J33" s="77">
        <f t="shared" si="3"/>
        <v>49.389588323000005</v>
      </c>
      <c r="L33" s="82"/>
      <c r="M33" s="82">
        <f t="shared" si="5"/>
        <v>135.67349655500004</v>
      </c>
      <c r="N33" s="82">
        <f t="shared" si="6"/>
        <v>135.67349655500004</v>
      </c>
      <c r="O33" s="77">
        <f t="shared" si="7"/>
        <v>10.115939777000001</v>
      </c>
    </row>
    <row r="34" spans="1:15" ht="12.75">
      <c r="A34" s="40">
        <v>45017</v>
      </c>
      <c r="B34" s="5">
        <v>5346.581</v>
      </c>
      <c r="C34" s="5">
        <v>798.0793915</v>
      </c>
      <c r="D34" s="5">
        <v>6144.6603915000005</v>
      </c>
      <c r="E34" s="38">
        <v>59.50552810000001</v>
      </c>
      <c r="G34" s="77">
        <f t="shared" si="0"/>
        <v>4437.66223</v>
      </c>
      <c r="H34" s="77">
        <f t="shared" si="1"/>
        <v>662.405894945</v>
      </c>
      <c r="I34" s="77">
        <f t="shared" si="2"/>
        <v>5100.068124945</v>
      </c>
      <c r="J34" s="77">
        <f t="shared" si="3"/>
        <v>49.389588323000005</v>
      </c>
      <c r="L34" s="82">
        <f t="shared" si="4"/>
        <v>908.9187700000002</v>
      </c>
      <c r="M34" s="82">
        <f t="shared" si="5"/>
        <v>135.67349655500004</v>
      </c>
      <c r="N34" s="82">
        <f t="shared" si="6"/>
        <v>1044.5922665550002</v>
      </c>
      <c r="O34" s="77">
        <f t="shared" si="7"/>
        <v>10.115939777000001</v>
      </c>
    </row>
    <row r="35" spans="1:15" ht="12.75">
      <c r="A35" s="40">
        <v>45200</v>
      </c>
      <c r="B35" s="5"/>
      <c r="C35" s="5">
        <v>713.8035957000001</v>
      </c>
      <c r="D35" s="5">
        <v>713.8035957000001</v>
      </c>
      <c r="E35" s="38">
        <v>59.50552810000001</v>
      </c>
      <c r="G35" s="77"/>
      <c r="H35" s="77">
        <f t="shared" si="1"/>
        <v>592.456984431</v>
      </c>
      <c r="I35" s="77">
        <f t="shared" si="2"/>
        <v>592.456984431</v>
      </c>
      <c r="J35" s="77">
        <f t="shared" si="3"/>
        <v>49.389588323000005</v>
      </c>
      <c r="L35" s="82"/>
      <c r="M35" s="82">
        <f t="shared" si="5"/>
        <v>121.34661126900005</v>
      </c>
      <c r="N35" s="82">
        <f t="shared" si="6"/>
        <v>121.34661126900005</v>
      </c>
      <c r="O35" s="77">
        <f t="shared" si="7"/>
        <v>10.115939777000001</v>
      </c>
    </row>
    <row r="36" spans="1:15" ht="12.75">
      <c r="A36" s="40">
        <v>45383</v>
      </c>
      <c r="B36" s="5">
        <v>5517.5715</v>
      </c>
      <c r="C36" s="5">
        <v>713.8035957000001</v>
      </c>
      <c r="D36" s="5">
        <v>6231.3750957</v>
      </c>
      <c r="E36" s="38">
        <v>59.50552810000001</v>
      </c>
      <c r="G36" s="77">
        <f t="shared" si="0"/>
        <v>4579.584345</v>
      </c>
      <c r="H36" s="77">
        <f t="shared" si="1"/>
        <v>592.456984431</v>
      </c>
      <c r="I36" s="77">
        <f t="shared" si="2"/>
        <v>5172.041329431</v>
      </c>
      <c r="J36" s="77">
        <f t="shared" si="3"/>
        <v>49.389588323000005</v>
      </c>
      <c r="L36" s="82">
        <f t="shared" si="4"/>
        <v>937.9871549999998</v>
      </c>
      <c r="M36" s="82">
        <f t="shared" si="5"/>
        <v>121.34661126900005</v>
      </c>
      <c r="N36" s="82">
        <f t="shared" si="6"/>
        <v>1059.3337662689999</v>
      </c>
      <c r="O36" s="77">
        <f t="shared" si="7"/>
        <v>10.115939777000001</v>
      </c>
    </row>
    <row r="37" spans="1:15" ht="12.75">
      <c r="A37" s="40">
        <v>45566</v>
      </c>
      <c r="B37" s="5"/>
      <c r="C37" s="5">
        <v>625.0395078</v>
      </c>
      <c r="D37" s="5">
        <v>625.0395078</v>
      </c>
      <c r="E37" s="38">
        <v>59.50552810000001</v>
      </c>
      <c r="G37" s="77"/>
      <c r="H37" s="77">
        <f t="shared" si="1"/>
        <v>518.782791474</v>
      </c>
      <c r="I37" s="77">
        <f t="shared" si="2"/>
        <v>518.782791474</v>
      </c>
      <c r="J37" s="77">
        <f t="shared" si="3"/>
        <v>49.389588323000005</v>
      </c>
      <c r="L37" s="82"/>
      <c r="M37" s="82">
        <f t="shared" si="5"/>
        <v>106.25671632600006</v>
      </c>
      <c r="N37" s="82">
        <f t="shared" si="6"/>
        <v>106.25671632600006</v>
      </c>
      <c r="O37" s="77">
        <f t="shared" si="7"/>
        <v>10.115939777000001</v>
      </c>
    </row>
    <row r="38" spans="1:15" ht="12.75">
      <c r="A38" s="40">
        <v>45748</v>
      </c>
      <c r="B38" s="5">
        <v>5692.7325</v>
      </c>
      <c r="C38" s="5">
        <v>625.0395078</v>
      </c>
      <c r="D38" s="5">
        <v>6317.7720078</v>
      </c>
      <c r="E38" s="38">
        <v>59.50552810000001</v>
      </c>
      <c r="G38" s="77">
        <f t="shared" si="0"/>
        <v>4724.967975</v>
      </c>
      <c r="H38" s="77">
        <f t="shared" si="1"/>
        <v>518.782791474</v>
      </c>
      <c r="I38" s="77">
        <f t="shared" si="2"/>
        <v>5243.750766474</v>
      </c>
      <c r="J38" s="77">
        <f t="shared" si="3"/>
        <v>49.389588323000005</v>
      </c>
      <c r="L38" s="82">
        <f t="shared" si="4"/>
        <v>967.7645250000005</v>
      </c>
      <c r="M38" s="82">
        <f t="shared" si="5"/>
        <v>106.25671632600006</v>
      </c>
      <c r="N38" s="82">
        <f t="shared" si="6"/>
        <v>1074.0212413260006</v>
      </c>
      <c r="O38" s="77">
        <f t="shared" si="7"/>
        <v>10.115939777000001</v>
      </c>
    </row>
    <row r="39" spans="1:15" ht="12.75">
      <c r="A39" s="40">
        <v>45931</v>
      </c>
      <c r="B39" s="5"/>
      <c r="C39" s="5">
        <v>531.6077963</v>
      </c>
      <c r="D39" s="5">
        <v>531.6077963</v>
      </c>
      <c r="E39" s="38">
        <v>59.50552810000001</v>
      </c>
      <c r="G39" s="77"/>
      <c r="H39" s="77">
        <f t="shared" si="1"/>
        <v>441.234470929</v>
      </c>
      <c r="I39" s="77">
        <f t="shared" si="2"/>
        <v>441.234470929</v>
      </c>
      <c r="J39" s="77">
        <f t="shared" si="3"/>
        <v>49.389588323000005</v>
      </c>
      <c r="L39" s="82"/>
      <c r="M39" s="82">
        <f t="shared" si="5"/>
        <v>90.37332537100002</v>
      </c>
      <c r="N39" s="82">
        <f t="shared" si="6"/>
        <v>90.37332537100002</v>
      </c>
      <c r="O39" s="77">
        <f t="shared" si="7"/>
        <v>10.115939777000001</v>
      </c>
    </row>
    <row r="40" spans="1:15" ht="12.75">
      <c r="A40" s="40">
        <v>46113</v>
      </c>
      <c r="B40" s="5">
        <v>5880.405000000001</v>
      </c>
      <c r="C40" s="5">
        <v>531.6077963</v>
      </c>
      <c r="D40" s="5">
        <v>6412.0127963</v>
      </c>
      <c r="E40" s="38">
        <v>59.50552810000001</v>
      </c>
      <c r="G40" s="77">
        <f t="shared" si="0"/>
        <v>4880.736150000001</v>
      </c>
      <c r="H40" s="77">
        <f t="shared" si="1"/>
        <v>441.234470929</v>
      </c>
      <c r="I40" s="77">
        <f t="shared" si="2"/>
        <v>5321.970620929001</v>
      </c>
      <c r="J40" s="77">
        <f t="shared" si="3"/>
        <v>49.389588323000005</v>
      </c>
      <c r="L40" s="82">
        <f t="shared" si="4"/>
        <v>999.66885</v>
      </c>
      <c r="M40" s="82">
        <f t="shared" si="5"/>
        <v>90.37332537100002</v>
      </c>
      <c r="N40" s="82">
        <f t="shared" si="6"/>
        <v>1090.042175371</v>
      </c>
      <c r="O40" s="77">
        <f t="shared" si="7"/>
        <v>10.115939777000001</v>
      </c>
    </row>
    <row r="41" spans="1:15" ht="12.75">
      <c r="A41" s="40">
        <v>46296</v>
      </c>
      <c r="B41" s="5"/>
      <c r="C41" s="5">
        <v>436.0516321</v>
      </c>
      <c r="D41" s="5">
        <v>436.0516321</v>
      </c>
      <c r="E41" s="38">
        <v>59.50552810000001</v>
      </c>
      <c r="G41" s="77"/>
      <c r="H41" s="77">
        <f t="shared" si="1"/>
        <v>361.922854643</v>
      </c>
      <c r="I41" s="77">
        <f t="shared" si="2"/>
        <v>361.922854643</v>
      </c>
      <c r="J41" s="77">
        <f t="shared" si="3"/>
        <v>49.389588323000005</v>
      </c>
      <c r="L41" s="82"/>
      <c r="M41" s="82">
        <f t="shared" si="5"/>
        <v>74.12877745700001</v>
      </c>
      <c r="N41" s="82">
        <f t="shared" si="6"/>
        <v>74.12877745700001</v>
      </c>
      <c r="O41" s="77">
        <f t="shared" si="7"/>
        <v>10.115939777000001</v>
      </c>
    </row>
    <row r="42" spans="1:15" ht="12.75">
      <c r="A42" s="40">
        <v>46478</v>
      </c>
      <c r="B42" s="5">
        <v>6072.2480000000005</v>
      </c>
      <c r="C42" s="5">
        <v>436.0516321</v>
      </c>
      <c r="D42" s="5">
        <v>6508.299632100001</v>
      </c>
      <c r="E42" s="38">
        <v>59.50552810000001</v>
      </c>
      <c r="G42" s="77">
        <f t="shared" si="0"/>
        <v>5039.96584</v>
      </c>
      <c r="H42" s="77">
        <f t="shared" si="1"/>
        <v>361.922854643</v>
      </c>
      <c r="I42" s="77">
        <f t="shared" si="2"/>
        <v>5401.888694643</v>
      </c>
      <c r="J42" s="77">
        <f t="shared" si="3"/>
        <v>49.389588323000005</v>
      </c>
      <c r="L42" s="82">
        <f t="shared" si="4"/>
        <v>1032.2821600000007</v>
      </c>
      <c r="M42" s="82">
        <f t="shared" si="5"/>
        <v>74.12877745700001</v>
      </c>
      <c r="N42" s="82">
        <f t="shared" si="6"/>
        <v>1106.4109374570007</v>
      </c>
      <c r="O42" s="77">
        <f t="shared" si="7"/>
        <v>10.115939777000001</v>
      </c>
    </row>
    <row r="43" spans="1:15" ht="12.75">
      <c r="A43" s="40">
        <v>46661</v>
      </c>
      <c r="B43" s="5"/>
      <c r="C43" s="5">
        <v>335.40412150000003</v>
      </c>
      <c r="D43" s="5">
        <v>335.40412150000003</v>
      </c>
      <c r="E43" s="38">
        <v>59.50552810000001</v>
      </c>
      <c r="G43" s="77"/>
      <c r="H43" s="77">
        <f t="shared" si="1"/>
        <v>278.385420845</v>
      </c>
      <c r="I43" s="77">
        <f t="shared" si="2"/>
        <v>278.385420845</v>
      </c>
      <c r="J43" s="77">
        <f t="shared" si="3"/>
        <v>49.389588323000005</v>
      </c>
      <c r="L43" s="82"/>
      <c r="M43" s="82">
        <f t="shared" si="5"/>
        <v>57.01870065500003</v>
      </c>
      <c r="N43" s="82">
        <f t="shared" si="6"/>
        <v>57.01870065500003</v>
      </c>
      <c r="O43" s="77">
        <f t="shared" si="7"/>
        <v>10.115939777000001</v>
      </c>
    </row>
    <row r="44" spans="1:15" ht="12.75">
      <c r="A44" s="40">
        <v>46844</v>
      </c>
      <c r="B44" s="5">
        <v>6272.432000000001</v>
      </c>
      <c r="C44" s="5">
        <v>335.40412150000003</v>
      </c>
      <c r="D44" s="5">
        <v>6607.8361215</v>
      </c>
      <c r="E44" s="38">
        <v>59.50552810000001</v>
      </c>
      <c r="G44" s="77">
        <f t="shared" si="0"/>
        <v>5206.11856</v>
      </c>
      <c r="H44" s="77">
        <f t="shared" si="1"/>
        <v>278.385420845</v>
      </c>
      <c r="I44" s="77">
        <f t="shared" si="2"/>
        <v>5484.503980845</v>
      </c>
      <c r="J44" s="77">
        <f t="shared" si="3"/>
        <v>49.389588323000005</v>
      </c>
      <c r="L44" s="82">
        <f t="shared" si="4"/>
        <v>1066.3134400000008</v>
      </c>
      <c r="M44" s="82">
        <f t="shared" si="5"/>
        <v>57.01870065500003</v>
      </c>
      <c r="N44" s="82">
        <f t="shared" si="6"/>
        <v>1123.3321406550008</v>
      </c>
      <c r="O44" s="77">
        <f t="shared" si="7"/>
        <v>10.115939777000001</v>
      </c>
    </row>
    <row r="45" spans="1:15" ht="12.75">
      <c r="A45" s="40">
        <v>47027</v>
      </c>
      <c r="B45" s="5"/>
      <c r="C45" s="5">
        <v>229.40002070000003</v>
      </c>
      <c r="D45" s="5">
        <v>229.40002070000003</v>
      </c>
      <c r="E45" s="38">
        <v>59.50552810000001</v>
      </c>
      <c r="G45" s="77"/>
      <c r="H45" s="77">
        <f t="shared" si="1"/>
        <v>190.40201718100002</v>
      </c>
      <c r="I45" s="77">
        <f t="shared" si="2"/>
        <v>190.40201718100002</v>
      </c>
      <c r="J45" s="77">
        <f t="shared" si="3"/>
        <v>49.389588323000005</v>
      </c>
      <c r="L45" s="82"/>
      <c r="M45" s="82">
        <f t="shared" si="5"/>
        <v>38.99800351900001</v>
      </c>
      <c r="N45" s="82">
        <f t="shared" si="6"/>
        <v>38.99800351900001</v>
      </c>
      <c r="O45" s="77">
        <f t="shared" si="7"/>
        <v>10.115939777000001</v>
      </c>
    </row>
    <row r="46" spans="1:15" ht="12.75">
      <c r="A46" s="40">
        <v>47209</v>
      </c>
      <c r="B46" s="5">
        <v>6485.1275000000005</v>
      </c>
      <c r="C46" s="5">
        <v>229.40002070000003</v>
      </c>
      <c r="D46" s="5">
        <v>6714.5275207</v>
      </c>
      <c r="E46" s="38">
        <v>59.50552810000001</v>
      </c>
      <c r="G46" s="77">
        <f t="shared" si="0"/>
        <v>5382.655825</v>
      </c>
      <c r="H46" s="77">
        <f t="shared" si="1"/>
        <v>190.40201718100002</v>
      </c>
      <c r="I46" s="77">
        <f t="shared" si="2"/>
        <v>5573.057842181</v>
      </c>
      <c r="J46" s="77">
        <f t="shared" si="3"/>
        <v>49.389588323000005</v>
      </c>
      <c r="L46" s="82">
        <f t="shared" si="4"/>
        <v>1102.4716750000007</v>
      </c>
      <c r="M46" s="82">
        <f t="shared" si="5"/>
        <v>38.99800351900001</v>
      </c>
      <c r="N46" s="82">
        <f t="shared" si="6"/>
        <v>1141.4696785190008</v>
      </c>
      <c r="O46" s="77">
        <f t="shared" si="7"/>
        <v>10.115939777000001</v>
      </c>
    </row>
    <row r="47" spans="1:15" ht="12.75">
      <c r="A47" s="40">
        <v>47392</v>
      </c>
      <c r="B47" s="5"/>
      <c r="C47" s="5">
        <v>117.6931782</v>
      </c>
      <c r="D47" s="5">
        <v>117.6931782</v>
      </c>
      <c r="E47" s="38">
        <v>59.50552810000001</v>
      </c>
      <c r="G47" s="77"/>
      <c r="H47" s="77">
        <f t="shared" si="1"/>
        <v>97.685337906</v>
      </c>
      <c r="I47" s="77">
        <f t="shared" si="2"/>
        <v>97.685337906</v>
      </c>
      <c r="J47" s="77">
        <f t="shared" si="3"/>
        <v>49.389588323000005</v>
      </c>
      <c r="L47" s="82"/>
      <c r="M47" s="82">
        <f t="shared" si="5"/>
        <v>20.007840294000005</v>
      </c>
      <c r="N47" s="82">
        <f t="shared" si="6"/>
        <v>20.007840294000005</v>
      </c>
      <c r="O47" s="77">
        <f t="shared" si="7"/>
        <v>10.115939777000001</v>
      </c>
    </row>
    <row r="48" spans="1:15" ht="12.75">
      <c r="A48" s="40">
        <v>11049</v>
      </c>
      <c r="B48" s="5">
        <v>6706.164000000001</v>
      </c>
      <c r="C48" s="5">
        <v>117.6931782</v>
      </c>
      <c r="D48" s="5">
        <v>6823.857178200001</v>
      </c>
      <c r="E48" s="38">
        <v>59.5180396</v>
      </c>
      <c r="G48" s="77">
        <f t="shared" si="0"/>
        <v>5566.116120000001</v>
      </c>
      <c r="H48" s="77">
        <f t="shared" si="1"/>
        <v>97.685337906</v>
      </c>
      <c r="I48" s="77">
        <f t="shared" si="2"/>
        <v>5663.801457906001</v>
      </c>
      <c r="J48" s="77">
        <f t="shared" si="3"/>
        <v>49.399972868</v>
      </c>
      <c r="L48" s="82">
        <f t="shared" si="4"/>
        <v>1140.04788</v>
      </c>
      <c r="M48" s="82">
        <f t="shared" si="5"/>
        <v>20.007840294000005</v>
      </c>
      <c r="N48" s="82">
        <f t="shared" si="6"/>
        <v>1160.0557202940001</v>
      </c>
      <c r="O48" s="77">
        <v>9</v>
      </c>
    </row>
    <row r="49" ht="12.75">
      <c r="A49" s="40"/>
    </row>
    <row r="50" spans="1:15" ht="13.5" thickBot="1">
      <c r="A50" s="41" t="s">
        <v>31</v>
      </c>
      <c r="B50" s="42">
        <f>SUM(B9:B49)</f>
        <v>100092.00000000001</v>
      </c>
      <c r="C50" s="42">
        <f>SUM(C9:C49)</f>
        <v>37027.80260020001</v>
      </c>
      <c r="D50" s="42">
        <f>SUM(D9:D49)</f>
        <v>137119.8026002</v>
      </c>
      <c r="E50" s="42">
        <f>SUM(E9:E49)</f>
        <v>2380.2336355</v>
      </c>
      <c r="G50" s="42">
        <f>SUM(G9:G49)</f>
        <v>83076.36000000002</v>
      </c>
      <c r="H50" s="42">
        <f>SUM(H9:H49)</f>
        <v>30733.076158166004</v>
      </c>
      <c r="I50" s="42">
        <f>SUM(I9:I49)</f>
        <v>113809.436158166</v>
      </c>
      <c r="J50" s="42">
        <f>SUM(J9:J49)</f>
        <v>1975.5939174650002</v>
      </c>
      <c r="L50" s="42">
        <f>SUM(L9:L49)</f>
        <v>17015.640000000007</v>
      </c>
      <c r="M50" s="42">
        <f>SUM(M9:M49)</f>
        <v>6294.726442034003</v>
      </c>
      <c r="N50" s="42">
        <f>SUM(N9:N49)</f>
        <v>23310.366442034014</v>
      </c>
      <c r="O50" s="42">
        <f>SUM(O9:O49)</f>
        <v>403.5216513029998</v>
      </c>
    </row>
    <row r="51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2019-01-31T15:36:36Z</cp:lastPrinted>
  <dcterms:created xsi:type="dcterms:W3CDTF">2011-02-21T16:49:07Z</dcterms:created>
  <dcterms:modified xsi:type="dcterms:W3CDTF">2019-01-31T15:37:13Z</dcterms:modified>
  <cp:category/>
  <cp:version/>
  <cp:contentType/>
  <cp:contentStatus/>
</cp:coreProperties>
</file>