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4A" sheetId="1" r:id="rId1"/>
    <sheet name="Academic Project " sheetId="2" r:id="rId2"/>
    <sheet name="Percentage-090114" sheetId="3" r:id="rId3"/>
    <sheet name="Percentage - 030115" sheetId="4" r:id="rId4"/>
    <sheet name="Percentage - 090115" sheetId="5" r:id="rId5"/>
    <sheet name="Percentage - Final" sheetId="6" r:id="rId6"/>
  </sheets>
  <definedNames>
    <definedName name="_xlnm.Print_Area" localSheetId="4">'Percentage - 090115'!$A$1:$R$52</definedName>
    <definedName name="_xlnm.Print_Area" localSheetId="5">'Percentage - Final'!$A$1:$Q$56</definedName>
    <definedName name="_xlnm.Print_Area" localSheetId="2">'Percentage-090114'!$A$1:$R$50</definedName>
    <definedName name="_xlnm.Print_Titles" localSheetId="0">'2014A'!$A:$A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<sst xmlns="http://schemas.openxmlformats.org/spreadsheetml/2006/main" count="992" uniqueCount="173">
  <si>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</si>
  <si>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</si>
  <si>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</si>
  <si>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</si>
  <si>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</si>
  <si>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</si>
  <si>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</si>
  <si>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</si>
  <si>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</si>
  <si>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</si>
  <si>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</si>
  <si>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</si>
  <si>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</si>
  <si>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</si>
  <si>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</si>
  <si>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</si>
  <si>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</si>
  <si>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</si>
  <si>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</si>
  <si>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</si>
  <si>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</si>
  <si>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</si>
  <si>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</si>
  <si>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</si>
  <si>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</si>
  <si>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</si>
  <si>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</si>
  <si>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</si>
  <si>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</si>
  <si>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</si>
  <si>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</si>
  <si>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</si>
  <si>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</si>
  <si>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</si>
  <si>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</si>
  <si>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</si>
  <si>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</si>
  <si>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</si>
  <si>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</si>
  <si>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</si>
  <si>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</si>
  <si>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</si>
  <si>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</si>
  <si>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</si>
  <si>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</si>
  <si>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</si>
  <si>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</si>
  <si>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</si>
  <si>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</si>
  <si>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</si>
  <si>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</si>
  <si>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</si>
  <si>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</si>
  <si>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</si>
  <si>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</si>
  <si>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</si>
  <si>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</si>
  <si>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</si>
  <si>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</si>
  <si>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</si>
  <si>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</si>
  <si>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</si>
  <si>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</si>
  <si>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Balance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</si>
  <si>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</si>
  <si>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</si>
  <si>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</si>
  <si>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</si>
  <si>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</si>
  <si>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</si>
  <si>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</si>
  <si>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</si>
  <si>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</si>
  <si>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</si>
  <si>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</si>
  <si>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</si>
  <si>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</si>
  <si>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 xml:space="preserve">  TU Student Housing - West Village PH II (Aux)</t>
  </si>
  <si>
    <t>UMBI/BC</t>
  </si>
  <si>
    <t xml:space="preserve">   UMBC/UMBI Facilities Renewal (Academic)</t>
  </si>
  <si>
    <t>28,29,32,33,35th Acad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</si>
  <si>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</si>
  <si>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</si>
  <si>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</si>
  <si>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</si>
  <si>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</si>
  <si>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</si>
  <si>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</si>
  <si>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26,28,29,32,35th Acad</t>
  </si>
  <si>
    <t>34,35th</t>
  </si>
  <si>
    <t>34th Acad</t>
  </si>
  <si>
    <t>New Science and Technology Center</t>
  </si>
  <si>
    <t>26,27,29,32,33,34th Acad</t>
  </si>
  <si>
    <t>33,34,35th Academic</t>
  </si>
  <si>
    <t>24,25,26,27,28,29,32,33,34,35th Acad</t>
  </si>
  <si>
    <t>33rd Acad</t>
  </si>
  <si>
    <t>New Performing Arts &amp; Humanities Facility</t>
  </si>
  <si>
    <t>28,29,32,33,34 Acad</t>
  </si>
  <si>
    <t>28,29,32,33,34,35th Acad</t>
  </si>
  <si>
    <t>22,29 Acad</t>
  </si>
  <si>
    <t>2014A Balance</t>
  </si>
  <si>
    <t>35th Acad</t>
  </si>
  <si>
    <t>24,28,32,33th Acad</t>
  </si>
  <si>
    <t>27,28,29th Acad</t>
  </si>
  <si>
    <t>32,34th Acad</t>
  </si>
  <si>
    <t>33th Acad</t>
  </si>
  <si>
    <t>27,29,34,35th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</si>
  <si>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</si>
  <si>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</si>
  <si>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</si>
  <si>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</si>
  <si>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</si>
  <si>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</si>
  <si>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</si>
  <si>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32,35th Aux</t>
  </si>
  <si>
    <t>West Village Student Housing</t>
  </si>
  <si>
    <t>31,35th Aux</t>
  </si>
  <si>
    <t>26th</t>
  </si>
  <si>
    <t>2014A</t>
  </si>
  <si>
    <t xml:space="preserve">    2014 Series A Bond Funded Projects</t>
  </si>
  <si>
    <t xml:space="preserve">          Total Debt Services - 2014 Series A</t>
  </si>
  <si>
    <t xml:space="preserve">                         2014 A Bonds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</si>
  <si>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</si>
  <si>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</si>
  <si>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</si>
  <si>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</si>
  <si>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</si>
  <si>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</si>
  <si>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</si>
  <si>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</si>
  <si>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</si>
  <si>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26,27,29,32,33,34,36th Acad</t>
  </si>
  <si>
    <t>28,29,32,33,35,36th Acad</t>
  </si>
  <si>
    <t>24,25,26,27,28,29,32,33,34,35,36th Acad</t>
  </si>
  <si>
    <t>34,35th Acad</t>
  </si>
  <si>
    <t>Renovation, Electrical Upgrade, HVAC</t>
  </si>
  <si>
    <t>27,29,33,34,35,36th Acad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</si>
  <si>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</si>
  <si>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</si>
  <si>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</si>
  <si>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</si>
  <si>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</si>
  <si>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</si>
  <si>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</si>
  <si>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</si>
  <si>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</si>
  <si>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</si>
  <si>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</si>
  <si>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33,34,35,36th Academic</t>
  </si>
  <si>
    <t>26,28,29,32,35,36th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</si>
  <si>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</si>
  <si>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</si>
  <si>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</si>
  <si>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</si>
  <si>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</si>
  <si>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</si>
  <si>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</si>
  <si>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</si>
  <si>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</si>
  <si>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</si>
  <si>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</si>
  <si>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</si>
  <si>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</si>
  <si>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</si>
  <si>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</si>
  <si>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</si>
  <si>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</si>
  <si>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</si>
  <si>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</si>
  <si>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</si>
  <si>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>Amort of</t>
  </si>
  <si>
    <t>Premium</t>
  </si>
  <si>
    <t xml:space="preserve">     UMBI/UMCP Emergency IBBR Project (Academic)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</si>
</sst>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%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ill="1" applyBorder="1" applyAlignment="1">
      <alignment horizontal="right"/>
    </xf>
    <xf numFmtId="38" fontId="0" fillId="35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173" fontId="3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P572"/>
  <sheetViews>
    <sheetView tabSelected="1" zoomScale="138" zoomScaleNormal="13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4" sqref="C14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0" customWidth="1"/>
    <col min="57" max="57" width="3.7109375" style="5" customWidth="1"/>
    <col min="58" max="61" width="13.7109375" style="0" customWidth="1"/>
    <col min="62" max="62" width="3.7109375" style="5" customWidth="1"/>
    <col min="63" max="66" width="13.7109375" style="0" customWidth="1"/>
    <col min="67" max="67" width="3.7109375" style="5" customWidth="1"/>
    <col min="68" max="71" width="13.7109375" style="0" customWidth="1"/>
    <col min="72" max="72" width="3.7109375" style="6" customWidth="1"/>
    <col min="73" max="76" width="13.7109375" style="0" customWidth="1"/>
    <col min="77" max="77" width="3.7109375" style="0" customWidth="1"/>
    <col min="78" max="81" width="13.7109375" style="0" customWidth="1"/>
    <col min="82" max="82" width="3.7109375" style="0" customWidth="1"/>
    <col min="83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</cols>
  <sheetData>
    <row r="1" spans="1:128" ht="12.75">
      <c r="A1" s="1"/>
      <c r="B1" s="2"/>
      <c r="D1" s="4"/>
      <c r="H1" s="4" t="s">
        <v>58</v>
      </c>
      <c r="M1" s="4"/>
      <c r="W1" s="4" t="s">
        <v>58</v>
      </c>
      <c r="AL1" s="4" t="s">
        <v>58</v>
      </c>
      <c r="BA1" s="4" t="s">
        <v>58</v>
      </c>
      <c r="BF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M2" s="4"/>
      <c r="W2" s="4" t="s">
        <v>57</v>
      </c>
      <c r="AL2" s="4" t="s">
        <v>57</v>
      </c>
      <c r="BA2" s="4" t="s">
        <v>57</v>
      </c>
      <c r="BF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M3" s="4"/>
      <c r="N3" s="8"/>
      <c r="W3" s="4" t="s">
        <v>119</v>
      </c>
      <c r="AL3" s="4" t="s">
        <v>119</v>
      </c>
      <c r="BA3" s="4" t="s">
        <v>119</v>
      </c>
      <c r="BF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13" ht="12.75">
      <c r="A4" s="1"/>
      <c r="B4" s="2"/>
      <c r="C4" s="7"/>
      <c r="D4" s="4"/>
      <c r="M4" s="8"/>
    </row>
    <row r="5" spans="1:136" ht="12.75">
      <c r="A5" s="9" t="s">
        <v>0</v>
      </c>
      <c r="C5" s="10" t="s">
        <v>120</v>
      </c>
      <c r="D5" s="11"/>
      <c r="E5" s="12"/>
      <c r="F5" s="12"/>
      <c r="H5" s="13" t="s">
        <v>122</v>
      </c>
      <c r="I5" s="14"/>
      <c r="J5" s="15"/>
      <c r="K5" s="12"/>
      <c r="M5" s="13" t="s">
        <v>123</v>
      </c>
      <c r="N5" s="16"/>
      <c r="O5" s="15"/>
      <c r="P5" s="12"/>
      <c r="R5" s="20" t="s">
        <v>65</v>
      </c>
      <c r="S5" s="18"/>
      <c r="T5" s="19"/>
      <c r="U5" s="12"/>
      <c r="W5" s="17" t="s">
        <v>1</v>
      </c>
      <c r="X5" s="18"/>
      <c r="Y5" s="19"/>
      <c r="Z5" s="12"/>
      <c r="AB5" s="20" t="s">
        <v>165</v>
      </c>
      <c r="AC5" s="18"/>
      <c r="AD5" s="19"/>
      <c r="AE5" s="12"/>
      <c r="AG5" s="20" t="s">
        <v>166</v>
      </c>
      <c r="AH5" s="18"/>
      <c r="AI5" s="19"/>
      <c r="AJ5" s="12"/>
      <c r="AL5" s="20" t="s">
        <v>167</v>
      </c>
      <c r="AM5" s="18"/>
      <c r="AN5" s="19"/>
      <c r="AO5" s="12"/>
      <c r="AQ5" s="20" t="s">
        <v>168</v>
      </c>
      <c r="AR5" s="18"/>
      <c r="AS5" s="19"/>
      <c r="AT5" s="12"/>
      <c r="AV5" s="20" t="s">
        <v>76</v>
      </c>
      <c r="AW5" s="18"/>
      <c r="AX5" s="19"/>
      <c r="AY5" s="12"/>
      <c r="BA5" s="17" t="s">
        <v>84</v>
      </c>
      <c r="BB5" s="18"/>
      <c r="BC5" s="19"/>
      <c r="BD5" s="12"/>
      <c r="BF5" s="17" t="s">
        <v>68</v>
      </c>
      <c r="BG5" s="18"/>
      <c r="BH5" s="19"/>
      <c r="BI5" s="12"/>
      <c r="BK5" s="17" t="s">
        <v>145</v>
      </c>
      <c r="BL5" s="18"/>
      <c r="BM5" s="19"/>
      <c r="BN5" s="12"/>
      <c r="BP5" s="17" t="s">
        <v>2</v>
      </c>
      <c r="BQ5" s="18"/>
      <c r="BR5" s="19"/>
      <c r="BS5" s="12"/>
      <c r="BU5" s="17" t="s">
        <v>85</v>
      </c>
      <c r="BV5" s="18"/>
      <c r="BW5" s="19"/>
      <c r="BX5" s="12"/>
      <c r="BY5" s="21"/>
      <c r="BZ5" s="17" t="s">
        <v>146</v>
      </c>
      <c r="CA5" s="18"/>
      <c r="CB5" s="19"/>
      <c r="CC5" s="12"/>
      <c r="CD5" s="21"/>
      <c r="CE5" s="17" t="s">
        <v>128</v>
      </c>
      <c r="CF5" s="18"/>
      <c r="CG5" s="19"/>
      <c r="CH5" s="12"/>
      <c r="CI5" s="21"/>
      <c r="CJ5" s="17" t="s">
        <v>3</v>
      </c>
      <c r="CK5" s="18"/>
      <c r="CL5" s="19"/>
      <c r="CM5" s="12"/>
      <c r="CN5" s="21"/>
      <c r="CO5" s="17" t="s">
        <v>4</v>
      </c>
      <c r="CP5" s="18"/>
      <c r="CQ5" s="19"/>
      <c r="CR5" s="12"/>
      <c r="CS5" s="21"/>
      <c r="CT5" s="17" t="s">
        <v>71</v>
      </c>
      <c r="CU5" s="18"/>
      <c r="CV5" s="19"/>
      <c r="CW5" s="12"/>
      <c r="CY5" s="20" t="s">
        <v>5</v>
      </c>
      <c r="CZ5" s="18"/>
      <c r="DA5" s="19"/>
      <c r="DB5" s="12"/>
      <c r="DD5" s="20" t="s">
        <v>169</v>
      </c>
      <c r="DE5" s="18"/>
      <c r="DF5" s="19"/>
      <c r="DG5" s="12"/>
      <c r="DI5" s="17" t="s">
        <v>129</v>
      </c>
      <c r="DJ5" s="18"/>
      <c r="DK5" s="19"/>
      <c r="DL5" s="12"/>
      <c r="DN5" s="20" t="s">
        <v>130</v>
      </c>
      <c r="DO5" s="18"/>
      <c r="DP5" s="19"/>
      <c r="DQ5" s="12"/>
      <c r="DS5" s="20" t="s">
        <v>77</v>
      </c>
      <c r="DT5" s="18"/>
      <c r="DU5" s="19"/>
      <c r="DV5" s="12"/>
      <c r="DX5" s="17" t="s">
        <v>6</v>
      </c>
      <c r="DY5" s="18"/>
      <c r="DZ5" s="19"/>
      <c r="EA5" s="12"/>
      <c r="EC5" s="20" t="s">
        <v>7</v>
      </c>
      <c r="ED5" s="18"/>
      <c r="EE5" s="19"/>
      <c r="EF5" s="12"/>
    </row>
    <row r="6" spans="1:136" s="8" customFormat="1" ht="12.75">
      <c r="A6" s="22" t="s">
        <v>8</v>
      </c>
      <c r="C6" s="42" t="s">
        <v>121</v>
      </c>
      <c r="D6" s="14"/>
      <c r="E6" s="41"/>
      <c r="F6" s="31" t="s">
        <v>170</v>
      </c>
      <c r="G6" s="5"/>
      <c r="H6" s="23">
        <v>0.1208423</v>
      </c>
      <c r="I6" s="24">
        <v>0.185862</v>
      </c>
      <c r="J6" s="25">
        <v>0.2843197</v>
      </c>
      <c r="K6" s="31" t="s">
        <v>170</v>
      </c>
      <c r="L6" s="5"/>
      <c r="M6" s="23">
        <f>R6+W6+AB6+AG6+AL6+AQ6+AV6+BA6+BF6+BK6+BP6+BU6+BZ6+CE6+CJ6+CO6+CT6+CY6+DD6+DI6+DN6+DS6+DX6+EC6</f>
        <v>0.8791576999999998</v>
      </c>
      <c r="N6" s="26">
        <v>0.814138</v>
      </c>
      <c r="O6" s="26">
        <v>0.7156803</v>
      </c>
      <c r="P6" s="31" t="s">
        <v>170</v>
      </c>
      <c r="Q6" s="5"/>
      <c r="R6" s="27">
        <v>0.2155922</v>
      </c>
      <c r="S6" s="28">
        <v>0.2453749</v>
      </c>
      <c r="T6" s="25">
        <v>0.2570952</v>
      </c>
      <c r="U6" s="31" t="s">
        <v>170</v>
      </c>
      <c r="V6" s="5"/>
      <c r="W6" s="27">
        <v>0.0002237</v>
      </c>
      <c r="X6" s="28">
        <v>0.0009131</v>
      </c>
      <c r="Y6" s="25">
        <v>0.0057206</v>
      </c>
      <c r="Z6" s="31" t="s">
        <v>170</v>
      </c>
      <c r="AA6" s="5"/>
      <c r="AB6" s="27">
        <v>0</v>
      </c>
      <c r="AC6" s="28">
        <v>0</v>
      </c>
      <c r="AD6" s="90">
        <v>0.0007578</v>
      </c>
      <c r="AE6" s="31" t="s">
        <v>170</v>
      </c>
      <c r="AF6" s="5"/>
      <c r="AG6" s="27">
        <v>0.0031114</v>
      </c>
      <c r="AH6" s="28">
        <v>0.0108227</v>
      </c>
      <c r="AI6" s="25">
        <v>0.0205588</v>
      </c>
      <c r="AJ6" s="31" t="s">
        <v>170</v>
      </c>
      <c r="AK6" s="5"/>
      <c r="AL6" s="27">
        <v>0.0082908</v>
      </c>
      <c r="AM6" s="28">
        <v>0.0082908</v>
      </c>
      <c r="AN6" s="25">
        <v>0.0082908</v>
      </c>
      <c r="AO6" s="31" t="s">
        <v>170</v>
      </c>
      <c r="AP6" s="5"/>
      <c r="AQ6" s="27">
        <v>0.0030147</v>
      </c>
      <c r="AR6" s="28">
        <v>0.0030147</v>
      </c>
      <c r="AS6" s="25">
        <v>0.0030147</v>
      </c>
      <c r="AT6" s="31" t="s">
        <v>170</v>
      </c>
      <c r="AU6" s="5"/>
      <c r="AV6" s="27">
        <v>0.0219093</v>
      </c>
      <c r="AW6" s="28">
        <v>0.0219093</v>
      </c>
      <c r="AX6" s="25">
        <v>0.0219093</v>
      </c>
      <c r="AY6" s="31" t="s">
        <v>170</v>
      </c>
      <c r="AZ6" s="5"/>
      <c r="BA6" s="27">
        <v>0.0013274</v>
      </c>
      <c r="BB6" s="28">
        <v>0.0023911</v>
      </c>
      <c r="BC6" s="25">
        <v>0.0026194</v>
      </c>
      <c r="BD6" s="31" t="s">
        <v>170</v>
      </c>
      <c r="BE6" s="5"/>
      <c r="BF6" s="27">
        <v>0.0024284</v>
      </c>
      <c r="BG6" s="28">
        <v>0.0024284</v>
      </c>
      <c r="BH6" s="25">
        <v>0.0024284</v>
      </c>
      <c r="BI6" s="31" t="s">
        <v>170</v>
      </c>
      <c r="BJ6" s="5"/>
      <c r="BK6" s="27">
        <v>0</v>
      </c>
      <c r="BL6" s="28">
        <v>0.0014296</v>
      </c>
      <c r="BM6" s="25">
        <v>0.0014296</v>
      </c>
      <c r="BN6" s="31" t="s">
        <v>170</v>
      </c>
      <c r="BO6" s="5"/>
      <c r="BP6" s="27">
        <v>0.0005986</v>
      </c>
      <c r="BQ6" s="28">
        <v>0.0106998</v>
      </c>
      <c r="BR6" s="25">
        <v>0.0605445</v>
      </c>
      <c r="BS6" s="31" t="s">
        <v>170</v>
      </c>
      <c r="BU6" s="27">
        <v>0.0006462</v>
      </c>
      <c r="BV6" s="28">
        <v>0.0006843</v>
      </c>
      <c r="BW6" s="25">
        <v>0.0007214</v>
      </c>
      <c r="BX6" s="31" t="s">
        <v>170</v>
      </c>
      <c r="BY6" s="72"/>
      <c r="BZ6" s="27">
        <v>0</v>
      </c>
      <c r="CA6" s="28">
        <v>0.001546</v>
      </c>
      <c r="CB6" s="25">
        <v>0.001546</v>
      </c>
      <c r="CC6" s="31" t="s">
        <v>170</v>
      </c>
      <c r="CD6" s="72"/>
      <c r="CE6" s="27">
        <v>0.0001285</v>
      </c>
      <c r="CF6" s="28">
        <v>0.0007254</v>
      </c>
      <c r="CG6" s="25">
        <v>0.0007254</v>
      </c>
      <c r="CH6" s="31" t="s">
        <v>170</v>
      </c>
      <c r="CI6" s="72"/>
      <c r="CJ6" s="27">
        <v>0.0007485</v>
      </c>
      <c r="CK6" s="28">
        <v>0.0088971</v>
      </c>
      <c r="CL6" s="25">
        <v>0.0088971</v>
      </c>
      <c r="CM6" s="31" t="s">
        <v>170</v>
      </c>
      <c r="CN6" s="72"/>
      <c r="CO6" s="27">
        <v>0.0012322</v>
      </c>
      <c r="CP6" s="28">
        <v>0.0019302</v>
      </c>
      <c r="CQ6" s="25">
        <v>0.0020698</v>
      </c>
      <c r="CR6" s="31" t="s">
        <v>170</v>
      </c>
      <c r="CS6" s="72"/>
      <c r="CT6" s="27">
        <v>0.0694704</v>
      </c>
      <c r="CU6" s="28">
        <v>0.085418</v>
      </c>
      <c r="CV6" s="25">
        <v>0.0898674</v>
      </c>
      <c r="CW6" s="31" t="s">
        <v>170</v>
      </c>
      <c r="CY6" s="27">
        <v>1.28E-05</v>
      </c>
      <c r="CZ6" s="28">
        <v>2.14E-05</v>
      </c>
      <c r="DA6" s="25">
        <v>2.14E-05</v>
      </c>
      <c r="DB6" s="31" t="s">
        <v>170</v>
      </c>
      <c r="DD6" s="27">
        <v>0</v>
      </c>
      <c r="DE6" s="28">
        <v>0</v>
      </c>
      <c r="DF6" s="90">
        <v>0.0001469</v>
      </c>
      <c r="DG6" s="31" t="s">
        <v>170</v>
      </c>
      <c r="DI6" s="27">
        <v>0.0031154</v>
      </c>
      <c r="DJ6" s="28">
        <v>0.013581</v>
      </c>
      <c r="DK6" s="25">
        <v>0.0214083</v>
      </c>
      <c r="DL6" s="31" t="s">
        <v>170</v>
      </c>
      <c r="DN6" s="27">
        <v>4.2E-05</v>
      </c>
      <c r="DO6" s="28">
        <v>4.2E-05</v>
      </c>
      <c r="DP6" s="25">
        <v>4.2E-05</v>
      </c>
      <c r="DQ6" s="31" t="s">
        <v>170</v>
      </c>
      <c r="DS6" s="27">
        <v>0.0255929</v>
      </c>
      <c r="DT6" s="28">
        <v>0.0640546</v>
      </c>
      <c r="DU6" s="25">
        <v>0.1864341</v>
      </c>
      <c r="DV6" s="31" t="s">
        <v>170</v>
      </c>
      <c r="DX6" s="27">
        <v>0.0014335</v>
      </c>
      <c r="DY6" s="28">
        <v>0.0014335</v>
      </c>
      <c r="DZ6" s="25">
        <v>0.0014335</v>
      </c>
      <c r="EA6" s="31" t="s">
        <v>170</v>
      </c>
      <c r="EC6" s="27">
        <v>0.5202388</v>
      </c>
      <c r="ED6" s="28">
        <v>0.32853</v>
      </c>
      <c r="EE6" s="25">
        <v>0.0189027</v>
      </c>
      <c r="EF6" s="31" t="s">
        <v>170</v>
      </c>
    </row>
    <row r="7" spans="1:136" s="8" customFormat="1" ht="12.75">
      <c r="A7" s="22"/>
      <c r="C7" s="42"/>
      <c r="D7" s="14"/>
      <c r="E7" s="41"/>
      <c r="F7" s="31" t="s">
        <v>171</v>
      </c>
      <c r="G7" s="5"/>
      <c r="H7" s="23"/>
      <c r="I7" s="24">
        <v>0.3159866</v>
      </c>
      <c r="J7" s="25"/>
      <c r="K7" s="31" t="s">
        <v>171</v>
      </c>
      <c r="L7" s="5"/>
      <c r="M7" s="23"/>
      <c r="N7" s="26">
        <v>0.6840134</v>
      </c>
      <c r="O7" s="26"/>
      <c r="P7" s="31" t="s">
        <v>171</v>
      </c>
      <c r="Q7" s="5"/>
      <c r="R7" s="27"/>
      <c r="S7" s="28">
        <v>0.2446662</v>
      </c>
      <c r="T7" s="25"/>
      <c r="U7" s="31" t="s">
        <v>171</v>
      </c>
      <c r="V7" s="5"/>
      <c r="W7" s="27"/>
      <c r="X7" s="28">
        <v>0.0056929</v>
      </c>
      <c r="Y7" s="25"/>
      <c r="Z7" s="31" t="s">
        <v>171</v>
      </c>
      <c r="AA7" s="5"/>
      <c r="AB7" s="27"/>
      <c r="AC7" s="28">
        <v>0.0007578</v>
      </c>
      <c r="AD7" s="25"/>
      <c r="AE7" s="31" t="s">
        <v>171</v>
      </c>
      <c r="AF7" s="5"/>
      <c r="AG7" s="27"/>
      <c r="AH7" s="28">
        <v>0.0200556</v>
      </c>
      <c r="AI7" s="25"/>
      <c r="AJ7" s="31" t="s">
        <v>171</v>
      </c>
      <c r="AK7" s="5"/>
      <c r="AL7" s="27"/>
      <c r="AM7" s="28">
        <v>0.00789</v>
      </c>
      <c r="AN7" s="25"/>
      <c r="AO7" s="31" t="s">
        <v>171</v>
      </c>
      <c r="AP7" s="5"/>
      <c r="AQ7" s="27"/>
      <c r="AR7" s="28">
        <v>0.0028689</v>
      </c>
      <c r="AS7" s="25"/>
      <c r="AT7" s="31" t="s">
        <v>171</v>
      </c>
      <c r="AU7" s="5"/>
      <c r="AV7" s="27"/>
      <c r="AW7" s="28">
        <v>0.0208502</v>
      </c>
      <c r="AX7" s="25"/>
      <c r="AY7" s="31" t="s">
        <v>171</v>
      </c>
      <c r="AZ7" s="5"/>
      <c r="BA7" s="27"/>
      <c r="BB7" s="28">
        <v>0.0028801</v>
      </c>
      <c r="BC7" s="25"/>
      <c r="BD7" s="31" t="s">
        <v>171</v>
      </c>
      <c r="BE7" s="5"/>
      <c r="BF7" s="27"/>
      <c r="BG7" s="28">
        <v>0.002311</v>
      </c>
      <c r="BH7" s="25"/>
      <c r="BI7" s="31" t="s">
        <v>171</v>
      </c>
      <c r="BJ7" s="5"/>
      <c r="BK7" s="27"/>
      <c r="BL7" s="28">
        <v>0.0013605</v>
      </c>
      <c r="BM7" s="25"/>
      <c r="BN7" s="31" t="s">
        <v>171</v>
      </c>
      <c r="BO7" s="5"/>
      <c r="BP7" s="27"/>
      <c r="BQ7" s="28">
        <v>0.0670848</v>
      </c>
      <c r="BR7" s="25"/>
      <c r="BS7" s="31" t="s">
        <v>171</v>
      </c>
      <c r="BU7" s="27"/>
      <c r="BV7" s="28">
        <v>0.0007095</v>
      </c>
      <c r="BW7" s="25"/>
      <c r="BX7" s="31" t="s">
        <v>171</v>
      </c>
      <c r="BY7" s="72"/>
      <c r="BZ7" s="27"/>
      <c r="CA7" s="28">
        <v>0.0014713</v>
      </c>
      <c r="CB7" s="25"/>
      <c r="CC7" s="31" t="s">
        <v>171</v>
      </c>
      <c r="CD7" s="72"/>
      <c r="CE7" s="27"/>
      <c r="CF7" s="28">
        <v>0.0006904</v>
      </c>
      <c r="CG7" s="25"/>
      <c r="CH7" s="31" t="s">
        <v>171</v>
      </c>
      <c r="CI7" s="72"/>
      <c r="CJ7" s="27"/>
      <c r="CK7" s="28">
        <v>0.008467</v>
      </c>
      <c r="CL7" s="25"/>
      <c r="CM7" s="31" t="s">
        <v>171</v>
      </c>
      <c r="CN7" s="72"/>
      <c r="CO7" s="27"/>
      <c r="CP7" s="28">
        <v>0.0019697</v>
      </c>
      <c r="CQ7" s="25"/>
      <c r="CR7" s="31" t="s">
        <v>171</v>
      </c>
      <c r="CS7" s="72"/>
      <c r="CT7" s="27"/>
      <c r="CU7" s="28">
        <v>0.0855228</v>
      </c>
      <c r="CV7" s="25"/>
      <c r="CW7" s="31" t="s">
        <v>171</v>
      </c>
      <c r="CY7" s="27"/>
      <c r="CZ7" s="28">
        <v>2.04E-05</v>
      </c>
      <c r="DA7" s="25"/>
      <c r="DB7" s="31" t="s">
        <v>171</v>
      </c>
      <c r="DD7" s="27"/>
      <c r="DE7" s="28">
        <v>0.0001469</v>
      </c>
      <c r="DF7" s="25"/>
      <c r="DG7" s="31" t="s">
        <v>171</v>
      </c>
      <c r="DI7" s="27"/>
      <c r="DJ7" s="28">
        <v>0.0204014</v>
      </c>
      <c r="DK7" s="25"/>
      <c r="DL7" s="31" t="s">
        <v>171</v>
      </c>
      <c r="DN7" s="27"/>
      <c r="DO7" s="28">
        <v>4E-05</v>
      </c>
      <c r="DP7" s="25"/>
      <c r="DQ7" s="31" t="s">
        <v>171</v>
      </c>
      <c r="DS7" s="27"/>
      <c r="DT7" s="28">
        <v>0.1867921</v>
      </c>
      <c r="DU7" s="25"/>
      <c r="DV7" s="31" t="s">
        <v>171</v>
      </c>
      <c r="DX7" s="27"/>
      <c r="DY7" s="28">
        <v>0.0013642</v>
      </c>
      <c r="DZ7" s="25"/>
      <c r="EA7" s="31" t="s">
        <v>171</v>
      </c>
      <c r="EC7" s="27"/>
      <c r="ED7" s="28"/>
      <c r="EE7" s="25"/>
      <c r="EF7" s="31" t="s">
        <v>171</v>
      </c>
    </row>
    <row r="8" spans="1:136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2" t="s">
        <v>9</v>
      </c>
      <c r="S8" s="32" t="s">
        <v>10</v>
      </c>
      <c r="T8" s="32" t="s">
        <v>11</v>
      </c>
      <c r="U8" s="33"/>
      <c r="W8" s="32" t="s">
        <v>9</v>
      </c>
      <c r="X8" s="32" t="s">
        <v>10</v>
      </c>
      <c r="Y8" s="32" t="s">
        <v>11</v>
      </c>
      <c r="Z8" s="33"/>
      <c r="AB8" s="32" t="s">
        <v>9</v>
      </c>
      <c r="AC8" s="32" t="s">
        <v>10</v>
      </c>
      <c r="AD8" s="32" t="s">
        <v>11</v>
      </c>
      <c r="AE8" s="33"/>
      <c r="AG8" s="32" t="s">
        <v>9</v>
      </c>
      <c r="AH8" s="32" t="s">
        <v>10</v>
      </c>
      <c r="AI8" s="32" t="s">
        <v>11</v>
      </c>
      <c r="AJ8" s="33"/>
      <c r="AL8" s="32" t="s">
        <v>9</v>
      </c>
      <c r="AM8" s="32" t="s">
        <v>10</v>
      </c>
      <c r="AN8" s="32" t="s">
        <v>11</v>
      </c>
      <c r="AO8" s="33"/>
      <c r="AQ8" s="32" t="s">
        <v>9</v>
      </c>
      <c r="AR8" s="32" t="s">
        <v>10</v>
      </c>
      <c r="AS8" s="32" t="s">
        <v>11</v>
      </c>
      <c r="AT8" s="33"/>
      <c r="AV8" s="32" t="s">
        <v>9</v>
      </c>
      <c r="AW8" s="32" t="s">
        <v>10</v>
      </c>
      <c r="AX8" s="32" t="s">
        <v>11</v>
      </c>
      <c r="AY8" s="33"/>
      <c r="BA8" s="32" t="s">
        <v>9</v>
      </c>
      <c r="BB8" s="32" t="s">
        <v>10</v>
      </c>
      <c r="BC8" s="32" t="s">
        <v>11</v>
      </c>
      <c r="BD8" s="33"/>
      <c r="BF8" s="32" t="s">
        <v>9</v>
      </c>
      <c r="BG8" s="32" t="s">
        <v>10</v>
      </c>
      <c r="BH8" s="32" t="s">
        <v>11</v>
      </c>
      <c r="BI8" s="33"/>
      <c r="BK8" s="32" t="s">
        <v>9</v>
      </c>
      <c r="BL8" s="32" t="s">
        <v>10</v>
      </c>
      <c r="BM8" s="32" t="s">
        <v>11</v>
      </c>
      <c r="BN8" s="33"/>
      <c r="BP8" s="32" t="s">
        <v>9</v>
      </c>
      <c r="BQ8" s="32" t="s">
        <v>10</v>
      </c>
      <c r="BR8" s="32" t="s">
        <v>11</v>
      </c>
      <c r="BS8" s="33"/>
      <c r="BU8" s="32" t="s">
        <v>9</v>
      </c>
      <c r="BV8" s="32" t="s">
        <v>10</v>
      </c>
      <c r="BW8" s="32" t="s">
        <v>11</v>
      </c>
      <c r="BX8" s="33"/>
      <c r="BY8" s="33"/>
      <c r="BZ8" s="32" t="s">
        <v>9</v>
      </c>
      <c r="CA8" s="32" t="s">
        <v>10</v>
      </c>
      <c r="CB8" s="32" t="s">
        <v>11</v>
      </c>
      <c r="CC8" s="33"/>
      <c r="CD8" s="33"/>
      <c r="CE8" s="32" t="s">
        <v>9</v>
      </c>
      <c r="CF8" s="32" t="s">
        <v>10</v>
      </c>
      <c r="CG8" s="32" t="s">
        <v>11</v>
      </c>
      <c r="CH8" s="33"/>
      <c r="CI8" s="33"/>
      <c r="CJ8" s="32" t="s">
        <v>9</v>
      </c>
      <c r="CK8" s="32" t="s">
        <v>10</v>
      </c>
      <c r="CL8" s="32" t="s">
        <v>11</v>
      </c>
      <c r="CM8" s="33"/>
      <c r="CN8" s="33"/>
      <c r="CO8" s="32" t="s">
        <v>9</v>
      </c>
      <c r="CP8" s="32" t="s">
        <v>10</v>
      </c>
      <c r="CQ8" s="32" t="s">
        <v>11</v>
      </c>
      <c r="CR8" s="33"/>
      <c r="CS8" s="33"/>
      <c r="CT8" s="32" t="s">
        <v>9</v>
      </c>
      <c r="CU8" s="32" t="s">
        <v>10</v>
      </c>
      <c r="CV8" s="32" t="s">
        <v>11</v>
      </c>
      <c r="CW8" s="33"/>
      <c r="CY8" s="32" t="s">
        <v>9</v>
      </c>
      <c r="CZ8" s="32" t="s">
        <v>10</v>
      </c>
      <c r="DA8" s="32" t="s">
        <v>11</v>
      </c>
      <c r="DB8" s="33"/>
      <c r="DD8" s="32" t="s">
        <v>9</v>
      </c>
      <c r="DE8" s="32" t="s">
        <v>10</v>
      </c>
      <c r="DF8" s="32" t="s">
        <v>11</v>
      </c>
      <c r="DG8" s="33"/>
      <c r="DI8" s="32" t="s">
        <v>9</v>
      </c>
      <c r="DJ8" s="32" t="s">
        <v>10</v>
      </c>
      <c r="DK8" s="32" t="s">
        <v>11</v>
      </c>
      <c r="DL8" s="33"/>
      <c r="DN8" s="32" t="s">
        <v>9</v>
      </c>
      <c r="DO8" s="32" t="s">
        <v>10</v>
      </c>
      <c r="DP8" s="32" t="s">
        <v>11</v>
      </c>
      <c r="DQ8" s="33"/>
      <c r="DS8" s="32" t="s">
        <v>9</v>
      </c>
      <c r="DT8" s="32" t="s">
        <v>10</v>
      </c>
      <c r="DU8" s="32" t="s">
        <v>11</v>
      </c>
      <c r="DV8" s="33"/>
      <c r="DX8" s="32" t="s">
        <v>9</v>
      </c>
      <c r="DY8" s="32" t="s">
        <v>10</v>
      </c>
      <c r="DZ8" s="32" t="s">
        <v>11</v>
      </c>
      <c r="EA8" s="33"/>
      <c r="EC8" s="32" t="s">
        <v>9</v>
      </c>
      <c r="ED8" s="32" t="s">
        <v>10</v>
      </c>
      <c r="EE8" s="32" t="s">
        <v>11</v>
      </c>
      <c r="EF8" s="33"/>
    </row>
    <row r="9" spans="1:146" ht="12.75">
      <c r="A9" s="37">
        <v>43374</v>
      </c>
      <c r="B9" s="38"/>
      <c r="D9" s="3">
        <v>2601125</v>
      </c>
      <c r="E9" s="35">
        <f aca="true" t="shared" si="0" ref="E9:E40">C9+D9</f>
        <v>2601125</v>
      </c>
      <c r="F9" s="35">
        <v>326074</v>
      </c>
      <c r="H9" s="36"/>
      <c r="I9" s="36">
        <v>821921</v>
      </c>
      <c r="J9" s="36">
        <f aca="true" t="shared" si="1" ref="J9:J40">H9+I9</f>
        <v>821921</v>
      </c>
      <c r="K9" s="36">
        <f>'Academic Project '!K9</f>
        <v>103035.01460840002</v>
      </c>
      <c r="M9" s="36"/>
      <c r="N9" s="35">
        <f aca="true" t="shared" si="2" ref="N9:P40">S9+X9+AC9+AH9+AM9+AR9+AW9+BB9+BG9+BL9+BQ9+BV9+CA9+CF9+CK9+CP9+CU9+CZ9+DE9+DJ9+DO9+DT9+DY9+ED9</f>
        <v>1779205.1354124998</v>
      </c>
      <c r="O9" s="36">
        <f aca="true" t="shared" si="3" ref="O9:O40">M9+N9</f>
        <v>1779205.1354124998</v>
      </c>
      <c r="P9" s="35">
        <f t="shared" si="2"/>
        <v>223039.0832138</v>
      </c>
      <c r="R9" s="36"/>
      <c r="S9" s="36">
        <f aca="true" t="shared" si="4" ref="S9:S40">D9*$S$7</f>
        <v>636407.369475</v>
      </c>
      <c r="T9" s="36">
        <f aca="true" t="shared" si="5" ref="T9:T40">R9+S9</f>
        <v>636407.369475</v>
      </c>
      <c r="U9" s="36">
        <f aca="true" t="shared" si="6" ref="U9:U40">S$7*$F9</f>
        <v>79779.2864988</v>
      </c>
      <c r="W9" s="36"/>
      <c r="X9" s="36">
        <f aca="true" t="shared" si="7" ref="X9:X40">D9*$X$7</f>
        <v>14807.9445125</v>
      </c>
      <c r="Y9" s="36">
        <f aca="true" t="shared" si="8" ref="Y9:Y40">W9+X9</f>
        <v>14807.9445125</v>
      </c>
      <c r="Z9" s="36">
        <f aca="true" t="shared" si="9" ref="Z9:Z40">X$7*$F9</f>
        <v>1856.3066746</v>
      </c>
      <c r="AB9" s="36"/>
      <c r="AC9" s="36">
        <f aca="true" t="shared" si="10" ref="AC9:AC40">D9*$AC$7</f>
        <v>1971.132525</v>
      </c>
      <c r="AD9" s="36">
        <f aca="true" t="shared" si="11" ref="AD9:AD40">AB9+AC9</f>
        <v>1971.132525</v>
      </c>
      <c r="AE9" s="36">
        <f aca="true" t="shared" si="12" ref="AE9:AE40">AC$7*$F9</f>
        <v>247.0988772</v>
      </c>
      <c r="AG9" s="36"/>
      <c r="AH9" s="36">
        <f aca="true" t="shared" si="13" ref="AH9:AH40">D9*$AH$7</f>
        <v>52167.12255</v>
      </c>
      <c r="AI9" s="36">
        <f aca="true" t="shared" si="14" ref="AI9:AI40">AG9+AH9</f>
        <v>52167.12255</v>
      </c>
      <c r="AJ9" s="36">
        <f aca="true" t="shared" si="15" ref="AJ9:AJ40">AH$7*$F9</f>
        <v>6539.6097144</v>
      </c>
      <c r="AL9" s="36"/>
      <c r="AM9" s="36">
        <f aca="true" t="shared" si="16" ref="AM9:AM40">D9*$AM$7</f>
        <v>20522.876249999998</v>
      </c>
      <c r="AN9" s="36">
        <f aca="true" t="shared" si="17" ref="AN9:AN40">AL9+AM9</f>
        <v>20522.876249999998</v>
      </c>
      <c r="AO9" s="36">
        <f aca="true" t="shared" si="18" ref="AO9:AO40">AM$7*$F9</f>
        <v>2572.7238599999996</v>
      </c>
      <c r="AQ9" s="36"/>
      <c r="AR9" s="36">
        <f aca="true" t="shared" si="19" ref="AR9:AR40">D9*$AR$7</f>
        <v>7462.367512500001</v>
      </c>
      <c r="AS9" s="36">
        <f aca="true" t="shared" si="20" ref="AS9:AS40">AQ9+AR9</f>
        <v>7462.367512500001</v>
      </c>
      <c r="AT9" s="36">
        <f aca="true" t="shared" si="21" ref="AT9:AT40">AR$7*$F9</f>
        <v>935.4736986</v>
      </c>
      <c r="AV9" s="36"/>
      <c r="AW9" s="36">
        <f aca="true" t="shared" si="22" ref="AW9:AW40">D9*$AW$7</f>
        <v>54233.976474999996</v>
      </c>
      <c r="AX9" s="36">
        <f aca="true" t="shared" si="23" ref="AX9:AX40">AV9+AW9</f>
        <v>54233.976474999996</v>
      </c>
      <c r="AY9" s="36">
        <f aca="true" t="shared" si="24" ref="AY9:AY40">AW$7*$F9</f>
        <v>6798.7081148</v>
      </c>
      <c r="BA9" s="36"/>
      <c r="BB9" s="36">
        <f aca="true" t="shared" si="25" ref="BB9:BB40">D9*$BB$7</f>
        <v>7491.5001125</v>
      </c>
      <c r="BC9" s="36">
        <f aca="true" t="shared" si="26" ref="BC9:BC40">BA9+BB9</f>
        <v>7491.5001125</v>
      </c>
      <c r="BD9" s="36">
        <f aca="true" t="shared" si="27" ref="BD9:BD40">BB$7*$F9</f>
        <v>939.1257274</v>
      </c>
      <c r="BF9" s="36"/>
      <c r="BG9" s="36">
        <f aca="true" t="shared" si="28" ref="BG9:BG40">D9*$BG$7</f>
        <v>6011.199875</v>
      </c>
      <c r="BH9" s="36">
        <f aca="true" t="shared" si="29" ref="BH9:BH40">BF9+BG9</f>
        <v>6011.199875</v>
      </c>
      <c r="BI9" s="36">
        <f aca="true" t="shared" si="30" ref="BI9:BI40">BG$7*$F9</f>
        <v>753.5570140000001</v>
      </c>
      <c r="BK9" s="36"/>
      <c r="BL9" s="36">
        <f aca="true" t="shared" si="31" ref="BL9:BL40">D9*$BL$7</f>
        <v>3538.8305625</v>
      </c>
      <c r="BM9" s="5">
        <f aca="true" t="shared" si="32" ref="BM9:BM40">BK9+BL9</f>
        <v>3538.8305625</v>
      </c>
      <c r="BN9" s="36">
        <f aca="true" t="shared" si="33" ref="BN9:BN40">BL$7*$F9</f>
        <v>443.623677</v>
      </c>
      <c r="BP9" s="36"/>
      <c r="BQ9" s="36">
        <f aca="true" t="shared" si="34" ref="BQ9:BQ40">D9*$BQ$7</f>
        <v>174495.9504</v>
      </c>
      <c r="BR9" s="5">
        <f aca="true" t="shared" si="35" ref="BR9:BR40">BP9+BQ9</f>
        <v>174495.9504</v>
      </c>
      <c r="BS9" s="36">
        <f aca="true" t="shared" si="36" ref="BS9:BS40">BQ$7*$F9</f>
        <v>21874.6090752</v>
      </c>
      <c r="BT9" s="5"/>
      <c r="BU9" s="36"/>
      <c r="BV9" s="36">
        <f aca="true" t="shared" si="37" ref="BV9:BV40">D9*$BV$7</f>
        <v>1845.4981874999999</v>
      </c>
      <c r="BW9" s="5">
        <f aca="true" t="shared" si="38" ref="BW9:BW40">BU9+BV9</f>
        <v>1845.4981874999999</v>
      </c>
      <c r="BX9" s="36">
        <f aca="true" t="shared" si="39" ref="BX9:BX40">BV$7*$F9</f>
        <v>231.349503</v>
      </c>
      <c r="BY9" s="5"/>
      <c r="BZ9" s="36"/>
      <c r="CA9" s="36">
        <f aca="true" t="shared" si="40" ref="CA9:CA40">D9*$CA$7</f>
        <v>3827.0352125</v>
      </c>
      <c r="CB9" s="5">
        <f aca="true" t="shared" si="41" ref="CB9:CB40">BZ9+CA9</f>
        <v>3827.0352125</v>
      </c>
      <c r="CC9" s="36">
        <f aca="true" t="shared" si="42" ref="CC9:CC40">CA$7*$F9</f>
        <v>479.7526762</v>
      </c>
      <c r="CD9" s="5"/>
      <c r="CE9" s="36"/>
      <c r="CF9" s="36">
        <f aca="true" t="shared" si="43" ref="CF9:CF40">D9*$CF$7</f>
        <v>1795.8166999999999</v>
      </c>
      <c r="CG9" s="5">
        <f aca="true" t="shared" si="44" ref="CG9:CG40">CE9+CF9</f>
        <v>1795.8166999999999</v>
      </c>
      <c r="CH9" s="36">
        <f aca="true" t="shared" si="45" ref="CH9:CH40">CF$7*$F9</f>
        <v>225.1214896</v>
      </c>
      <c r="CI9" s="5"/>
      <c r="CJ9" s="36"/>
      <c r="CK9" s="36">
        <f aca="true" t="shared" si="46" ref="CK9:CK40">D9*$CK$7</f>
        <v>22023.725375</v>
      </c>
      <c r="CL9" s="5">
        <f aca="true" t="shared" si="47" ref="CL9:CL40">CJ9+CK9</f>
        <v>22023.725375</v>
      </c>
      <c r="CM9" s="36">
        <f aca="true" t="shared" si="48" ref="CM9:CM40">CK$7*$F9</f>
        <v>2760.868558</v>
      </c>
      <c r="CN9" s="5"/>
      <c r="CO9" s="36"/>
      <c r="CP9" s="36">
        <f aca="true" t="shared" si="49" ref="CP9:CP40">D9*$CP$7</f>
        <v>5123.4359125</v>
      </c>
      <c r="CQ9" s="5">
        <f aca="true" t="shared" si="50" ref="CQ9:CQ40">CO9+CP9</f>
        <v>5123.4359125</v>
      </c>
      <c r="CR9" s="36">
        <f aca="true" t="shared" si="51" ref="CR9:CR40">CP$7*$F9</f>
        <v>642.2679578</v>
      </c>
      <c r="CS9" s="5"/>
      <c r="CT9" s="36"/>
      <c r="CU9" s="36">
        <f aca="true" t="shared" si="52" ref="CU9:CU40">D9*$CU$7</f>
        <v>222455.49315</v>
      </c>
      <c r="CV9" s="5">
        <f aca="true" t="shared" si="53" ref="CV9:CV40">CT9+CU9</f>
        <v>222455.49315</v>
      </c>
      <c r="CW9" s="36">
        <f aca="true" t="shared" si="54" ref="CW9:CW40">CU$7*$F9</f>
        <v>27886.761487199998</v>
      </c>
      <c r="CX9" s="5"/>
      <c r="CY9" s="36"/>
      <c r="CZ9" s="36">
        <f aca="true" t="shared" si="55" ref="CZ9:CZ40">D9*$CZ$7</f>
        <v>53.06295</v>
      </c>
      <c r="DA9" s="5">
        <f aca="true" t="shared" si="56" ref="DA9:DA40">CY9+CZ9</f>
        <v>53.06295</v>
      </c>
      <c r="DB9" s="36">
        <f aca="true" t="shared" si="57" ref="DB9:DB40">CZ$7*$F9</f>
        <v>6.651909600000001</v>
      </c>
      <c r="DC9" s="5"/>
      <c r="DD9" s="36"/>
      <c r="DE9" s="36">
        <f aca="true" t="shared" si="58" ref="DE9:DE40">D9*$DE$7</f>
        <v>382.1052625</v>
      </c>
      <c r="DF9" s="5">
        <f aca="true" t="shared" si="59" ref="DF9:DF40">DD9+DE9</f>
        <v>382.1052625</v>
      </c>
      <c r="DG9" s="36">
        <f aca="true" t="shared" si="60" ref="DG9:DG40">DE$7*$F9</f>
        <v>47.9002706</v>
      </c>
      <c r="DH9" s="5"/>
      <c r="DI9" s="36"/>
      <c r="DJ9" s="36">
        <f aca="true" t="shared" si="61" ref="DJ9:DJ40">D9*$DJ$7</f>
        <v>53066.591575</v>
      </c>
      <c r="DK9" s="5">
        <f aca="true" t="shared" si="62" ref="DK9:DK40">DI9+DJ9</f>
        <v>53066.591575</v>
      </c>
      <c r="DL9" s="36">
        <f aca="true" t="shared" si="63" ref="DL9:DL40">DJ$7*$F9</f>
        <v>6652.3661036</v>
      </c>
      <c r="DM9" s="5"/>
      <c r="DN9" s="36"/>
      <c r="DO9" s="36">
        <f aca="true" t="shared" si="64" ref="DO9:DO40">D9*$DO$7</f>
        <v>104.045</v>
      </c>
      <c r="DP9" s="5">
        <f aca="true" t="shared" si="65" ref="DP9:DP40">DN9+DO9</f>
        <v>104.045</v>
      </c>
      <c r="DQ9" s="36">
        <f aca="true" t="shared" si="66" ref="DQ9:DQ40">DO$7*$F9</f>
        <v>13.04296</v>
      </c>
      <c r="DR9" s="5"/>
      <c r="DS9" s="36"/>
      <c r="DT9" s="36">
        <f aca="true" t="shared" si="67" ref="DT9:DT40">D9*$DT$7</f>
        <v>485869.60111249995</v>
      </c>
      <c r="DU9" s="5">
        <f aca="true" t="shared" si="68" ref="DU9:DU40">DS9+DT9</f>
        <v>485869.60111249995</v>
      </c>
      <c r="DV9" s="36">
        <f aca="true" t="shared" si="69" ref="DV9:DV40">DT$7*$F9</f>
        <v>60908.047215399994</v>
      </c>
      <c r="DW9" s="5"/>
      <c r="DX9" s="5"/>
      <c r="DY9" s="36">
        <f aca="true" t="shared" si="70" ref="DY9:DY40">D9*$DY$7</f>
        <v>3548.454725</v>
      </c>
      <c r="DZ9" s="36">
        <f aca="true" t="shared" si="71" ref="DZ9:DZ40">DX9+DY9</f>
        <v>3548.454725</v>
      </c>
      <c r="EA9" s="36">
        <f aca="true" t="shared" si="72" ref="EA9:EA40">DY$7*$F9</f>
        <v>444.8301508</v>
      </c>
      <c r="EB9" s="5"/>
      <c r="EC9" s="5"/>
      <c r="ED9" s="36"/>
      <c r="EE9" s="36">
        <f aca="true" t="shared" si="73" ref="EE9:EE40">EC9+ED9</f>
        <v>0</v>
      </c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43556</v>
      </c>
      <c r="C10" s="3">
        <v>5290000</v>
      </c>
      <c r="D10" s="3">
        <v>2601125</v>
      </c>
      <c r="E10" s="35">
        <f t="shared" si="0"/>
        <v>7891125</v>
      </c>
      <c r="F10" s="35">
        <v>326074</v>
      </c>
      <c r="H10" s="36">
        <v>1671569</v>
      </c>
      <c r="I10" s="36">
        <v>821921</v>
      </c>
      <c r="J10" s="36">
        <f t="shared" si="1"/>
        <v>2493490</v>
      </c>
      <c r="K10" s="36">
        <f>'Academic Project '!K10</f>
        <v>103035.01460840002</v>
      </c>
      <c r="M10" s="36">
        <f>R10+W10+AB10+AG10+AL10+AQ10+AV10+BA10+BF10+BK10+BP10+BU10+BZ10+CE10+CJ10+CO10+CT10+CY10+DD10+DI10+DN10+DS10+DX10+EC10</f>
        <v>3618432.4729999993</v>
      </c>
      <c r="N10" s="35">
        <f t="shared" si="2"/>
        <v>1779205.1354124998</v>
      </c>
      <c r="O10" s="36">
        <f t="shared" si="3"/>
        <v>5397637.608412499</v>
      </c>
      <c r="P10" s="35">
        <f t="shared" si="2"/>
        <v>223039.0832138</v>
      </c>
      <c r="R10" s="36">
        <f>C10*$S$7</f>
        <v>1294284.198</v>
      </c>
      <c r="S10" s="36">
        <f t="shared" si="4"/>
        <v>636407.369475</v>
      </c>
      <c r="T10" s="36">
        <f t="shared" si="5"/>
        <v>1930691.567475</v>
      </c>
      <c r="U10" s="36">
        <f t="shared" si="6"/>
        <v>79779.2864988</v>
      </c>
      <c r="W10" s="36">
        <f aca="true" t="shared" si="74" ref="W10:W40">C10*$X$7</f>
        <v>30115.441</v>
      </c>
      <c r="X10" s="36">
        <f t="shared" si="7"/>
        <v>14807.9445125</v>
      </c>
      <c r="Y10" s="36">
        <f t="shared" si="8"/>
        <v>44923.3855125</v>
      </c>
      <c r="Z10" s="36">
        <f t="shared" si="9"/>
        <v>1856.3066746</v>
      </c>
      <c r="AB10" s="36">
        <f aca="true" t="shared" si="75" ref="AB10:AB40">C10*$AC$7</f>
        <v>4008.7619999999997</v>
      </c>
      <c r="AC10" s="36">
        <f t="shared" si="10"/>
        <v>1971.132525</v>
      </c>
      <c r="AD10" s="36">
        <f t="shared" si="11"/>
        <v>5979.894525</v>
      </c>
      <c r="AE10" s="36">
        <f t="shared" si="12"/>
        <v>247.0988772</v>
      </c>
      <c r="AG10" s="36">
        <f aca="true" t="shared" si="76" ref="AG10:AG40">C10*$AH$7</f>
        <v>106094.124</v>
      </c>
      <c r="AH10" s="36">
        <f t="shared" si="13"/>
        <v>52167.12255</v>
      </c>
      <c r="AI10" s="36">
        <f t="shared" si="14"/>
        <v>158261.24654999998</v>
      </c>
      <c r="AJ10" s="36">
        <f t="shared" si="15"/>
        <v>6539.6097144</v>
      </c>
      <c r="AL10" s="36">
        <f aca="true" t="shared" si="77" ref="AL10:AL40">C10*$AM$7</f>
        <v>41738.1</v>
      </c>
      <c r="AM10" s="36">
        <f t="shared" si="16"/>
        <v>20522.876249999998</v>
      </c>
      <c r="AN10" s="36">
        <f t="shared" si="17"/>
        <v>62260.97624999999</v>
      </c>
      <c r="AO10" s="36">
        <f t="shared" si="18"/>
        <v>2572.7238599999996</v>
      </c>
      <c r="AQ10" s="36">
        <f aca="true" t="shared" si="78" ref="AQ10:AQ40">C10*$AR$7</f>
        <v>15176.481000000002</v>
      </c>
      <c r="AR10" s="36">
        <f t="shared" si="19"/>
        <v>7462.367512500001</v>
      </c>
      <c r="AS10" s="36">
        <f t="shared" si="20"/>
        <v>22638.8485125</v>
      </c>
      <c r="AT10" s="36">
        <f t="shared" si="21"/>
        <v>935.4736986</v>
      </c>
      <c r="AV10" s="36">
        <f aca="true" t="shared" si="79" ref="AV10:AV40">C10*$AW$7</f>
        <v>110297.55799999999</v>
      </c>
      <c r="AW10" s="36">
        <f t="shared" si="22"/>
        <v>54233.976474999996</v>
      </c>
      <c r="AX10" s="36">
        <f t="shared" si="23"/>
        <v>164531.534475</v>
      </c>
      <c r="AY10" s="36">
        <f t="shared" si="24"/>
        <v>6798.7081148</v>
      </c>
      <c r="BA10" s="36">
        <f aca="true" t="shared" si="80" ref="BA10:BA40">C10*$BB$7</f>
        <v>15235.729</v>
      </c>
      <c r="BB10" s="36">
        <f t="shared" si="25"/>
        <v>7491.5001125</v>
      </c>
      <c r="BC10" s="36">
        <f t="shared" si="26"/>
        <v>22727.229112499997</v>
      </c>
      <c r="BD10" s="36">
        <f t="shared" si="27"/>
        <v>939.1257274</v>
      </c>
      <c r="BF10" s="36">
        <f aca="true" t="shared" si="81" ref="BF10:BF40">C10*$BG$7</f>
        <v>12225.19</v>
      </c>
      <c r="BG10" s="36">
        <f t="shared" si="28"/>
        <v>6011.199875</v>
      </c>
      <c r="BH10" s="36">
        <f t="shared" si="29"/>
        <v>18236.389875</v>
      </c>
      <c r="BI10" s="36">
        <f t="shared" si="30"/>
        <v>753.5570140000001</v>
      </c>
      <c r="BK10" s="36">
        <f aca="true" t="shared" si="82" ref="BK10:BK40">C10*$BL$7</f>
        <v>7197.045</v>
      </c>
      <c r="BL10" s="36">
        <f t="shared" si="31"/>
        <v>3538.8305625</v>
      </c>
      <c r="BM10" s="5">
        <f t="shared" si="32"/>
        <v>10735.8755625</v>
      </c>
      <c r="BN10" s="36">
        <f t="shared" si="33"/>
        <v>443.623677</v>
      </c>
      <c r="BP10" s="36">
        <f aca="true" t="shared" si="83" ref="BP10:BP40">C10*$BQ$7</f>
        <v>354878.592</v>
      </c>
      <c r="BQ10" s="36">
        <f t="shared" si="34"/>
        <v>174495.9504</v>
      </c>
      <c r="BR10" s="5">
        <f t="shared" si="35"/>
        <v>529374.5424</v>
      </c>
      <c r="BS10" s="36">
        <f t="shared" si="36"/>
        <v>21874.6090752</v>
      </c>
      <c r="BT10" s="5"/>
      <c r="BU10" s="36">
        <f aca="true" t="shared" si="84" ref="BU10:BU40">C10*$BV$7</f>
        <v>3753.2549999999997</v>
      </c>
      <c r="BV10" s="36">
        <f t="shared" si="37"/>
        <v>1845.4981874999999</v>
      </c>
      <c r="BW10" s="5">
        <f t="shared" si="38"/>
        <v>5598.7531874999995</v>
      </c>
      <c r="BX10" s="36">
        <f t="shared" si="39"/>
        <v>231.349503</v>
      </c>
      <c r="BY10" s="5"/>
      <c r="BZ10" s="36">
        <f aca="true" t="shared" si="85" ref="BZ10:BZ40">C10*$CA$7</f>
        <v>7783.177000000001</v>
      </c>
      <c r="CA10" s="36">
        <f t="shared" si="40"/>
        <v>3827.0352125</v>
      </c>
      <c r="CB10" s="5">
        <f t="shared" si="41"/>
        <v>11610.2122125</v>
      </c>
      <c r="CC10" s="36">
        <f t="shared" si="42"/>
        <v>479.7526762</v>
      </c>
      <c r="CD10" s="5"/>
      <c r="CE10" s="36">
        <f aca="true" t="shared" si="86" ref="CE10:CE40">C10*$CF$7</f>
        <v>3652.216</v>
      </c>
      <c r="CF10" s="36">
        <f t="shared" si="43"/>
        <v>1795.8166999999999</v>
      </c>
      <c r="CG10" s="5">
        <f t="shared" si="44"/>
        <v>5448.0327</v>
      </c>
      <c r="CH10" s="36">
        <f t="shared" si="45"/>
        <v>225.1214896</v>
      </c>
      <c r="CI10" s="5"/>
      <c r="CJ10" s="36">
        <f aca="true" t="shared" si="87" ref="CJ10:CJ40">C10*$CK$7</f>
        <v>44790.43</v>
      </c>
      <c r="CK10" s="36">
        <f t="shared" si="46"/>
        <v>22023.725375</v>
      </c>
      <c r="CL10" s="5">
        <f t="shared" si="47"/>
        <v>66814.155375</v>
      </c>
      <c r="CM10" s="36">
        <f t="shared" si="48"/>
        <v>2760.868558</v>
      </c>
      <c r="CN10" s="5"/>
      <c r="CO10" s="36">
        <f aca="true" t="shared" si="88" ref="CO10:CO40">C10*$CP$7</f>
        <v>10419.713</v>
      </c>
      <c r="CP10" s="36">
        <f t="shared" si="49"/>
        <v>5123.4359125</v>
      </c>
      <c r="CQ10" s="5">
        <f t="shared" si="50"/>
        <v>15543.1489125</v>
      </c>
      <c r="CR10" s="36">
        <f t="shared" si="51"/>
        <v>642.2679578</v>
      </c>
      <c r="CS10" s="5"/>
      <c r="CT10" s="36">
        <f aca="true" t="shared" si="89" ref="CT10:CT40">C10*$CU$7</f>
        <v>452415.61199999996</v>
      </c>
      <c r="CU10" s="36">
        <f t="shared" si="52"/>
        <v>222455.49315</v>
      </c>
      <c r="CV10" s="5">
        <f t="shared" si="53"/>
        <v>674871.10515</v>
      </c>
      <c r="CW10" s="36">
        <f t="shared" si="54"/>
        <v>27886.761487199998</v>
      </c>
      <c r="CX10" s="5"/>
      <c r="CY10" s="36">
        <f aca="true" t="shared" si="90" ref="CY10:CY40">C10*$CZ$7</f>
        <v>107.91600000000001</v>
      </c>
      <c r="CZ10" s="36">
        <f t="shared" si="55"/>
        <v>53.06295</v>
      </c>
      <c r="DA10" s="5">
        <f t="shared" si="56"/>
        <v>160.97895</v>
      </c>
      <c r="DB10" s="36">
        <f t="shared" si="57"/>
        <v>6.651909600000001</v>
      </c>
      <c r="DC10" s="5"/>
      <c r="DD10" s="36">
        <f>C10*$DE$7</f>
        <v>777.101</v>
      </c>
      <c r="DE10" s="36">
        <f t="shared" si="58"/>
        <v>382.1052625</v>
      </c>
      <c r="DF10" s="5">
        <f t="shared" si="59"/>
        <v>1159.2062624999999</v>
      </c>
      <c r="DG10" s="36">
        <f t="shared" si="60"/>
        <v>47.9002706</v>
      </c>
      <c r="DH10" s="5"/>
      <c r="DI10" s="36">
        <f>C10*$DJ$7</f>
        <v>107923.406</v>
      </c>
      <c r="DJ10" s="36">
        <f t="shared" si="61"/>
        <v>53066.591575</v>
      </c>
      <c r="DK10" s="5">
        <f t="shared" si="62"/>
        <v>160989.997575</v>
      </c>
      <c r="DL10" s="36">
        <f t="shared" si="63"/>
        <v>6652.3661036</v>
      </c>
      <c r="DM10" s="5"/>
      <c r="DN10" s="36">
        <f>C10*$DO$7</f>
        <v>211.60000000000002</v>
      </c>
      <c r="DO10" s="36">
        <f t="shared" si="64"/>
        <v>104.045</v>
      </c>
      <c r="DP10" s="5">
        <f t="shared" si="65"/>
        <v>315.64500000000004</v>
      </c>
      <c r="DQ10" s="36">
        <f t="shared" si="66"/>
        <v>13.04296</v>
      </c>
      <c r="DR10" s="5"/>
      <c r="DS10" s="36">
        <f>C10*$DT$7</f>
        <v>988130.2089999999</v>
      </c>
      <c r="DT10" s="36">
        <f t="shared" si="67"/>
        <v>485869.60111249995</v>
      </c>
      <c r="DU10" s="5">
        <f t="shared" si="68"/>
        <v>1473999.8101124999</v>
      </c>
      <c r="DV10" s="36">
        <f t="shared" si="69"/>
        <v>60908.047215399994</v>
      </c>
      <c r="DW10" s="5"/>
      <c r="DX10" s="5">
        <f>C10*$DY$7</f>
        <v>7216.618</v>
      </c>
      <c r="DY10" s="36">
        <f t="shared" si="70"/>
        <v>3548.454725</v>
      </c>
      <c r="DZ10" s="36">
        <f t="shared" si="71"/>
        <v>10765.072725</v>
      </c>
      <c r="EA10" s="36">
        <f t="shared" si="72"/>
        <v>444.8301508</v>
      </c>
      <c r="EB10" s="5"/>
      <c r="EC10" s="5"/>
      <c r="ED10" s="36"/>
      <c r="EE10" s="36">
        <f t="shared" si="73"/>
        <v>0</v>
      </c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43739</v>
      </c>
      <c r="D11" s="3">
        <v>2468875</v>
      </c>
      <c r="E11" s="35">
        <f t="shared" si="0"/>
        <v>2468875</v>
      </c>
      <c r="F11" s="35">
        <v>326074</v>
      </c>
      <c r="H11" s="36"/>
      <c r="I11" s="36">
        <v>780131</v>
      </c>
      <c r="J11" s="36">
        <f t="shared" si="1"/>
        <v>780131</v>
      </c>
      <c r="K11" s="36">
        <f>'Academic Project '!K11</f>
        <v>103035.01460840002</v>
      </c>
      <c r="M11" s="36"/>
      <c r="N11" s="35">
        <f t="shared" si="2"/>
        <v>1688744.3235874998</v>
      </c>
      <c r="O11" s="36">
        <f t="shared" si="3"/>
        <v>1688744.3235874998</v>
      </c>
      <c r="P11" s="35">
        <f t="shared" si="2"/>
        <v>223039.0832138</v>
      </c>
      <c r="R11" s="36"/>
      <c r="S11" s="36">
        <f t="shared" si="4"/>
        <v>604050.264525</v>
      </c>
      <c r="T11" s="36">
        <f t="shared" si="5"/>
        <v>604050.264525</v>
      </c>
      <c r="U11" s="36">
        <f t="shared" si="6"/>
        <v>79779.2864988</v>
      </c>
      <c r="W11" s="36"/>
      <c r="X11" s="36">
        <f t="shared" si="7"/>
        <v>14055.0584875</v>
      </c>
      <c r="Y11" s="36">
        <f t="shared" si="8"/>
        <v>14055.0584875</v>
      </c>
      <c r="Z11" s="36">
        <f t="shared" si="9"/>
        <v>1856.3066746</v>
      </c>
      <c r="AB11" s="36"/>
      <c r="AC11" s="36">
        <f t="shared" si="10"/>
        <v>1870.913475</v>
      </c>
      <c r="AD11" s="36">
        <f t="shared" si="11"/>
        <v>1870.913475</v>
      </c>
      <c r="AE11" s="36">
        <f t="shared" si="12"/>
        <v>247.0988772</v>
      </c>
      <c r="AG11" s="36"/>
      <c r="AH11" s="36">
        <f t="shared" si="13"/>
        <v>49514.76945</v>
      </c>
      <c r="AI11" s="36">
        <f t="shared" si="14"/>
        <v>49514.76945</v>
      </c>
      <c r="AJ11" s="36">
        <f t="shared" si="15"/>
        <v>6539.6097144</v>
      </c>
      <c r="AL11" s="36"/>
      <c r="AM11" s="36">
        <f t="shared" si="16"/>
        <v>19479.423749999998</v>
      </c>
      <c r="AN11" s="36">
        <f t="shared" si="17"/>
        <v>19479.423749999998</v>
      </c>
      <c r="AO11" s="36">
        <f t="shared" si="18"/>
        <v>2572.7238599999996</v>
      </c>
      <c r="AQ11" s="36"/>
      <c r="AR11" s="36">
        <f t="shared" si="19"/>
        <v>7082.9554875</v>
      </c>
      <c r="AS11" s="36">
        <f t="shared" si="20"/>
        <v>7082.9554875</v>
      </c>
      <c r="AT11" s="36">
        <f t="shared" si="21"/>
        <v>935.4736986</v>
      </c>
      <c r="AV11" s="36"/>
      <c r="AW11" s="36">
        <f t="shared" si="22"/>
        <v>51476.537525</v>
      </c>
      <c r="AX11" s="36">
        <f t="shared" si="23"/>
        <v>51476.537525</v>
      </c>
      <c r="AY11" s="36">
        <f t="shared" si="24"/>
        <v>6798.7081148</v>
      </c>
      <c r="BA11" s="36"/>
      <c r="BB11" s="36">
        <f t="shared" si="25"/>
        <v>7110.6068875</v>
      </c>
      <c r="BC11" s="36">
        <f t="shared" si="26"/>
        <v>7110.6068875</v>
      </c>
      <c r="BD11" s="36">
        <f t="shared" si="27"/>
        <v>939.1257274</v>
      </c>
      <c r="BF11" s="36"/>
      <c r="BG11" s="36">
        <f t="shared" si="28"/>
        <v>5705.570125</v>
      </c>
      <c r="BH11" s="36">
        <f t="shared" si="29"/>
        <v>5705.570125</v>
      </c>
      <c r="BI11" s="36">
        <f t="shared" si="30"/>
        <v>753.5570140000001</v>
      </c>
      <c r="BK11" s="36"/>
      <c r="BL11" s="36">
        <f t="shared" si="31"/>
        <v>3358.9044375</v>
      </c>
      <c r="BM11" s="5">
        <f t="shared" si="32"/>
        <v>3358.9044375</v>
      </c>
      <c r="BN11" s="36">
        <f t="shared" si="33"/>
        <v>443.623677</v>
      </c>
      <c r="BP11" s="36"/>
      <c r="BQ11" s="36">
        <f t="shared" si="34"/>
        <v>165623.98559999999</v>
      </c>
      <c r="BR11" s="5">
        <f t="shared" si="35"/>
        <v>165623.98559999999</v>
      </c>
      <c r="BS11" s="36">
        <f t="shared" si="36"/>
        <v>21874.6090752</v>
      </c>
      <c r="BT11" s="5"/>
      <c r="BU11" s="36"/>
      <c r="BV11" s="36">
        <f t="shared" si="37"/>
        <v>1751.6668124999999</v>
      </c>
      <c r="BW11" s="5">
        <f t="shared" si="38"/>
        <v>1751.6668124999999</v>
      </c>
      <c r="BX11" s="36">
        <f t="shared" si="39"/>
        <v>231.349503</v>
      </c>
      <c r="BY11" s="5"/>
      <c r="BZ11" s="36"/>
      <c r="CA11" s="36">
        <f t="shared" si="40"/>
        <v>3632.4557875</v>
      </c>
      <c r="CB11" s="5">
        <f t="shared" si="41"/>
        <v>3632.4557875</v>
      </c>
      <c r="CC11" s="36">
        <f t="shared" si="42"/>
        <v>479.7526762</v>
      </c>
      <c r="CD11" s="5"/>
      <c r="CE11" s="36"/>
      <c r="CF11" s="36">
        <f t="shared" si="43"/>
        <v>1704.5113</v>
      </c>
      <c r="CG11" s="5">
        <f t="shared" si="44"/>
        <v>1704.5113</v>
      </c>
      <c r="CH11" s="36">
        <f t="shared" si="45"/>
        <v>225.1214896</v>
      </c>
      <c r="CI11" s="5"/>
      <c r="CJ11" s="36"/>
      <c r="CK11" s="36">
        <f t="shared" si="46"/>
        <v>20903.964625</v>
      </c>
      <c r="CL11" s="5">
        <f t="shared" si="47"/>
        <v>20903.964625</v>
      </c>
      <c r="CM11" s="36">
        <f t="shared" si="48"/>
        <v>2760.868558</v>
      </c>
      <c r="CN11" s="5"/>
      <c r="CO11" s="36"/>
      <c r="CP11" s="36">
        <f t="shared" si="49"/>
        <v>4862.9430875</v>
      </c>
      <c r="CQ11" s="5">
        <f t="shared" si="50"/>
        <v>4862.9430875</v>
      </c>
      <c r="CR11" s="36">
        <f t="shared" si="51"/>
        <v>642.2679578</v>
      </c>
      <c r="CS11" s="5"/>
      <c r="CT11" s="36"/>
      <c r="CU11" s="36">
        <f t="shared" si="52"/>
        <v>211145.10285</v>
      </c>
      <c r="CV11" s="5">
        <f t="shared" si="53"/>
        <v>211145.10285</v>
      </c>
      <c r="CW11" s="36">
        <f t="shared" si="54"/>
        <v>27886.761487199998</v>
      </c>
      <c r="CX11" s="5"/>
      <c r="CY11" s="36"/>
      <c r="CZ11" s="36">
        <f t="shared" si="55"/>
        <v>50.365050000000004</v>
      </c>
      <c r="DA11" s="5">
        <f t="shared" si="56"/>
        <v>50.365050000000004</v>
      </c>
      <c r="DB11" s="36">
        <f t="shared" si="57"/>
        <v>6.651909600000001</v>
      </c>
      <c r="DC11" s="5"/>
      <c r="DD11" s="36"/>
      <c r="DE11" s="36">
        <f t="shared" si="58"/>
        <v>362.6777375</v>
      </c>
      <c r="DF11" s="5">
        <f t="shared" si="59"/>
        <v>362.6777375</v>
      </c>
      <c r="DG11" s="36">
        <f t="shared" si="60"/>
        <v>47.9002706</v>
      </c>
      <c r="DH11" s="5"/>
      <c r="DI11" s="36"/>
      <c r="DJ11" s="36">
        <f t="shared" si="61"/>
        <v>50368.506425</v>
      </c>
      <c r="DK11" s="5">
        <f t="shared" si="62"/>
        <v>50368.506425</v>
      </c>
      <c r="DL11" s="36">
        <f t="shared" si="63"/>
        <v>6652.3661036</v>
      </c>
      <c r="DM11" s="5"/>
      <c r="DN11" s="36"/>
      <c r="DO11" s="36">
        <f t="shared" si="64"/>
        <v>98.75500000000001</v>
      </c>
      <c r="DP11" s="5">
        <f t="shared" si="65"/>
        <v>98.75500000000001</v>
      </c>
      <c r="DQ11" s="36">
        <f t="shared" si="66"/>
        <v>13.04296</v>
      </c>
      <c r="DR11" s="5"/>
      <c r="DS11" s="36"/>
      <c r="DT11" s="36">
        <f t="shared" si="67"/>
        <v>461166.3458875</v>
      </c>
      <c r="DU11" s="5">
        <f t="shared" si="68"/>
        <v>461166.3458875</v>
      </c>
      <c r="DV11" s="36">
        <f t="shared" si="69"/>
        <v>60908.047215399994</v>
      </c>
      <c r="DW11" s="5"/>
      <c r="DX11" s="5"/>
      <c r="DY11" s="36">
        <f t="shared" si="70"/>
        <v>3368.039275</v>
      </c>
      <c r="DZ11" s="36">
        <f t="shared" si="71"/>
        <v>3368.039275</v>
      </c>
      <c r="EA11" s="36">
        <f t="shared" si="72"/>
        <v>444.8301508</v>
      </c>
      <c r="EB11" s="5"/>
      <c r="EC11" s="5"/>
      <c r="ED11" s="36"/>
      <c r="EE11" s="36">
        <f t="shared" si="73"/>
        <v>0</v>
      </c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43922</v>
      </c>
      <c r="C12" s="3">
        <v>5555000</v>
      </c>
      <c r="D12" s="3">
        <v>2468875</v>
      </c>
      <c r="E12" s="35">
        <f t="shared" si="0"/>
        <v>8023875</v>
      </c>
      <c r="F12" s="35">
        <v>326074</v>
      </c>
      <c r="H12" s="36">
        <v>1755306</v>
      </c>
      <c r="I12" s="36">
        <v>780131</v>
      </c>
      <c r="J12" s="36">
        <f t="shared" si="1"/>
        <v>2535437</v>
      </c>
      <c r="K12" s="36">
        <f>'Academic Project '!K12</f>
        <v>103035.01460840002</v>
      </c>
      <c r="M12" s="36">
        <f>R12+W12+AB12+AG12+AL12+AQ12+AV12+BA12+BF12+BK12+BP12+BU12+BZ12+CE12+CJ12+CO12+CT12+CY12+DD12+DI12+DN12+DS12+DX12+EC12</f>
        <v>3799696.1034999997</v>
      </c>
      <c r="N12" s="35">
        <f t="shared" si="2"/>
        <v>1688744.3235874998</v>
      </c>
      <c r="O12" s="36">
        <f t="shared" si="3"/>
        <v>5488440.4270875</v>
      </c>
      <c r="P12" s="35">
        <f t="shared" si="2"/>
        <v>223039.0832138</v>
      </c>
      <c r="R12" s="36">
        <f>C12*$S$7</f>
        <v>1359120.741</v>
      </c>
      <c r="S12" s="36">
        <f t="shared" si="4"/>
        <v>604050.264525</v>
      </c>
      <c r="T12" s="36">
        <f t="shared" si="5"/>
        <v>1963171.005525</v>
      </c>
      <c r="U12" s="36">
        <f t="shared" si="6"/>
        <v>79779.2864988</v>
      </c>
      <c r="W12" s="36">
        <f t="shared" si="74"/>
        <v>31624.0595</v>
      </c>
      <c r="X12" s="36">
        <f t="shared" si="7"/>
        <v>14055.0584875</v>
      </c>
      <c r="Y12" s="36">
        <f t="shared" si="8"/>
        <v>45679.1179875</v>
      </c>
      <c r="Z12" s="36">
        <f t="shared" si="9"/>
        <v>1856.3066746</v>
      </c>
      <c r="AB12" s="36">
        <f t="shared" si="75"/>
        <v>4209.579</v>
      </c>
      <c r="AC12" s="36">
        <f t="shared" si="10"/>
        <v>1870.913475</v>
      </c>
      <c r="AD12" s="36">
        <f t="shared" si="11"/>
        <v>6080.492475</v>
      </c>
      <c r="AE12" s="36">
        <f t="shared" si="12"/>
        <v>247.0988772</v>
      </c>
      <c r="AG12" s="36">
        <f t="shared" si="76"/>
        <v>111408.858</v>
      </c>
      <c r="AH12" s="36">
        <f t="shared" si="13"/>
        <v>49514.76945</v>
      </c>
      <c r="AI12" s="36">
        <f t="shared" si="14"/>
        <v>160923.62745</v>
      </c>
      <c r="AJ12" s="36">
        <f t="shared" si="15"/>
        <v>6539.6097144</v>
      </c>
      <c r="AL12" s="36">
        <f t="shared" si="77"/>
        <v>43828.95</v>
      </c>
      <c r="AM12" s="36">
        <f t="shared" si="16"/>
        <v>19479.423749999998</v>
      </c>
      <c r="AN12" s="36">
        <f t="shared" si="17"/>
        <v>63308.37375</v>
      </c>
      <c r="AO12" s="36">
        <f t="shared" si="18"/>
        <v>2572.7238599999996</v>
      </c>
      <c r="AQ12" s="36">
        <f t="shared" si="78"/>
        <v>15936.739500000001</v>
      </c>
      <c r="AR12" s="36">
        <f t="shared" si="19"/>
        <v>7082.9554875</v>
      </c>
      <c r="AS12" s="36">
        <f t="shared" si="20"/>
        <v>23019.694987500003</v>
      </c>
      <c r="AT12" s="36">
        <f t="shared" si="21"/>
        <v>935.4736986</v>
      </c>
      <c r="AV12" s="36">
        <f t="shared" si="79"/>
        <v>115822.86099999999</v>
      </c>
      <c r="AW12" s="36">
        <f t="shared" si="22"/>
        <v>51476.537525</v>
      </c>
      <c r="AX12" s="36">
        <f t="shared" si="23"/>
        <v>167299.398525</v>
      </c>
      <c r="AY12" s="36">
        <f t="shared" si="24"/>
        <v>6798.7081148</v>
      </c>
      <c r="BA12" s="36">
        <f t="shared" si="80"/>
        <v>15998.9555</v>
      </c>
      <c r="BB12" s="36">
        <f t="shared" si="25"/>
        <v>7110.6068875</v>
      </c>
      <c r="BC12" s="36">
        <f t="shared" si="26"/>
        <v>23109.562387500002</v>
      </c>
      <c r="BD12" s="36">
        <f t="shared" si="27"/>
        <v>939.1257274</v>
      </c>
      <c r="BF12" s="36">
        <f t="shared" si="81"/>
        <v>12837.605000000001</v>
      </c>
      <c r="BG12" s="36">
        <f t="shared" si="28"/>
        <v>5705.570125</v>
      </c>
      <c r="BH12" s="36">
        <f t="shared" si="29"/>
        <v>18543.175125</v>
      </c>
      <c r="BI12" s="36">
        <f t="shared" si="30"/>
        <v>753.5570140000001</v>
      </c>
      <c r="BK12" s="36">
        <f t="shared" si="82"/>
        <v>7557.577499999999</v>
      </c>
      <c r="BL12" s="36">
        <f t="shared" si="31"/>
        <v>3358.9044375</v>
      </c>
      <c r="BM12" s="5">
        <f t="shared" si="32"/>
        <v>10916.481937499999</v>
      </c>
      <c r="BN12" s="36">
        <f t="shared" si="33"/>
        <v>443.623677</v>
      </c>
      <c r="BP12" s="36">
        <f t="shared" si="83"/>
        <v>372656.064</v>
      </c>
      <c r="BQ12" s="36">
        <f t="shared" si="34"/>
        <v>165623.98559999999</v>
      </c>
      <c r="BR12" s="5">
        <f t="shared" si="35"/>
        <v>538280.0496</v>
      </c>
      <c r="BS12" s="36">
        <f t="shared" si="36"/>
        <v>21874.6090752</v>
      </c>
      <c r="BT12" s="5"/>
      <c r="BU12" s="36">
        <f t="shared" si="84"/>
        <v>3941.2724999999996</v>
      </c>
      <c r="BV12" s="36">
        <f t="shared" si="37"/>
        <v>1751.6668124999999</v>
      </c>
      <c r="BW12" s="5">
        <f t="shared" si="38"/>
        <v>5692.9393125</v>
      </c>
      <c r="BX12" s="36">
        <f t="shared" si="39"/>
        <v>231.349503</v>
      </c>
      <c r="BY12" s="5"/>
      <c r="BZ12" s="36">
        <f t="shared" si="85"/>
        <v>8173.0715</v>
      </c>
      <c r="CA12" s="36">
        <f t="shared" si="40"/>
        <v>3632.4557875</v>
      </c>
      <c r="CB12" s="5">
        <f t="shared" si="41"/>
        <v>11805.527287500001</v>
      </c>
      <c r="CC12" s="36">
        <f t="shared" si="42"/>
        <v>479.7526762</v>
      </c>
      <c r="CD12" s="5"/>
      <c r="CE12" s="36">
        <f t="shared" si="86"/>
        <v>3835.172</v>
      </c>
      <c r="CF12" s="36">
        <f t="shared" si="43"/>
        <v>1704.5113</v>
      </c>
      <c r="CG12" s="5">
        <f t="shared" si="44"/>
        <v>5539.6833</v>
      </c>
      <c r="CH12" s="36">
        <f t="shared" si="45"/>
        <v>225.1214896</v>
      </c>
      <c r="CI12" s="5"/>
      <c r="CJ12" s="36">
        <f t="shared" si="87"/>
        <v>47034.185000000005</v>
      </c>
      <c r="CK12" s="36">
        <f t="shared" si="46"/>
        <v>20903.964625</v>
      </c>
      <c r="CL12" s="5">
        <f t="shared" si="47"/>
        <v>67938.149625</v>
      </c>
      <c r="CM12" s="36">
        <f t="shared" si="48"/>
        <v>2760.868558</v>
      </c>
      <c r="CN12" s="5"/>
      <c r="CO12" s="36">
        <f t="shared" si="88"/>
        <v>10941.6835</v>
      </c>
      <c r="CP12" s="36">
        <f t="shared" si="49"/>
        <v>4862.9430875</v>
      </c>
      <c r="CQ12" s="5">
        <f t="shared" si="50"/>
        <v>15804.626587499999</v>
      </c>
      <c r="CR12" s="36">
        <f t="shared" si="51"/>
        <v>642.2679578</v>
      </c>
      <c r="CS12" s="5"/>
      <c r="CT12" s="36">
        <f t="shared" si="89"/>
        <v>475079.154</v>
      </c>
      <c r="CU12" s="36">
        <f t="shared" si="52"/>
        <v>211145.10285</v>
      </c>
      <c r="CV12" s="5">
        <f t="shared" si="53"/>
        <v>686224.25685</v>
      </c>
      <c r="CW12" s="36">
        <f t="shared" si="54"/>
        <v>27886.761487199998</v>
      </c>
      <c r="CX12" s="5"/>
      <c r="CY12" s="36">
        <f t="shared" si="90"/>
        <v>113.322</v>
      </c>
      <c r="CZ12" s="36">
        <f t="shared" si="55"/>
        <v>50.365050000000004</v>
      </c>
      <c r="DA12" s="5">
        <f t="shared" si="56"/>
        <v>163.68705</v>
      </c>
      <c r="DB12" s="36">
        <f t="shared" si="57"/>
        <v>6.651909600000001</v>
      </c>
      <c r="DC12" s="5"/>
      <c r="DD12" s="36">
        <f>C12*$DE$7</f>
        <v>816.0295</v>
      </c>
      <c r="DE12" s="36">
        <f t="shared" si="58"/>
        <v>362.6777375</v>
      </c>
      <c r="DF12" s="5">
        <f t="shared" si="59"/>
        <v>1178.7072375</v>
      </c>
      <c r="DG12" s="36">
        <f t="shared" si="60"/>
        <v>47.9002706</v>
      </c>
      <c r="DH12" s="5"/>
      <c r="DI12" s="36">
        <f>C12*$DJ$7</f>
        <v>113329.777</v>
      </c>
      <c r="DJ12" s="36">
        <f t="shared" si="61"/>
        <v>50368.506425</v>
      </c>
      <c r="DK12" s="5">
        <f t="shared" si="62"/>
        <v>163698.283425</v>
      </c>
      <c r="DL12" s="36">
        <f t="shared" si="63"/>
        <v>6652.3661036</v>
      </c>
      <c r="DM12" s="5"/>
      <c r="DN12" s="36">
        <f>C12*$DO$7</f>
        <v>222.20000000000002</v>
      </c>
      <c r="DO12" s="36">
        <f t="shared" si="64"/>
        <v>98.75500000000001</v>
      </c>
      <c r="DP12" s="5">
        <f t="shared" si="65"/>
        <v>320.95500000000004</v>
      </c>
      <c r="DQ12" s="36">
        <f t="shared" si="66"/>
        <v>13.04296</v>
      </c>
      <c r="DR12" s="5"/>
      <c r="DS12" s="36">
        <f>C12*$DT$7</f>
        <v>1037630.1155</v>
      </c>
      <c r="DT12" s="36">
        <f t="shared" si="67"/>
        <v>461166.3458875</v>
      </c>
      <c r="DU12" s="5">
        <f t="shared" si="68"/>
        <v>1498796.4613875</v>
      </c>
      <c r="DV12" s="36">
        <f t="shared" si="69"/>
        <v>60908.047215399994</v>
      </c>
      <c r="DW12" s="5"/>
      <c r="DX12" s="5">
        <f>C12*$DY$7</f>
        <v>7578.131</v>
      </c>
      <c r="DY12" s="36">
        <f t="shared" si="70"/>
        <v>3368.039275</v>
      </c>
      <c r="DZ12" s="36">
        <f t="shared" si="71"/>
        <v>10946.170275</v>
      </c>
      <c r="EA12" s="36">
        <f t="shared" si="72"/>
        <v>444.8301508</v>
      </c>
      <c r="EB12" s="5"/>
      <c r="EC12" s="5"/>
      <c r="ED12" s="36"/>
      <c r="EE12" s="36">
        <f t="shared" si="73"/>
        <v>0</v>
      </c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44105</v>
      </c>
      <c r="D13" s="3">
        <v>2330000</v>
      </c>
      <c r="E13" s="35">
        <f t="shared" si="0"/>
        <v>2330000</v>
      </c>
      <c r="F13" s="35">
        <v>326074</v>
      </c>
      <c r="H13" s="36"/>
      <c r="I13" s="36">
        <v>736249</v>
      </c>
      <c r="J13" s="36">
        <f t="shared" si="1"/>
        <v>736249</v>
      </c>
      <c r="K13" s="36">
        <f>'Academic Project '!K13</f>
        <v>103035.01460840002</v>
      </c>
      <c r="M13" s="36"/>
      <c r="N13" s="35">
        <f t="shared" si="2"/>
        <v>1593751.9209999999</v>
      </c>
      <c r="O13" s="36">
        <f t="shared" si="3"/>
        <v>1593751.9209999999</v>
      </c>
      <c r="P13" s="35">
        <f t="shared" si="2"/>
        <v>223039.0832138</v>
      </c>
      <c r="R13" s="36"/>
      <c r="S13" s="36">
        <f t="shared" si="4"/>
        <v>570072.246</v>
      </c>
      <c r="T13" s="36">
        <f t="shared" si="5"/>
        <v>570072.246</v>
      </c>
      <c r="U13" s="36">
        <f t="shared" si="6"/>
        <v>79779.2864988</v>
      </c>
      <c r="W13" s="36"/>
      <c r="X13" s="36">
        <f t="shared" si="7"/>
        <v>13264.457</v>
      </c>
      <c r="Y13" s="36">
        <f t="shared" si="8"/>
        <v>13264.457</v>
      </c>
      <c r="Z13" s="36">
        <f t="shared" si="9"/>
        <v>1856.3066746</v>
      </c>
      <c r="AB13" s="36"/>
      <c r="AC13" s="36">
        <f t="shared" si="10"/>
        <v>1765.674</v>
      </c>
      <c r="AD13" s="36">
        <f t="shared" si="11"/>
        <v>1765.674</v>
      </c>
      <c r="AE13" s="36">
        <f t="shared" si="12"/>
        <v>247.0988772</v>
      </c>
      <c r="AG13" s="36"/>
      <c r="AH13" s="36">
        <f t="shared" si="13"/>
        <v>46729.548</v>
      </c>
      <c r="AI13" s="36">
        <f t="shared" si="14"/>
        <v>46729.548</v>
      </c>
      <c r="AJ13" s="36">
        <f t="shared" si="15"/>
        <v>6539.6097144</v>
      </c>
      <c r="AL13" s="36"/>
      <c r="AM13" s="36">
        <f t="shared" si="16"/>
        <v>18383.699999999997</v>
      </c>
      <c r="AN13" s="36">
        <f t="shared" si="17"/>
        <v>18383.699999999997</v>
      </c>
      <c r="AO13" s="36">
        <f t="shared" si="18"/>
        <v>2572.7238599999996</v>
      </c>
      <c r="AQ13" s="36"/>
      <c r="AR13" s="36">
        <f t="shared" si="19"/>
        <v>6684.537</v>
      </c>
      <c r="AS13" s="36">
        <f t="shared" si="20"/>
        <v>6684.537</v>
      </c>
      <c r="AT13" s="36">
        <f t="shared" si="21"/>
        <v>935.4736986</v>
      </c>
      <c r="AV13" s="36"/>
      <c r="AW13" s="36">
        <f t="shared" si="22"/>
        <v>48580.966</v>
      </c>
      <c r="AX13" s="36">
        <f t="shared" si="23"/>
        <v>48580.966</v>
      </c>
      <c r="AY13" s="36">
        <f t="shared" si="24"/>
        <v>6798.7081148</v>
      </c>
      <c r="BA13" s="36"/>
      <c r="BB13" s="36">
        <f t="shared" si="25"/>
        <v>6710.633</v>
      </c>
      <c r="BC13" s="36">
        <f t="shared" si="26"/>
        <v>6710.633</v>
      </c>
      <c r="BD13" s="36">
        <f t="shared" si="27"/>
        <v>939.1257274</v>
      </c>
      <c r="BF13" s="36"/>
      <c r="BG13" s="36">
        <f t="shared" si="28"/>
        <v>5384.63</v>
      </c>
      <c r="BH13" s="36">
        <f t="shared" si="29"/>
        <v>5384.63</v>
      </c>
      <c r="BI13" s="36">
        <f t="shared" si="30"/>
        <v>753.5570140000001</v>
      </c>
      <c r="BK13" s="36"/>
      <c r="BL13" s="36">
        <f t="shared" si="31"/>
        <v>3169.9649999999997</v>
      </c>
      <c r="BM13" s="5">
        <f t="shared" si="32"/>
        <v>3169.9649999999997</v>
      </c>
      <c r="BN13" s="36">
        <f t="shared" si="33"/>
        <v>443.623677</v>
      </c>
      <c r="BP13" s="36"/>
      <c r="BQ13" s="36">
        <f t="shared" si="34"/>
        <v>156307.584</v>
      </c>
      <c r="BR13" s="5">
        <f t="shared" si="35"/>
        <v>156307.584</v>
      </c>
      <c r="BS13" s="36">
        <f t="shared" si="36"/>
        <v>21874.6090752</v>
      </c>
      <c r="BT13" s="5"/>
      <c r="BU13" s="36"/>
      <c r="BV13" s="36">
        <f t="shared" si="37"/>
        <v>1653.135</v>
      </c>
      <c r="BW13" s="5">
        <f t="shared" si="38"/>
        <v>1653.135</v>
      </c>
      <c r="BX13" s="36">
        <f t="shared" si="39"/>
        <v>231.349503</v>
      </c>
      <c r="BY13" s="5"/>
      <c r="BZ13" s="36"/>
      <c r="CA13" s="36">
        <f t="shared" si="40"/>
        <v>3428.129</v>
      </c>
      <c r="CB13" s="5">
        <f t="shared" si="41"/>
        <v>3428.129</v>
      </c>
      <c r="CC13" s="36">
        <f t="shared" si="42"/>
        <v>479.7526762</v>
      </c>
      <c r="CD13" s="5"/>
      <c r="CE13" s="36"/>
      <c r="CF13" s="36">
        <f t="shared" si="43"/>
        <v>1608.6319999999998</v>
      </c>
      <c r="CG13" s="5">
        <f t="shared" si="44"/>
        <v>1608.6319999999998</v>
      </c>
      <c r="CH13" s="36">
        <f t="shared" si="45"/>
        <v>225.1214896</v>
      </c>
      <c r="CI13" s="5"/>
      <c r="CJ13" s="36"/>
      <c r="CK13" s="36">
        <f t="shared" si="46"/>
        <v>19728.11</v>
      </c>
      <c r="CL13" s="5">
        <f t="shared" si="47"/>
        <v>19728.11</v>
      </c>
      <c r="CM13" s="36">
        <f t="shared" si="48"/>
        <v>2760.868558</v>
      </c>
      <c r="CN13" s="5"/>
      <c r="CO13" s="36"/>
      <c r="CP13" s="36">
        <f t="shared" si="49"/>
        <v>4589.401</v>
      </c>
      <c r="CQ13" s="5">
        <f t="shared" si="50"/>
        <v>4589.401</v>
      </c>
      <c r="CR13" s="36">
        <f t="shared" si="51"/>
        <v>642.2679578</v>
      </c>
      <c r="CS13" s="5"/>
      <c r="CT13" s="36"/>
      <c r="CU13" s="36">
        <f t="shared" si="52"/>
        <v>199268.12399999998</v>
      </c>
      <c r="CV13" s="5">
        <f t="shared" si="53"/>
        <v>199268.12399999998</v>
      </c>
      <c r="CW13" s="36">
        <f t="shared" si="54"/>
        <v>27886.761487199998</v>
      </c>
      <c r="CX13" s="5"/>
      <c r="CY13" s="36"/>
      <c r="CZ13" s="36">
        <f t="shared" si="55"/>
        <v>47.532000000000004</v>
      </c>
      <c r="DA13" s="5">
        <f t="shared" si="56"/>
        <v>47.532000000000004</v>
      </c>
      <c r="DB13" s="36">
        <f t="shared" si="57"/>
        <v>6.651909600000001</v>
      </c>
      <c r="DC13" s="5"/>
      <c r="DD13" s="36"/>
      <c r="DE13" s="36">
        <f t="shared" si="58"/>
        <v>342.277</v>
      </c>
      <c r="DF13" s="5">
        <f t="shared" si="59"/>
        <v>342.277</v>
      </c>
      <c r="DG13" s="36">
        <f t="shared" si="60"/>
        <v>47.9002706</v>
      </c>
      <c r="DH13" s="5"/>
      <c r="DI13" s="36"/>
      <c r="DJ13" s="36">
        <f t="shared" si="61"/>
        <v>47535.262</v>
      </c>
      <c r="DK13" s="5">
        <f t="shared" si="62"/>
        <v>47535.262</v>
      </c>
      <c r="DL13" s="36">
        <f t="shared" si="63"/>
        <v>6652.3661036</v>
      </c>
      <c r="DM13" s="5"/>
      <c r="DN13" s="36"/>
      <c r="DO13" s="36">
        <f t="shared" si="64"/>
        <v>93.2</v>
      </c>
      <c r="DP13" s="5">
        <f t="shared" si="65"/>
        <v>93.2</v>
      </c>
      <c r="DQ13" s="36">
        <f t="shared" si="66"/>
        <v>13.04296</v>
      </c>
      <c r="DR13" s="5"/>
      <c r="DS13" s="36"/>
      <c r="DT13" s="36">
        <f t="shared" si="67"/>
        <v>435225.593</v>
      </c>
      <c r="DU13" s="5">
        <f t="shared" si="68"/>
        <v>435225.593</v>
      </c>
      <c r="DV13" s="36">
        <f t="shared" si="69"/>
        <v>60908.047215399994</v>
      </c>
      <c r="DW13" s="5"/>
      <c r="DX13" s="5"/>
      <c r="DY13" s="36">
        <f t="shared" si="70"/>
        <v>3178.5860000000002</v>
      </c>
      <c r="DZ13" s="36">
        <f t="shared" si="71"/>
        <v>3178.5860000000002</v>
      </c>
      <c r="EA13" s="36">
        <f t="shared" si="72"/>
        <v>444.8301508</v>
      </c>
      <c r="EB13" s="5"/>
      <c r="EC13" s="5"/>
      <c r="ED13" s="36"/>
      <c r="EE13" s="36">
        <f t="shared" si="73"/>
        <v>0</v>
      </c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44287</v>
      </c>
      <c r="C14" s="3">
        <v>5830000</v>
      </c>
      <c r="D14" s="3">
        <v>2330000</v>
      </c>
      <c r="E14" s="35">
        <f t="shared" si="0"/>
        <v>8160000</v>
      </c>
      <c r="F14" s="35">
        <v>326074</v>
      </c>
      <c r="H14" s="36">
        <v>1842202</v>
      </c>
      <c r="I14" s="36">
        <v>736249</v>
      </c>
      <c r="J14" s="36">
        <f t="shared" si="1"/>
        <v>2578451</v>
      </c>
      <c r="K14" s="36">
        <f>'Academic Project '!K14</f>
        <v>103035.01460840002</v>
      </c>
      <c r="M14" s="36">
        <f>R14+W14+AB14+AG14+AL14+AQ14+AV14+BA14+BF14+BK14+BP14+BU14+BZ14+CE14+CJ14+CO14+CT14+CY14+DD14+DI14+DN14+DS14+DX14+EC14</f>
        <v>3987799.871</v>
      </c>
      <c r="N14" s="35">
        <f t="shared" si="2"/>
        <v>1593751.9209999999</v>
      </c>
      <c r="O14" s="36">
        <f t="shared" si="3"/>
        <v>5581551.791999999</v>
      </c>
      <c r="P14" s="35">
        <f t="shared" si="2"/>
        <v>223039.0832138</v>
      </c>
      <c r="R14" s="36">
        <f>C14*$S$7</f>
        <v>1426403.946</v>
      </c>
      <c r="S14" s="36">
        <f t="shared" si="4"/>
        <v>570072.246</v>
      </c>
      <c r="T14" s="36">
        <f t="shared" si="5"/>
        <v>1996476.192</v>
      </c>
      <c r="U14" s="36">
        <f t="shared" si="6"/>
        <v>79779.2864988</v>
      </c>
      <c r="W14" s="36">
        <f t="shared" si="74"/>
        <v>33189.606999999996</v>
      </c>
      <c r="X14" s="36">
        <f t="shared" si="7"/>
        <v>13264.457</v>
      </c>
      <c r="Y14" s="36">
        <f t="shared" si="8"/>
        <v>46454.064</v>
      </c>
      <c r="Z14" s="36">
        <f t="shared" si="9"/>
        <v>1856.3066746</v>
      </c>
      <c r="AB14" s="36">
        <f t="shared" si="75"/>
        <v>4417.974</v>
      </c>
      <c r="AC14" s="36">
        <f t="shared" si="10"/>
        <v>1765.674</v>
      </c>
      <c r="AD14" s="36">
        <f t="shared" si="11"/>
        <v>6183.648</v>
      </c>
      <c r="AE14" s="36">
        <f t="shared" si="12"/>
        <v>247.0988772</v>
      </c>
      <c r="AG14" s="36">
        <f t="shared" si="76"/>
        <v>116924.148</v>
      </c>
      <c r="AH14" s="36">
        <f t="shared" si="13"/>
        <v>46729.548</v>
      </c>
      <c r="AI14" s="36">
        <f t="shared" si="14"/>
        <v>163653.696</v>
      </c>
      <c r="AJ14" s="36">
        <f t="shared" si="15"/>
        <v>6539.6097144</v>
      </c>
      <c r="AL14" s="36">
        <f t="shared" si="77"/>
        <v>45998.7</v>
      </c>
      <c r="AM14" s="36">
        <f t="shared" si="16"/>
        <v>18383.699999999997</v>
      </c>
      <c r="AN14" s="36">
        <f t="shared" si="17"/>
        <v>64382.399999999994</v>
      </c>
      <c r="AO14" s="36">
        <f t="shared" si="18"/>
        <v>2572.7238599999996</v>
      </c>
      <c r="AQ14" s="36">
        <f t="shared" si="78"/>
        <v>16725.687</v>
      </c>
      <c r="AR14" s="36">
        <f t="shared" si="19"/>
        <v>6684.537</v>
      </c>
      <c r="AS14" s="36">
        <f t="shared" si="20"/>
        <v>23410.224000000002</v>
      </c>
      <c r="AT14" s="36">
        <f t="shared" si="21"/>
        <v>935.4736986</v>
      </c>
      <c r="AV14" s="36">
        <f t="shared" si="79"/>
        <v>121556.666</v>
      </c>
      <c r="AW14" s="36">
        <f t="shared" si="22"/>
        <v>48580.966</v>
      </c>
      <c r="AX14" s="36">
        <f t="shared" si="23"/>
        <v>170137.63199999998</v>
      </c>
      <c r="AY14" s="36">
        <f t="shared" si="24"/>
        <v>6798.7081148</v>
      </c>
      <c r="BA14" s="36">
        <f t="shared" si="80"/>
        <v>16790.983</v>
      </c>
      <c r="BB14" s="36">
        <f t="shared" si="25"/>
        <v>6710.633</v>
      </c>
      <c r="BC14" s="36">
        <f t="shared" si="26"/>
        <v>23501.616</v>
      </c>
      <c r="BD14" s="36">
        <f t="shared" si="27"/>
        <v>939.1257274</v>
      </c>
      <c r="BF14" s="36">
        <f t="shared" si="81"/>
        <v>13473.130000000001</v>
      </c>
      <c r="BG14" s="36">
        <f t="shared" si="28"/>
        <v>5384.63</v>
      </c>
      <c r="BH14" s="36">
        <f t="shared" si="29"/>
        <v>18857.760000000002</v>
      </c>
      <c r="BI14" s="36">
        <f t="shared" si="30"/>
        <v>753.5570140000001</v>
      </c>
      <c r="BK14" s="36">
        <f t="shared" si="82"/>
        <v>7931.715</v>
      </c>
      <c r="BL14" s="36">
        <f t="shared" si="31"/>
        <v>3169.9649999999997</v>
      </c>
      <c r="BM14" s="5">
        <f t="shared" si="32"/>
        <v>11101.68</v>
      </c>
      <c r="BN14" s="36">
        <f t="shared" si="33"/>
        <v>443.623677</v>
      </c>
      <c r="BP14" s="36">
        <f t="shared" si="83"/>
        <v>391104.384</v>
      </c>
      <c r="BQ14" s="36">
        <f t="shared" si="34"/>
        <v>156307.584</v>
      </c>
      <c r="BR14" s="5">
        <f t="shared" si="35"/>
        <v>547411.968</v>
      </c>
      <c r="BS14" s="36">
        <f t="shared" si="36"/>
        <v>21874.6090752</v>
      </c>
      <c r="BT14" s="5"/>
      <c r="BU14" s="36">
        <f t="shared" si="84"/>
        <v>4136.384999999999</v>
      </c>
      <c r="BV14" s="36">
        <f t="shared" si="37"/>
        <v>1653.135</v>
      </c>
      <c r="BW14" s="5">
        <f t="shared" si="38"/>
        <v>5789.5199999999995</v>
      </c>
      <c r="BX14" s="36">
        <f t="shared" si="39"/>
        <v>231.349503</v>
      </c>
      <c r="BY14" s="5"/>
      <c r="BZ14" s="36">
        <f t="shared" si="85"/>
        <v>8577.679</v>
      </c>
      <c r="CA14" s="36">
        <f t="shared" si="40"/>
        <v>3428.129</v>
      </c>
      <c r="CB14" s="5">
        <f t="shared" si="41"/>
        <v>12005.808</v>
      </c>
      <c r="CC14" s="36">
        <f t="shared" si="42"/>
        <v>479.7526762</v>
      </c>
      <c r="CD14" s="5"/>
      <c r="CE14" s="36">
        <f t="shared" si="86"/>
        <v>4025.0319999999997</v>
      </c>
      <c r="CF14" s="36">
        <f t="shared" si="43"/>
        <v>1608.6319999999998</v>
      </c>
      <c r="CG14" s="5">
        <f t="shared" si="44"/>
        <v>5633.664</v>
      </c>
      <c r="CH14" s="36">
        <f t="shared" si="45"/>
        <v>225.1214896</v>
      </c>
      <c r="CI14" s="5"/>
      <c r="CJ14" s="36">
        <f t="shared" si="87"/>
        <v>49362.61</v>
      </c>
      <c r="CK14" s="36">
        <f t="shared" si="46"/>
        <v>19728.11</v>
      </c>
      <c r="CL14" s="5">
        <f t="shared" si="47"/>
        <v>69090.72</v>
      </c>
      <c r="CM14" s="36">
        <f t="shared" si="48"/>
        <v>2760.868558</v>
      </c>
      <c r="CN14" s="5"/>
      <c r="CO14" s="36">
        <f t="shared" si="88"/>
        <v>11483.351</v>
      </c>
      <c r="CP14" s="36">
        <f t="shared" si="49"/>
        <v>4589.401</v>
      </c>
      <c r="CQ14" s="5">
        <f t="shared" si="50"/>
        <v>16072.752</v>
      </c>
      <c r="CR14" s="36">
        <f t="shared" si="51"/>
        <v>642.2679578</v>
      </c>
      <c r="CS14" s="5"/>
      <c r="CT14" s="36">
        <f t="shared" si="89"/>
        <v>498597.924</v>
      </c>
      <c r="CU14" s="36">
        <f t="shared" si="52"/>
        <v>199268.12399999998</v>
      </c>
      <c r="CV14" s="5">
        <f t="shared" si="53"/>
        <v>697866.048</v>
      </c>
      <c r="CW14" s="36">
        <f t="shared" si="54"/>
        <v>27886.761487199998</v>
      </c>
      <c r="CX14" s="5"/>
      <c r="CY14" s="36">
        <f t="shared" si="90"/>
        <v>118.932</v>
      </c>
      <c r="CZ14" s="36">
        <f t="shared" si="55"/>
        <v>47.532000000000004</v>
      </c>
      <c r="DA14" s="5">
        <f t="shared" si="56"/>
        <v>166.464</v>
      </c>
      <c r="DB14" s="36">
        <f t="shared" si="57"/>
        <v>6.651909600000001</v>
      </c>
      <c r="DC14" s="5"/>
      <c r="DD14" s="36">
        <f>C14*$DE$7</f>
        <v>856.4269999999999</v>
      </c>
      <c r="DE14" s="36">
        <f t="shared" si="58"/>
        <v>342.277</v>
      </c>
      <c r="DF14" s="5">
        <f t="shared" si="59"/>
        <v>1198.704</v>
      </c>
      <c r="DG14" s="36">
        <f t="shared" si="60"/>
        <v>47.9002706</v>
      </c>
      <c r="DH14" s="5"/>
      <c r="DI14" s="36">
        <f>C14*$DJ$7</f>
        <v>118940.162</v>
      </c>
      <c r="DJ14" s="36">
        <f t="shared" si="61"/>
        <v>47535.262</v>
      </c>
      <c r="DK14" s="5">
        <f t="shared" si="62"/>
        <v>166475.424</v>
      </c>
      <c r="DL14" s="36">
        <f t="shared" si="63"/>
        <v>6652.3661036</v>
      </c>
      <c r="DM14" s="5"/>
      <c r="DN14" s="36">
        <f>C14*$DO$7</f>
        <v>233.20000000000002</v>
      </c>
      <c r="DO14" s="36">
        <f t="shared" si="64"/>
        <v>93.2</v>
      </c>
      <c r="DP14" s="5">
        <f t="shared" si="65"/>
        <v>326.40000000000003</v>
      </c>
      <c r="DQ14" s="36">
        <f t="shared" si="66"/>
        <v>13.04296</v>
      </c>
      <c r="DR14" s="5"/>
      <c r="DS14" s="36">
        <f>C14*$DT$7</f>
        <v>1088997.943</v>
      </c>
      <c r="DT14" s="36">
        <f t="shared" si="67"/>
        <v>435225.593</v>
      </c>
      <c r="DU14" s="5">
        <f t="shared" si="68"/>
        <v>1524223.5359999998</v>
      </c>
      <c r="DV14" s="36">
        <f t="shared" si="69"/>
        <v>60908.047215399994</v>
      </c>
      <c r="DW14" s="5"/>
      <c r="DX14" s="5">
        <f>C14*$DY$7</f>
        <v>7953.286000000001</v>
      </c>
      <c r="DY14" s="36">
        <f t="shared" si="70"/>
        <v>3178.5860000000002</v>
      </c>
      <c r="DZ14" s="36">
        <f t="shared" si="71"/>
        <v>11131.872000000001</v>
      </c>
      <c r="EA14" s="36">
        <f t="shared" si="72"/>
        <v>444.8301508</v>
      </c>
      <c r="EB14" s="5"/>
      <c r="EC14" s="5"/>
      <c r="ED14" s="36"/>
      <c r="EE14" s="36">
        <f t="shared" si="73"/>
        <v>0</v>
      </c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44470</v>
      </c>
      <c r="D15" s="3">
        <v>2184250</v>
      </c>
      <c r="E15" s="35">
        <f t="shared" si="0"/>
        <v>2184250</v>
      </c>
      <c r="F15" s="35">
        <v>326074</v>
      </c>
      <c r="H15" s="36"/>
      <c r="I15" s="36">
        <v>690194</v>
      </c>
      <c r="J15" s="36">
        <f t="shared" si="1"/>
        <v>690194</v>
      </c>
      <c r="K15" s="36">
        <f>'Academic Project '!K15</f>
        <v>103035.01460840002</v>
      </c>
      <c r="M15" s="36"/>
      <c r="N15" s="35">
        <f t="shared" si="2"/>
        <v>1494056.9242250002</v>
      </c>
      <c r="O15" s="36">
        <f t="shared" si="3"/>
        <v>1494056.9242250002</v>
      </c>
      <c r="P15" s="35">
        <f t="shared" si="2"/>
        <v>223039.0832138</v>
      </c>
      <c r="R15" s="36"/>
      <c r="S15" s="36">
        <f t="shared" si="4"/>
        <v>534412.14735</v>
      </c>
      <c r="T15" s="36">
        <f t="shared" si="5"/>
        <v>534412.14735</v>
      </c>
      <c r="U15" s="36">
        <f t="shared" si="6"/>
        <v>79779.2864988</v>
      </c>
      <c r="W15" s="36"/>
      <c r="X15" s="36">
        <f t="shared" si="7"/>
        <v>12434.716825</v>
      </c>
      <c r="Y15" s="36">
        <f t="shared" si="8"/>
        <v>12434.716825</v>
      </c>
      <c r="Z15" s="36">
        <f t="shared" si="9"/>
        <v>1856.3066746</v>
      </c>
      <c r="AB15" s="36"/>
      <c r="AC15" s="36">
        <f t="shared" si="10"/>
        <v>1655.2246499999999</v>
      </c>
      <c r="AD15" s="36">
        <f t="shared" si="11"/>
        <v>1655.2246499999999</v>
      </c>
      <c r="AE15" s="36">
        <f t="shared" si="12"/>
        <v>247.0988772</v>
      </c>
      <c r="AG15" s="36"/>
      <c r="AH15" s="36">
        <f t="shared" si="13"/>
        <v>43806.4443</v>
      </c>
      <c r="AI15" s="36">
        <f t="shared" si="14"/>
        <v>43806.4443</v>
      </c>
      <c r="AJ15" s="36">
        <f t="shared" si="15"/>
        <v>6539.6097144</v>
      </c>
      <c r="AL15" s="36"/>
      <c r="AM15" s="36">
        <f t="shared" si="16"/>
        <v>17233.7325</v>
      </c>
      <c r="AN15" s="36">
        <f t="shared" si="17"/>
        <v>17233.7325</v>
      </c>
      <c r="AO15" s="36">
        <f t="shared" si="18"/>
        <v>2572.7238599999996</v>
      </c>
      <c r="AQ15" s="36"/>
      <c r="AR15" s="36">
        <f t="shared" si="19"/>
        <v>6266.394825</v>
      </c>
      <c r="AS15" s="36">
        <f t="shared" si="20"/>
        <v>6266.394825</v>
      </c>
      <c r="AT15" s="36">
        <f t="shared" si="21"/>
        <v>935.4736986</v>
      </c>
      <c r="AV15" s="36"/>
      <c r="AW15" s="36">
        <f t="shared" si="22"/>
        <v>45542.04935</v>
      </c>
      <c r="AX15" s="36">
        <f t="shared" si="23"/>
        <v>45542.04935</v>
      </c>
      <c r="AY15" s="36">
        <f t="shared" si="24"/>
        <v>6798.7081148</v>
      </c>
      <c r="BA15" s="36"/>
      <c r="BB15" s="36">
        <f t="shared" si="25"/>
        <v>6290.858425</v>
      </c>
      <c r="BC15" s="36">
        <f t="shared" si="26"/>
        <v>6290.858425</v>
      </c>
      <c r="BD15" s="36">
        <f t="shared" si="27"/>
        <v>939.1257274</v>
      </c>
      <c r="BF15" s="36"/>
      <c r="BG15" s="36">
        <f t="shared" si="28"/>
        <v>5047.8017500000005</v>
      </c>
      <c r="BH15" s="36">
        <f t="shared" si="29"/>
        <v>5047.8017500000005</v>
      </c>
      <c r="BI15" s="36">
        <f t="shared" si="30"/>
        <v>753.5570140000001</v>
      </c>
      <c r="BK15" s="36"/>
      <c r="BL15" s="36">
        <f t="shared" si="31"/>
        <v>2971.672125</v>
      </c>
      <c r="BM15" s="5">
        <f t="shared" si="32"/>
        <v>2971.672125</v>
      </c>
      <c r="BN15" s="36">
        <f t="shared" si="33"/>
        <v>443.623677</v>
      </c>
      <c r="BP15" s="36"/>
      <c r="BQ15" s="36">
        <f t="shared" si="34"/>
        <v>146529.9744</v>
      </c>
      <c r="BR15" s="5">
        <f t="shared" si="35"/>
        <v>146529.9744</v>
      </c>
      <c r="BS15" s="36">
        <f t="shared" si="36"/>
        <v>21874.6090752</v>
      </c>
      <c r="BT15" s="5"/>
      <c r="BU15" s="36"/>
      <c r="BV15" s="36">
        <f t="shared" si="37"/>
        <v>1549.725375</v>
      </c>
      <c r="BW15" s="5">
        <f t="shared" si="38"/>
        <v>1549.725375</v>
      </c>
      <c r="BX15" s="36">
        <f t="shared" si="39"/>
        <v>231.349503</v>
      </c>
      <c r="BY15" s="5"/>
      <c r="BZ15" s="36"/>
      <c r="CA15" s="36">
        <f t="shared" si="40"/>
        <v>3213.687025</v>
      </c>
      <c r="CB15" s="5">
        <f t="shared" si="41"/>
        <v>3213.687025</v>
      </c>
      <c r="CC15" s="36">
        <f t="shared" si="42"/>
        <v>479.7526762</v>
      </c>
      <c r="CD15" s="5"/>
      <c r="CE15" s="36"/>
      <c r="CF15" s="36">
        <f t="shared" si="43"/>
        <v>1508.0062</v>
      </c>
      <c r="CG15" s="5">
        <f t="shared" si="44"/>
        <v>1508.0062</v>
      </c>
      <c r="CH15" s="36">
        <f t="shared" si="45"/>
        <v>225.1214896</v>
      </c>
      <c r="CI15" s="5"/>
      <c r="CJ15" s="36"/>
      <c r="CK15" s="36">
        <f t="shared" si="46"/>
        <v>18494.04475</v>
      </c>
      <c r="CL15" s="5">
        <f t="shared" si="47"/>
        <v>18494.04475</v>
      </c>
      <c r="CM15" s="36">
        <f t="shared" si="48"/>
        <v>2760.868558</v>
      </c>
      <c r="CN15" s="5"/>
      <c r="CO15" s="36"/>
      <c r="CP15" s="36">
        <f t="shared" si="49"/>
        <v>4302.317225</v>
      </c>
      <c r="CQ15" s="5">
        <f t="shared" si="50"/>
        <v>4302.317225</v>
      </c>
      <c r="CR15" s="36">
        <f t="shared" si="51"/>
        <v>642.2679578</v>
      </c>
      <c r="CS15" s="5"/>
      <c r="CT15" s="36"/>
      <c r="CU15" s="36">
        <f t="shared" si="52"/>
        <v>186803.1759</v>
      </c>
      <c r="CV15" s="5">
        <f t="shared" si="53"/>
        <v>186803.1759</v>
      </c>
      <c r="CW15" s="36">
        <f t="shared" si="54"/>
        <v>27886.761487199998</v>
      </c>
      <c r="CX15" s="5"/>
      <c r="CY15" s="36"/>
      <c r="CZ15" s="36">
        <f t="shared" si="55"/>
        <v>44.5587</v>
      </c>
      <c r="DA15" s="5">
        <f t="shared" si="56"/>
        <v>44.5587</v>
      </c>
      <c r="DB15" s="36">
        <f t="shared" si="57"/>
        <v>6.651909600000001</v>
      </c>
      <c r="DC15" s="5"/>
      <c r="DD15" s="36"/>
      <c r="DE15" s="36">
        <f t="shared" si="58"/>
        <v>320.86632499999996</v>
      </c>
      <c r="DF15" s="5">
        <f t="shared" si="59"/>
        <v>320.86632499999996</v>
      </c>
      <c r="DG15" s="36">
        <f t="shared" si="60"/>
        <v>47.9002706</v>
      </c>
      <c r="DH15" s="5"/>
      <c r="DI15" s="36"/>
      <c r="DJ15" s="36">
        <f t="shared" si="61"/>
        <v>44561.75795</v>
      </c>
      <c r="DK15" s="5">
        <f t="shared" si="62"/>
        <v>44561.75795</v>
      </c>
      <c r="DL15" s="36">
        <f t="shared" si="63"/>
        <v>6652.3661036</v>
      </c>
      <c r="DM15" s="5"/>
      <c r="DN15" s="36"/>
      <c r="DO15" s="36">
        <f t="shared" si="64"/>
        <v>87.37</v>
      </c>
      <c r="DP15" s="5">
        <f t="shared" si="65"/>
        <v>87.37</v>
      </c>
      <c r="DQ15" s="36">
        <f t="shared" si="66"/>
        <v>13.04296</v>
      </c>
      <c r="DR15" s="5"/>
      <c r="DS15" s="36"/>
      <c r="DT15" s="36">
        <f t="shared" si="67"/>
        <v>408000.64442499995</v>
      </c>
      <c r="DU15" s="5">
        <f t="shared" si="68"/>
        <v>408000.64442499995</v>
      </c>
      <c r="DV15" s="36">
        <f t="shared" si="69"/>
        <v>60908.047215399994</v>
      </c>
      <c r="DW15" s="5"/>
      <c r="DX15" s="5"/>
      <c r="DY15" s="36">
        <f t="shared" si="70"/>
        <v>2979.75385</v>
      </c>
      <c r="DZ15" s="36">
        <f t="shared" si="71"/>
        <v>2979.75385</v>
      </c>
      <c r="EA15" s="36">
        <f t="shared" si="72"/>
        <v>444.8301508</v>
      </c>
      <c r="EB15" s="5"/>
      <c r="EC15" s="5"/>
      <c r="ED15" s="36"/>
      <c r="EE15" s="36">
        <f t="shared" si="73"/>
        <v>0</v>
      </c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44652</v>
      </c>
      <c r="C16" s="3">
        <v>6125000</v>
      </c>
      <c r="D16" s="3">
        <v>2184250</v>
      </c>
      <c r="E16" s="35">
        <f t="shared" si="0"/>
        <v>8309250</v>
      </c>
      <c r="F16" s="35">
        <v>326074</v>
      </c>
      <c r="H16" s="36">
        <v>1935418</v>
      </c>
      <c r="I16" s="36">
        <v>690194</v>
      </c>
      <c r="J16" s="36">
        <f t="shared" si="1"/>
        <v>2625612</v>
      </c>
      <c r="K16" s="36">
        <f>'Academic Project '!K16</f>
        <v>103035.01460840002</v>
      </c>
      <c r="M16" s="36">
        <f>R16+W16+AB16+AG16+AL16+AQ16+AV16+BA16+BF16+BK16+BP16+BU16+BZ16+CE16+CJ16+CO16+CT16+CY16+DD16+DI16+DN16+DS16+DX16+EC16</f>
        <v>4189583.912500001</v>
      </c>
      <c r="N16" s="35">
        <f t="shared" si="2"/>
        <v>1494056.9242250002</v>
      </c>
      <c r="O16" s="36">
        <f t="shared" si="3"/>
        <v>5683640.836725001</v>
      </c>
      <c r="P16" s="35">
        <f t="shared" si="2"/>
        <v>223039.0832138</v>
      </c>
      <c r="R16" s="36">
        <f>C16*$S$7</f>
        <v>1498580.475</v>
      </c>
      <c r="S16" s="36">
        <f t="shared" si="4"/>
        <v>534412.14735</v>
      </c>
      <c r="T16" s="36">
        <f t="shared" si="5"/>
        <v>2032992.62235</v>
      </c>
      <c r="U16" s="36">
        <f t="shared" si="6"/>
        <v>79779.2864988</v>
      </c>
      <c r="W16" s="36">
        <f t="shared" si="74"/>
        <v>34869.0125</v>
      </c>
      <c r="X16" s="36">
        <f t="shared" si="7"/>
        <v>12434.716825</v>
      </c>
      <c r="Y16" s="36">
        <f t="shared" si="8"/>
        <v>47303.72932499999</v>
      </c>
      <c r="Z16" s="36">
        <f t="shared" si="9"/>
        <v>1856.3066746</v>
      </c>
      <c r="AB16" s="36">
        <f t="shared" si="75"/>
        <v>4641.525</v>
      </c>
      <c r="AC16" s="36">
        <f t="shared" si="10"/>
        <v>1655.2246499999999</v>
      </c>
      <c r="AD16" s="36">
        <f t="shared" si="11"/>
        <v>6296.74965</v>
      </c>
      <c r="AE16" s="36">
        <f t="shared" si="12"/>
        <v>247.0988772</v>
      </c>
      <c r="AG16" s="36">
        <f t="shared" si="76"/>
        <v>122840.55</v>
      </c>
      <c r="AH16" s="36">
        <f t="shared" si="13"/>
        <v>43806.4443</v>
      </c>
      <c r="AI16" s="36">
        <f t="shared" si="14"/>
        <v>166646.99430000002</v>
      </c>
      <c r="AJ16" s="36">
        <f t="shared" si="15"/>
        <v>6539.6097144</v>
      </c>
      <c r="AL16" s="36">
        <f t="shared" si="77"/>
        <v>48326.25</v>
      </c>
      <c r="AM16" s="36">
        <f t="shared" si="16"/>
        <v>17233.7325</v>
      </c>
      <c r="AN16" s="36">
        <f t="shared" si="17"/>
        <v>65559.9825</v>
      </c>
      <c r="AO16" s="36">
        <f t="shared" si="18"/>
        <v>2572.7238599999996</v>
      </c>
      <c r="AQ16" s="36">
        <f t="shared" si="78"/>
        <v>17572.0125</v>
      </c>
      <c r="AR16" s="36">
        <f t="shared" si="19"/>
        <v>6266.394825</v>
      </c>
      <c r="AS16" s="36">
        <f t="shared" si="20"/>
        <v>23838.407325</v>
      </c>
      <c r="AT16" s="36">
        <f t="shared" si="21"/>
        <v>935.4736986</v>
      </c>
      <c r="AV16" s="36">
        <f t="shared" si="79"/>
        <v>127707.47499999999</v>
      </c>
      <c r="AW16" s="36">
        <f t="shared" si="22"/>
        <v>45542.04935</v>
      </c>
      <c r="AX16" s="36">
        <f t="shared" si="23"/>
        <v>173249.52435</v>
      </c>
      <c r="AY16" s="36">
        <f t="shared" si="24"/>
        <v>6798.7081148</v>
      </c>
      <c r="BA16" s="36">
        <f t="shared" si="80"/>
        <v>17640.6125</v>
      </c>
      <c r="BB16" s="36">
        <f t="shared" si="25"/>
        <v>6290.858425</v>
      </c>
      <c r="BC16" s="36">
        <f t="shared" si="26"/>
        <v>23931.470925</v>
      </c>
      <c r="BD16" s="36">
        <f t="shared" si="27"/>
        <v>939.1257274</v>
      </c>
      <c r="BF16" s="36">
        <f t="shared" si="81"/>
        <v>14154.875</v>
      </c>
      <c r="BG16" s="36">
        <f t="shared" si="28"/>
        <v>5047.8017500000005</v>
      </c>
      <c r="BH16" s="36">
        <f t="shared" si="29"/>
        <v>19202.67675</v>
      </c>
      <c r="BI16" s="36">
        <f t="shared" si="30"/>
        <v>753.5570140000001</v>
      </c>
      <c r="BK16" s="36">
        <f t="shared" si="82"/>
        <v>8333.0625</v>
      </c>
      <c r="BL16" s="36">
        <f t="shared" si="31"/>
        <v>2971.672125</v>
      </c>
      <c r="BM16" s="5">
        <f t="shared" si="32"/>
        <v>11304.734625000001</v>
      </c>
      <c r="BN16" s="36">
        <f t="shared" si="33"/>
        <v>443.623677</v>
      </c>
      <c r="BP16" s="36">
        <f t="shared" si="83"/>
        <v>410894.4</v>
      </c>
      <c r="BQ16" s="36">
        <f t="shared" si="34"/>
        <v>146529.9744</v>
      </c>
      <c r="BR16" s="5">
        <f t="shared" si="35"/>
        <v>557424.3744000001</v>
      </c>
      <c r="BS16" s="36">
        <f t="shared" si="36"/>
        <v>21874.6090752</v>
      </c>
      <c r="BT16" s="5"/>
      <c r="BU16" s="36">
        <f t="shared" si="84"/>
        <v>4345.6875</v>
      </c>
      <c r="BV16" s="36">
        <f t="shared" si="37"/>
        <v>1549.725375</v>
      </c>
      <c r="BW16" s="5">
        <f t="shared" si="38"/>
        <v>5895.412875</v>
      </c>
      <c r="BX16" s="36">
        <f t="shared" si="39"/>
        <v>231.349503</v>
      </c>
      <c r="BY16" s="5"/>
      <c r="BZ16" s="36">
        <f t="shared" si="85"/>
        <v>9011.7125</v>
      </c>
      <c r="CA16" s="36">
        <f t="shared" si="40"/>
        <v>3213.687025</v>
      </c>
      <c r="CB16" s="5">
        <f t="shared" si="41"/>
        <v>12225.399525</v>
      </c>
      <c r="CC16" s="36">
        <f t="shared" si="42"/>
        <v>479.7526762</v>
      </c>
      <c r="CD16" s="5"/>
      <c r="CE16" s="36">
        <f t="shared" si="86"/>
        <v>4228.7</v>
      </c>
      <c r="CF16" s="36">
        <f t="shared" si="43"/>
        <v>1508.0062</v>
      </c>
      <c r="CG16" s="5">
        <f t="shared" si="44"/>
        <v>5736.7062</v>
      </c>
      <c r="CH16" s="36">
        <f t="shared" si="45"/>
        <v>225.1214896</v>
      </c>
      <c r="CI16" s="5"/>
      <c r="CJ16" s="36">
        <f t="shared" si="87"/>
        <v>51860.375</v>
      </c>
      <c r="CK16" s="36">
        <f t="shared" si="46"/>
        <v>18494.04475</v>
      </c>
      <c r="CL16" s="5">
        <f t="shared" si="47"/>
        <v>70354.41975</v>
      </c>
      <c r="CM16" s="36">
        <f t="shared" si="48"/>
        <v>2760.868558</v>
      </c>
      <c r="CN16" s="5"/>
      <c r="CO16" s="36">
        <f t="shared" si="88"/>
        <v>12064.4125</v>
      </c>
      <c r="CP16" s="36">
        <f t="shared" si="49"/>
        <v>4302.317225</v>
      </c>
      <c r="CQ16" s="5">
        <f t="shared" si="50"/>
        <v>16366.729725000001</v>
      </c>
      <c r="CR16" s="36">
        <f t="shared" si="51"/>
        <v>642.2679578</v>
      </c>
      <c r="CS16" s="5"/>
      <c r="CT16" s="36">
        <f t="shared" si="89"/>
        <v>523827.14999999997</v>
      </c>
      <c r="CU16" s="36">
        <f t="shared" si="52"/>
        <v>186803.1759</v>
      </c>
      <c r="CV16" s="5">
        <f t="shared" si="53"/>
        <v>710630.3258999999</v>
      </c>
      <c r="CW16" s="36">
        <f t="shared" si="54"/>
        <v>27886.761487199998</v>
      </c>
      <c r="CX16" s="5"/>
      <c r="CY16" s="36">
        <f t="shared" si="90"/>
        <v>124.95</v>
      </c>
      <c r="CZ16" s="36">
        <f t="shared" si="55"/>
        <v>44.5587</v>
      </c>
      <c r="DA16" s="5">
        <f t="shared" si="56"/>
        <v>169.5087</v>
      </c>
      <c r="DB16" s="36">
        <f t="shared" si="57"/>
        <v>6.651909600000001</v>
      </c>
      <c r="DC16" s="5"/>
      <c r="DD16" s="36">
        <f>C16*$DE$7</f>
        <v>899.7624999999999</v>
      </c>
      <c r="DE16" s="36">
        <f t="shared" si="58"/>
        <v>320.86632499999996</v>
      </c>
      <c r="DF16" s="5">
        <f t="shared" si="59"/>
        <v>1220.6288249999998</v>
      </c>
      <c r="DG16" s="36">
        <f t="shared" si="60"/>
        <v>47.9002706</v>
      </c>
      <c r="DH16" s="5"/>
      <c r="DI16" s="36">
        <f>C16*$DJ$7</f>
        <v>124958.575</v>
      </c>
      <c r="DJ16" s="36">
        <f t="shared" si="61"/>
        <v>44561.75795</v>
      </c>
      <c r="DK16" s="5">
        <f t="shared" si="62"/>
        <v>169520.33295</v>
      </c>
      <c r="DL16" s="36">
        <f t="shared" si="63"/>
        <v>6652.3661036</v>
      </c>
      <c r="DM16" s="5"/>
      <c r="DN16" s="36">
        <f>C16*$DO$7</f>
        <v>245.00000000000003</v>
      </c>
      <c r="DO16" s="36">
        <f t="shared" si="64"/>
        <v>87.37</v>
      </c>
      <c r="DP16" s="5">
        <f t="shared" si="65"/>
        <v>332.37</v>
      </c>
      <c r="DQ16" s="36">
        <f t="shared" si="66"/>
        <v>13.04296</v>
      </c>
      <c r="DR16" s="5"/>
      <c r="DS16" s="36">
        <f>C16*$DT$7</f>
        <v>1144101.6125</v>
      </c>
      <c r="DT16" s="36">
        <f t="shared" si="67"/>
        <v>408000.64442499995</v>
      </c>
      <c r="DU16" s="5">
        <f t="shared" si="68"/>
        <v>1552102.2569249999</v>
      </c>
      <c r="DV16" s="36">
        <f t="shared" si="69"/>
        <v>60908.047215399994</v>
      </c>
      <c r="DW16" s="5"/>
      <c r="DX16" s="5">
        <f>C16*$DY$7</f>
        <v>8355.725</v>
      </c>
      <c r="DY16" s="36">
        <f t="shared" si="70"/>
        <v>2979.75385</v>
      </c>
      <c r="DZ16" s="36">
        <f t="shared" si="71"/>
        <v>11335.47885</v>
      </c>
      <c r="EA16" s="36">
        <f t="shared" si="72"/>
        <v>444.8301508</v>
      </c>
      <c r="EB16" s="5"/>
      <c r="EC16" s="5"/>
      <c r="ED16" s="36"/>
      <c r="EE16" s="36">
        <f t="shared" si="73"/>
        <v>0</v>
      </c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44835</v>
      </c>
      <c r="D17" s="3">
        <v>2031125</v>
      </c>
      <c r="E17" s="35">
        <f t="shared" si="0"/>
        <v>2031125</v>
      </c>
      <c r="F17" s="35">
        <v>326074</v>
      </c>
      <c r="H17" s="36"/>
      <c r="I17" s="36">
        <v>641808</v>
      </c>
      <c r="J17" s="36">
        <f t="shared" si="1"/>
        <v>641808</v>
      </c>
      <c r="K17" s="36">
        <f>'Academic Project '!K17</f>
        <v>103035.01460840002</v>
      </c>
      <c r="M17" s="36"/>
      <c r="N17" s="35">
        <f t="shared" si="2"/>
        <v>1389317.3264124999</v>
      </c>
      <c r="O17" s="36">
        <f t="shared" si="3"/>
        <v>1389317.3264124999</v>
      </c>
      <c r="P17" s="35">
        <f t="shared" si="2"/>
        <v>223039.0832138</v>
      </c>
      <c r="R17" s="36"/>
      <c r="S17" s="36">
        <f t="shared" si="4"/>
        <v>496947.635475</v>
      </c>
      <c r="T17" s="36">
        <f t="shared" si="5"/>
        <v>496947.635475</v>
      </c>
      <c r="U17" s="36">
        <f t="shared" si="6"/>
        <v>79779.2864988</v>
      </c>
      <c r="W17" s="36"/>
      <c r="X17" s="36">
        <f t="shared" si="7"/>
        <v>11562.991512499999</v>
      </c>
      <c r="Y17" s="36">
        <f t="shared" si="8"/>
        <v>11562.991512499999</v>
      </c>
      <c r="Z17" s="36">
        <f t="shared" si="9"/>
        <v>1856.3066746</v>
      </c>
      <c r="AB17" s="36"/>
      <c r="AC17" s="36">
        <f t="shared" si="10"/>
        <v>1539.186525</v>
      </c>
      <c r="AD17" s="36">
        <f t="shared" si="11"/>
        <v>1539.186525</v>
      </c>
      <c r="AE17" s="36">
        <f t="shared" si="12"/>
        <v>247.0988772</v>
      </c>
      <c r="AG17" s="36"/>
      <c r="AH17" s="36">
        <f t="shared" si="13"/>
        <v>40735.43055</v>
      </c>
      <c r="AI17" s="36">
        <f t="shared" si="14"/>
        <v>40735.43055</v>
      </c>
      <c r="AJ17" s="36">
        <f t="shared" si="15"/>
        <v>6539.6097144</v>
      </c>
      <c r="AL17" s="36"/>
      <c r="AM17" s="36">
        <f t="shared" si="16"/>
        <v>16025.576249999998</v>
      </c>
      <c r="AN17" s="36">
        <f t="shared" si="17"/>
        <v>16025.576249999998</v>
      </c>
      <c r="AO17" s="36">
        <f t="shared" si="18"/>
        <v>2572.7238599999996</v>
      </c>
      <c r="AQ17" s="36"/>
      <c r="AR17" s="36">
        <f t="shared" si="19"/>
        <v>5827.094512500001</v>
      </c>
      <c r="AS17" s="36">
        <f t="shared" si="20"/>
        <v>5827.094512500001</v>
      </c>
      <c r="AT17" s="36">
        <f t="shared" si="21"/>
        <v>935.4736986</v>
      </c>
      <c r="AV17" s="36"/>
      <c r="AW17" s="36">
        <f t="shared" si="22"/>
        <v>42349.362475</v>
      </c>
      <c r="AX17" s="36">
        <f t="shared" si="23"/>
        <v>42349.362475</v>
      </c>
      <c r="AY17" s="36">
        <f t="shared" si="24"/>
        <v>6798.7081148</v>
      </c>
      <c r="BA17" s="36"/>
      <c r="BB17" s="36">
        <f t="shared" si="25"/>
        <v>5849.8431125</v>
      </c>
      <c r="BC17" s="36">
        <f t="shared" si="26"/>
        <v>5849.8431125</v>
      </c>
      <c r="BD17" s="36">
        <f t="shared" si="27"/>
        <v>939.1257274</v>
      </c>
      <c r="BF17" s="36"/>
      <c r="BG17" s="36">
        <f t="shared" si="28"/>
        <v>4693.929875</v>
      </c>
      <c r="BH17" s="36">
        <f t="shared" si="29"/>
        <v>4693.929875</v>
      </c>
      <c r="BI17" s="36">
        <f t="shared" si="30"/>
        <v>753.5570140000001</v>
      </c>
      <c r="BK17" s="36"/>
      <c r="BL17" s="36">
        <f t="shared" si="31"/>
        <v>2763.3455624999997</v>
      </c>
      <c r="BM17" s="5">
        <f t="shared" si="32"/>
        <v>2763.3455624999997</v>
      </c>
      <c r="BN17" s="36">
        <f t="shared" si="33"/>
        <v>443.623677</v>
      </c>
      <c r="BP17" s="36"/>
      <c r="BQ17" s="36">
        <f t="shared" si="34"/>
        <v>136257.6144</v>
      </c>
      <c r="BR17" s="5">
        <f t="shared" si="35"/>
        <v>136257.6144</v>
      </c>
      <c r="BS17" s="36">
        <f t="shared" si="36"/>
        <v>21874.6090752</v>
      </c>
      <c r="BT17" s="5"/>
      <c r="BU17" s="36"/>
      <c r="BV17" s="36">
        <f t="shared" si="37"/>
        <v>1441.0831875</v>
      </c>
      <c r="BW17" s="5">
        <f t="shared" si="38"/>
        <v>1441.0831875</v>
      </c>
      <c r="BX17" s="36">
        <f t="shared" si="39"/>
        <v>231.349503</v>
      </c>
      <c r="BY17" s="5"/>
      <c r="BZ17" s="36"/>
      <c r="CA17" s="36">
        <f t="shared" si="40"/>
        <v>2988.3942125</v>
      </c>
      <c r="CB17" s="5">
        <f t="shared" si="41"/>
        <v>2988.3942125</v>
      </c>
      <c r="CC17" s="36">
        <f t="shared" si="42"/>
        <v>479.7526762</v>
      </c>
      <c r="CD17" s="5"/>
      <c r="CE17" s="36"/>
      <c r="CF17" s="36">
        <f t="shared" si="43"/>
        <v>1402.2887</v>
      </c>
      <c r="CG17" s="5">
        <f t="shared" si="44"/>
        <v>1402.2887</v>
      </c>
      <c r="CH17" s="36">
        <f t="shared" si="45"/>
        <v>225.1214896</v>
      </c>
      <c r="CI17" s="5"/>
      <c r="CJ17" s="36"/>
      <c r="CK17" s="36">
        <f t="shared" si="46"/>
        <v>17197.535375</v>
      </c>
      <c r="CL17" s="5">
        <f t="shared" si="47"/>
        <v>17197.535375</v>
      </c>
      <c r="CM17" s="36">
        <f t="shared" si="48"/>
        <v>2760.868558</v>
      </c>
      <c r="CN17" s="5"/>
      <c r="CO17" s="36"/>
      <c r="CP17" s="36">
        <f t="shared" si="49"/>
        <v>4000.7069125</v>
      </c>
      <c r="CQ17" s="5">
        <f t="shared" si="50"/>
        <v>4000.7069125</v>
      </c>
      <c r="CR17" s="36">
        <f t="shared" si="51"/>
        <v>642.2679578</v>
      </c>
      <c r="CS17" s="5"/>
      <c r="CT17" s="36"/>
      <c r="CU17" s="36">
        <f t="shared" si="52"/>
        <v>173707.49714999998</v>
      </c>
      <c r="CV17" s="5">
        <f t="shared" si="53"/>
        <v>173707.49714999998</v>
      </c>
      <c r="CW17" s="36">
        <f t="shared" si="54"/>
        <v>27886.761487199998</v>
      </c>
      <c r="CX17" s="5"/>
      <c r="CY17" s="36"/>
      <c r="CZ17" s="36">
        <f t="shared" si="55"/>
        <v>41.43495</v>
      </c>
      <c r="DA17" s="5">
        <f t="shared" si="56"/>
        <v>41.43495</v>
      </c>
      <c r="DB17" s="36">
        <f t="shared" si="57"/>
        <v>6.651909600000001</v>
      </c>
      <c r="DC17" s="5"/>
      <c r="DD17" s="36"/>
      <c r="DE17" s="36">
        <f t="shared" si="58"/>
        <v>298.3722625</v>
      </c>
      <c r="DF17" s="5">
        <f t="shared" si="59"/>
        <v>298.3722625</v>
      </c>
      <c r="DG17" s="36">
        <f t="shared" si="60"/>
        <v>47.9002706</v>
      </c>
      <c r="DH17" s="5"/>
      <c r="DI17" s="36"/>
      <c r="DJ17" s="36">
        <f t="shared" si="61"/>
        <v>41437.793575</v>
      </c>
      <c r="DK17" s="5">
        <f t="shared" si="62"/>
        <v>41437.793575</v>
      </c>
      <c r="DL17" s="36">
        <f t="shared" si="63"/>
        <v>6652.3661036</v>
      </c>
      <c r="DM17" s="5"/>
      <c r="DN17" s="36"/>
      <c r="DO17" s="36">
        <f t="shared" si="64"/>
        <v>81.245</v>
      </c>
      <c r="DP17" s="5">
        <f t="shared" si="65"/>
        <v>81.245</v>
      </c>
      <c r="DQ17" s="36">
        <f t="shared" si="66"/>
        <v>13.04296</v>
      </c>
      <c r="DR17" s="5"/>
      <c r="DS17" s="36"/>
      <c r="DT17" s="36">
        <f t="shared" si="67"/>
        <v>379398.1041125</v>
      </c>
      <c r="DU17" s="5">
        <f t="shared" si="68"/>
        <v>379398.1041125</v>
      </c>
      <c r="DV17" s="36">
        <f t="shared" si="69"/>
        <v>60908.047215399994</v>
      </c>
      <c r="DW17" s="5"/>
      <c r="DX17" s="5"/>
      <c r="DY17" s="36">
        <f t="shared" si="70"/>
        <v>2770.860725</v>
      </c>
      <c r="DZ17" s="36">
        <f t="shared" si="71"/>
        <v>2770.860725</v>
      </c>
      <c r="EA17" s="36">
        <f t="shared" si="72"/>
        <v>444.8301508</v>
      </c>
      <c r="EB17" s="5"/>
      <c r="EC17" s="5"/>
      <c r="ED17" s="36"/>
      <c r="EE17" s="36">
        <f t="shared" si="73"/>
        <v>0</v>
      </c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45017</v>
      </c>
      <c r="C18" s="3">
        <v>6430000</v>
      </c>
      <c r="D18" s="3">
        <v>2031125</v>
      </c>
      <c r="E18" s="35">
        <f t="shared" si="0"/>
        <v>8461125</v>
      </c>
      <c r="F18" s="35">
        <v>326074</v>
      </c>
      <c r="H18" s="36">
        <v>2031794</v>
      </c>
      <c r="I18" s="36">
        <v>641808</v>
      </c>
      <c r="J18" s="36">
        <f t="shared" si="1"/>
        <v>2673602</v>
      </c>
      <c r="K18" s="36">
        <f>'Academic Project '!K18</f>
        <v>103035.01460840002</v>
      </c>
      <c r="M18" s="36">
        <f>R18+W18+AB18+AG18+AL18+AQ18+AV18+BA18+BF18+BK18+BP18+BU18+BZ18+CE18+CJ18+CO18+CT18+CY18+DD18+DI18+DN18+DS18+DX18+EC18</f>
        <v>4398208.090999999</v>
      </c>
      <c r="N18" s="35">
        <f t="shared" si="2"/>
        <v>1389317.3264124999</v>
      </c>
      <c r="O18" s="36">
        <f t="shared" si="3"/>
        <v>5787525.417412499</v>
      </c>
      <c r="P18" s="35">
        <f t="shared" si="2"/>
        <v>223039.0832138</v>
      </c>
      <c r="R18" s="36">
        <f>C18*$S$7</f>
        <v>1573203.666</v>
      </c>
      <c r="S18" s="36">
        <f t="shared" si="4"/>
        <v>496947.635475</v>
      </c>
      <c r="T18" s="36">
        <f t="shared" si="5"/>
        <v>2070151.301475</v>
      </c>
      <c r="U18" s="36">
        <f t="shared" si="6"/>
        <v>79779.2864988</v>
      </c>
      <c r="W18" s="36">
        <f t="shared" si="74"/>
        <v>36605.347</v>
      </c>
      <c r="X18" s="36">
        <f t="shared" si="7"/>
        <v>11562.991512499999</v>
      </c>
      <c r="Y18" s="36">
        <f t="shared" si="8"/>
        <v>48168.3385125</v>
      </c>
      <c r="Z18" s="36">
        <f t="shared" si="9"/>
        <v>1856.3066746</v>
      </c>
      <c r="AB18" s="36">
        <f t="shared" si="75"/>
        <v>4872.6539999999995</v>
      </c>
      <c r="AC18" s="36">
        <f t="shared" si="10"/>
        <v>1539.186525</v>
      </c>
      <c r="AD18" s="36">
        <f t="shared" si="11"/>
        <v>6411.840525</v>
      </c>
      <c r="AE18" s="36">
        <f t="shared" si="12"/>
        <v>247.0988772</v>
      </c>
      <c r="AG18" s="36">
        <f t="shared" si="76"/>
        <v>128957.508</v>
      </c>
      <c r="AH18" s="36">
        <f t="shared" si="13"/>
        <v>40735.43055</v>
      </c>
      <c r="AI18" s="36">
        <f t="shared" si="14"/>
        <v>169692.93855</v>
      </c>
      <c r="AJ18" s="36">
        <f t="shared" si="15"/>
        <v>6539.6097144</v>
      </c>
      <c r="AL18" s="36">
        <f t="shared" si="77"/>
        <v>50732.7</v>
      </c>
      <c r="AM18" s="36">
        <f t="shared" si="16"/>
        <v>16025.576249999998</v>
      </c>
      <c r="AN18" s="36">
        <f t="shared" si="17"/>
        <v>66758.27625</v>
      </c>
      <c r="AO18" s="36">
        <f t="shared" si="18"/>
        <v>2572.7238599999996</v>
      </c>
      <c r="AQ18" s="36">
        <f t="shared" si="78"/>
        <v>18447.027000000002</v>
      </c>
      <c r="AR18" s="36">
        <f t="shared" si="19"/>
        <v>5827.094512500001</v>
      </c>
      <c r="AS18" s="36">
        <f t="shared" si="20"/>
        <v>24274.1215125</v>
      </c>
      <c r="AT18" s="36">
        <f t="shared" si="21"/>
        <v>935.4736986</v>
      </c>
      <c r="AV18" s="36">
        <f t="shared" si="79"/>
        <v>134066.786</v>
      </c>
      <c r="AW18" s="36">
        <f t="shared" si="22"/>
        <v>42349.362475</v>
      </c>
      <c r="AX18" s="36">
        <f t="shared" si="23"/>
        <v>176416.148475</v>
      </c>
      <c r="AY18" s="36">
        <f t="shared" si="24"/>
        <v>6798.7081148</v>
      </c>
      <c r="BA18" s="36">
        <f t="shared" si="80"/>
        <v>18519.043</v>
      </c>
      <c r="BB18" s="36">
        <f t="shared" si="25"/>
        <v>5849.8431125</v>
      </c>
      <c r="BC18" s="36">
        <f t="shared" si="26"/>
        <v>24368.8861125</v>
      </c>
      <c r="BD18" s="36">
        <f t="shared" si="27"/>
        <v>939.1257274</v>
      </c>
      <c r="BF18" s="36">
        <f t="shared" si="81"/>
        <v>14859.730000000001</v>
      </c>
      <c r="BG18" s="36">
        <f t="shared" si="28"/>
        <v>4693.929875</v>
      </c>
      <c r="BH18" s="36">
        <f t="shared" si="29"/>
        <v>19553.659875</v>
      </c>
      <c r="BI18" s="36">
        <f t="shared" si="30"/>
        <v>753.5570140000001</v>
      </c>
      <c r="BK18" s="36">
        <f t="shared" si="82"/>
        <v>8748.015</v>
      </c>
      <c r="BL18" s="36">
        <f t="shared" si="31"/>
        <v>2763.3455624999997</v>
      </c>
      <c r="BM18" s="5">
        <f t="shared" si="32"/>
        <v>11511.360562499998</v>
      </c>
      <c r="BN18" s="36">
        <f t="shared" si="33"/>
        <v>443.623677</v>
      </c>
      <c r="BP18" s="36">
        <f t="shared" si="83"/>
        <v>431355.264</v>
      </c>
      <c r="BQ18" s="36">
        <f t="shared" si="34"/>
        <v>136257.6144</v>
      </c>
      <c r="BR18" s="5">
        <f t="shared" si="35"/>
        <v>567612.8784</v>
      </c>
      <c r="BS18" s="36">
        <f t="shared" si="36"/>
        <v>21874.6090752</v>
      </c>
      <c r="BT18" s="5"/>
      <c r="BU18" s="36">
        <f t="shared" si="84"/>
        <v>4562.085</v>
      </c>
      <c r="BV18" s="36">
        <f t="shared" si="37"/>
        <v>1441.0831875</v>
      </c>
      <c r="BW18" s="5">
        <f t="shared" si="38"/>
        <v>6003.1681874999995</v>
      </c>
      <c r="BX18" s="36">
        <f t="shared" si="39"/>
        <v>231.349503</v>
      </c>
      <c r="BY18" s="5"/>
      <c r="BZ18" s="36">
        <f t="shared" si="85"/>
        <v>9460.459</v>
      </c>
      <c r="CA18" s="36">
        <f t="shared" si="40"/>
        <v>2988.3942125</v>
      </c>
      <c r="CB18" s="5">
        <f t="shared" si="41"/>
        <v>12448.8532125</v>
      </c>
      <c r="CC18" s="36">
        <f t="shared" si="42"/>
        <v>479.7526762</v>
      </c>
      <c r="CD18" s="5"/>
      <c r="CE18" s="36">
        <f t="shared" si="86"/>
        <v>4439.272</v>
      </c>
      <c r="CF18" s="36">
        <f t="shared" si="43"/>
        <v>1402.2887</v>
      </c>
      <c r="CG18" s="5">
        <f t="shared" si="44"/>
        <v>5841.5607</v>
      </c>
      <c r="CH18" s="36">
        <f t="shared" si="45"/>
        <v>225.1214896</v>
      </c>
      <c r="CI18" s="5"/>
      <c r="CJ18" s="36">
        <f t="shared" si="87"/>
        <v>54442.810000000005</v>
      </c>
      <c r="CK18" s="36">
        <f t="shared" si="46"/>
        <v>17197.535375</v>
      </c>
      <c r="CL18" s="5">
        <f t="shared" si="47"/>
        <v>71640.345375</v>
      </c>
      <c r="CM18" s="36">
        <f t="shared" si="48"/>
        <v>2760.868558</v>
      </c>
      <c r="CN18" s="5"/>
      <c r="CO18" s="36">
        <f t="shared" si="88"/>
        <v>12665.171</v>
      </c>
      <c r="CP18" s="36">
        <f t="shared" si="49"/>
        <v>4000.7069125</v>
      </c>
      <c r="CQ18" s="5">
        <f t="shared" si="50"/>
        <v>16665.8779125</v>
      </c>
      <c r="CR18" s="36">
        <f t="shared" si="51"/>
        <v>642.2679578</v>
      </c>
      <c r="CS18" s="5"/>
      <c r="CT18" s="36">
        <f t="shared" si="89"/>
        <v>549911.6039999999</v>
      </c>
      <c r="CU18" s="36">
        <f t="shared" si="52"/>
        <v>173707.49714999998</v>
      </c>
      <c r="CV18" s="5">
        <f t="shared" si="53"/>
        <v>723619.1011499999</v>
      </c>
      <c r="CW18" s="36">
        <f t="shared" si="54"/>
        <v>27886.761487199998</v>
      </c>
      <c r="CX18" s="5"/>
      <c r="CY18" s="36">
        <f t="shared" si="90"/>
        <v>131.172</v>
      </c>
      <c r="CZ18" s="36">
        <f t="shared" si="55"/>
        <v>41.43495</v>
      </c>
      <c r="DA18" s="5">
        <f t="shared" si="56"/>
        <v>172.60694999999998</v>
      </c>
      <c r="DB18" s="36">
        <f t="shared" si="57"/>
        <v>6.651909600000001</v>
      </c>
      <c r="DC18" s="5"/>
      <c r="DD18" s="36">
        <f>C18*$DE$7</f>
        <v>944.567</v>
      </c>
      <c r="DE18" s="36">
        <f t="shared" si="58"/>
        <v>298.3722625</v>
      </c>
      <c r="DF18" s="5">
        <f t="shared" si="59"/>
        <v>1242.9392625</v>
      </c>
      <c r="DG18" s="36">
        <f t="shared" si="60"/>
        <v>47.9002706</v>
      </c>
      <c r="DH18" s="5"/>
      <c r="DI18" s="36">
        <f>C18*$DJ$7</f>
        <v>131181.002</v>
      </c>
      <c r="DJ18" s="36">
        <f t="shared" si="61"/>
        <v>41437.793575</v>
      </c>
      <c r="DK18" s="5">
        <f t="shared" si="62"/>
        <v>172618.795575</v>
      </c>
      <c r="DL18" s="36">
        <f t="shared" si="63"/>
        <v>6652.3661036</v>
      </c>
      <c r="DM18" s="5"/>
      <c r="DN18" s="36">
        <f>C18*$DO$7</f>
        <v>257.20000000000005</v>
      </c>
      <c r="DO18" s="36">
        <f t="shared" si="64"/>
        <v>81.245</v>
      </c>
      <c r="DP18" s="5">
        <f t="shared" si="65"/>
        <v>338.44500000000005</v>
      </c>
      <c r="DQ18" s="36">
        <f t="shared" si="66"/>
        <v>13.04296</v>
      </c>
      <c r="DR18" s="5"/>
      <c r="DS18" s="36">
        <f>C18*$DT$7</f>
        <v>1201073.203</v>
      </c>
      <c r="DT18" s="36">
        <f t="shared" si="67"/>
        <v>379398.1041125</v>
      </c>
      <c r="DU18" s="5">
        <f t="shared" si="68"/>
        <v>1580471.3071125</v>
      </c>
      <c r="DV18" s="36">
        <f t="shared" si="69"/>
        <v>60908.047215399994</v>
      </c>
      <c r="DW18" s="5"/>
      <c r="DX18" s="5">
        <f>C18*$DY$7</f>
        <v>8771.806</v>
      </c>
      <c r="DY18" s="36">
        <f t="shared" si="70"/>
        <v>2770.860725</v>
      </c>
      <c r="DZ18" s="36">
        <f t="shared" si="71"/>
        <v>11542.666725000001</v>
      </c>
      <c r="EA18" s="36">
        <f t="shared" si="72"/>
        <v>444.8301508</v>
      </c>
      <c r="EB18" s="5"/>
      <c r="EC18" s="5"/>
      <c r="ED18" s="36"/>
      <c r="EE18" s="36">
        <f t="shared" si="73"/>
        <v>0</v>
      </c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45200</v>
      </c>
      <c r="D19" s="3">
        <v>1870375</v>
      </c>
      <c r="E19" s="35">
        <f t="shared" si="0"/>
        <v>1870375</v>
      </c>
      <c r="F19" s="35">
        <v>326074</v>
      </c>
      <c r="H19" s="36"/>
      <c r="I19" s="36">
        <v>591013</v>
      </c>
      <c r="J19" s="36">
        <f t="shared" si="1"/>
        <v>591013</v>
      </c>
      <c r="K19" s="36">
        <f>'Academic Project '!K19</f>
        <v>103035.01460840002</v>
      </c>
      <c r="M19" s="36"/>
      <c r="N19" s="35">
        <f t="shared" si="2"/>
        <v>1279362.1241374996</v>
      </c>
      <c r="O19" s="36">
        <f t="shared" si="3"/>
        <v>1279362.1241374996</v>
      </c>
      <c r="P19" s="35">
        <f t="shared" si="2"/>
        <v>223039.0832138</v>
      </c>
      <c r="R19" s="36"/>
      <c r="S19" s="36">
        <f t="shared" si="4"/>
        <v>457617.543825</v>
      </c>
      <c r="T19" s="36">
        <f t="shared" si="5"/>
        <v>457617.543825</v>
      </c>
      <c r="U19" s="36">
        <f t="shared" si="6"/>
        <v>79779.2864988</v>
      </c>
      <c r="W19" s="36"/>
      <c r="X19" s="36">
        <f t="shared" si="7"/>
        <v>10647.8578375</v>
      </c>
      <c r="Y19" s="36">
        <f t="shared" si="8"/>
        <v>10647.8578375</v>
      </c>
      <c r="Z19" s="36">
        <f t="shared" si="9"/>
        <v>1856.3066746</v>
      </c>
      <c r="AB19" s="36"/>
      <c r="AC19" s="36">
        <f t="shared" si="10"/>
        <v>1417.370175</v>
      </c>
      <c r="AD19" s="36">
        <f t="shared" si="11"/>
        <v>1417.370175</v>
      </c>
      <c r="AE19" s="36">
        <f t="shared" si="12"/>
        <v>247.0988772</v>
      </c>
      <c r="AG19" s="36"/>
      <c r="AH19" s="36">
        <f t="shared" si="13"/>
        <v>37511.49285</v>
      </c>
      <c r="AI19" s="36">
        <f t="shared" si="14"/>
        <v>37511.49285</v>
      </c>
      <c r="AJ19" s="36">
        <f t="shared" si="15"/>
        <v>6539.6097144</v>
      </c>
      <c r="AL19" s="36"/>
      <c r="AM19" s="36">
        <f t="shared" si="16"/>
        <v>14757.258749999999</v>
      </c>
      <c r="AN19" s="36">
        <f t="shared" si="17"/>
        <v>14757.258749999999</v>
      </c>
      <c r="AO19" s="36">
        <f t="shared" si="18"/>
        <v>2572.7238599999996</v>
      </c>
      <c r="AQ19" s="36"/>
      <c r="AR19" s="36">
        <f t="shared" si="19"/>
        <v>5365.9188375</v>
      </c>
      <c r="AS19" s="36">
        <f t="shared" si="20"/>
        <v>5365.9188375</v>
      </c>
      <c r="AT19" s="36">
        <f t="shared" si="21"/>
        <v>935.4736986</v>
      </c>
      <c r="AV19" s="36"/>
      <c r="AW19" s="36">
        <f t="shared" si="22"/>
        <v>38997.692825</v>
      </c>
      <c r="AX19" s="36">
        <f t="shared" si="23"/>
        <v>38997.692825</v>
      </c>
      <c r="AY19" s="36">
        <f t="shared" si="24"/>
        <v>6798.7081148</v>
      </c>
      <c r="BA19" s="36"/>
      <c r="BB19" s="36">
        <f t="shared" si="25"/>
        <v>5386.8670375</v>
      </c>
      <c r="BC19" s="36">
        <f t="shared" si="26"/>
        <v>5386.8670375</v>
      </c>
      <c r="BD19" s="36">
        <f t="shared" si="27"/>
        <v>939.1257274</v>
      </c>
      <c r="BF19" s="36"/>
      <c r="BG19" s="36">
        <f t="shared" si="28"/>
        <v>4322.436625</v>
      </c>
      <c r="BH19" s="36">
        <f t="shared" si="29"/>
        <v>4322.436625</v>
      </c>
      <c r="BI19" s="36">
        <f t="shared" si="30"/>
        <v>753.5570140000001</v>
      </c>
      <c r="BK19" s="36"/>
      <c r="BL19" s="36">
        <f t="shared" si="31"/>
        <v>2544.6451875</v>
      </c>
      <c r="BM19" s="5">
        <f t="shared" si="32"/>
        <v>2544.6451875</v>
      </c>
      <c r="BN19" s="36">
        <f t="shared" si="33"/>
        <v>443.623677</v>
      </c>
      <c r="BP19" s="36"/>
      <c r="BQ19" s="36">
        <f t="shared" si="34"/>
        <v>125473.7328</v>
      </c>
      <c r="BR19" s="5">
        <f t="shared" si="35"/>
        <v>125473.7328</v>
      </c>
      <c r="BS19" s="36">
        <f t="shared" si="36"/>
        <v>21874.6090752</v>
      </c>
      <c r="BT19" s="5"/>
      <c r="BU19" s="36"/>
      <c r="BV19" s="36">
        <f t="shared" si="37"/>
        <v>1327.0310625</v>
      </c>
      <c r="BW19" s="5">
        <f t="shared" si="38"/>
        <v>1327.0310625</v>
      </c>
      <c r="BX19" s="36">
        <f t="shared" si="39"/>
        <v>231.349503</v>
      </c>
      <c r="BY19" s="5"/>
      <c r="BZ19" s="36"/>
      <c r="CA19" s="36">
        <f t="shared" si="40"/>
        <v>2751.8827375</v>
      </c>
      <c r="CB19" s="5">
        <f t="shared" si="41"/>
        <v>2751.8827375</v>
      </c>
      <c r="CC19" s="36">
        <f t="shared" si="42"/>
        <v>479.7526762</v>
      </c>
      <c r="CD19" s="5"/>
      <c r="CE19" s="36"/>
      <c r="CF19" s="36">
        <f t="shared" si="43"/>
        <v>1291.3069</v>
      </c>
      <c r="CG19" s="5">
        <f t="shared" si="44"/>
        <v>1291.3069</v>
      </c>
      <c r="CH19" s="36">
        <f t="shared" si="45"/>
        <v>225.1214896</v>
      </c>
      <c r="CI19" s="5"/>
      <c r="CJ19" s="36"/>
      <c r="CK19" s="36">
        <f t="shared" si="46"/>
        <v>15836.465125</v>
      </c>
      <c r="CL19" s="5">
        <f t="shared" si="47"/>
        <v>15836.465125</v>
      </c>
      <c r="CM19" s="36">
        <f t="shared" si="48"/>
        <v>2760.868558</v>
      </c>
      <c r="CN19" s="5"/>
      <c r="CO19" s="36"/>
      <c r="CP19" s="36">
        <f t="shared" si="49"/>
        <v>3684.0776375</v>
      </c>
      <c r="CQ19" s="5">
        <f t="shared" si="50"/>
        <v>3684.0776375</v>
      </c>
      <c r="CR19" s="36">
        <f t="shared" si="51"/>
        <v>642.2679578</v>
      </c>
      <c r="CS19" s="5"/>
      <c r="CT19" s="36"/>
      <c r="CU19" s="36">
        <f t="shared" si="52"/>
        <v>159959.70705</v>
      </c>
      <c r="CV19" s="5">
        <f t="shared" si="53"/>
        <v>159959.70705</v>
      </c>
      <c r="CW19" s="36">
        <f t="shared" si="54"/>
        <v>27886.761487199998</v>
      </c>
      <c r="CX19" s="5"/>
      <c r="CY19" s="36"/>
      <c r="CZ19" s="36">
        <f t="shared" si="55"/>
        <v>38.15565</v>
      </c>
      <c r="DA19" s="5">
        <f t="shared" si="56"/>
        <v>38.15565</v>
      </c>
      <c r="DB19" s="36">
        <f t="shared" si="57"/>
        <v>6.651909600000001</v>
      </c>
      <c r="DC19" s="5"/>
      <c r="DD19" s="36"/>
      <c r="DE19" s="36">
        <f t="shared" si="58"/>
        <v>274.7580875</v>
      </c>
      <c r="DF19" s="5">
        <f t="shared" si="59"/>
        <v>274.7580875</v>
      </c>
      <c r="DG19" s="36">
        <f t="shared" si="60"/>
        <v>47.9002706</v>
      </c>
      <c r="DH19" s="5"/>
      <c r="DI19" s="36"/>
      <c r="DJ19" s="36">
        <f t="shared" si="61"/>
        <v>38158.268525</v>
      </c>
      <c r="DK19" s="5">
        <f t="shared" si="62"/>
        <v>38158.268525</v>
      </c>
      <c r="DL19" s="36">
        <f t="shared" si="63"/>
        <v>6652.3661036</v>
      </c>
      <c r="DM19" s="5"/>
      <c r="DN19" s="36"/>
      <c r="DO19" s="36">
        <f t="shared" si="64"/>
        <v>74.81500000000001</v>
      </c>
      <c r="DP19" s="5">
        <f t="shared" si="65"/>
        <v>74.81500000000001</v>
      </c>
      <c r="DQ19" s="36">
        <f t="shared" si="66"/>
        <v>13.04296</v>
      </c>
      <c r="DR19" s="5"/>
      <c r="DS19" s="36"/>
      <c r="DT19" s="36">
        <f t="shared" si="67"/>
        <v>349371.27403749997</v>
      </c>
      <c r="DU19" s="5">
        <f t="shared" si="68"/>
        <v>349371.27403749997</v>
      </c>
      <c r="DV19" s="36">
        <f t="shared" si="69"/>
        <v>60908.047215399994</v>
      </c>
      <c r="DW19" s="5"/>
      <c r="DX19" s="5"/>
      <c r="DY19" s="36">
        <f t="shared" si="70"/>
        <v>2551.565575</v>
      </c>
      <c r="DZ19" s="36">
        <f t="shared" si="71"/>
        <v>2551.565575</v>
      </c>
      <c r="EA19" s="36">
        <f t="shared" si="72"/>
        <v>444.8301508</v>
      </c>
      <c r="EB19" s="5"/>
      <c r="EC19" s="5"/>
      <c r="ED19" s="36"/>
      <c r="EE19" s="36">
        <f t="shared" si="73"/>
        <v>0</v>
      </c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45383</v>
      </c>
      <c r="C20" s="3">
        <v>6750000</v>
      </c>
      <c r="D20" s="3">
        <v>1870375</v>
      </c>
      <c r="E20" s="35">
        <f t="shared" si="0"/>
        <v>8620375</v>
      </c>
      <c r="F20" s="35">
        <v>326074</v>
      </c>
      <c r="H20" s="36">
        <v>2132910</v>
      </c>
      <c r="I20" s="36">
        <v>591013</v>
      </c>
      <c r="J20" s="36">
        <f t="shared" si="1"/>
        <v>2723923</v>
      </c>
      <c r="K20" s="36">
        <f>'Academic Project '!K20</f>
        <v>103035.01460840002</v>
      </c>
      <c r="M20" s="36">
        <f>R20+W20+AB20+AG20+AL20+AQ20+AV20+BA20+BF20+BK20+BP20+BU20+BZ20+CE20+CJ20+CO20+CT20+CY20+DD20+DI20+DN20+DS20+DX20+EC20</f>
        <v>4617092.475</v>
      </c>
      <c r="N20" s="35">
        <f t="shared" si="2"/>
        <v>1279362.1241374996</v>
      </c>
      <c r="O20" s="36">
        <f t="shared" si="3"/>
        <v>5896454.599137499</v>
      </c>
      <c r="P20" s="35">
        <f t="shared" si="2"/>
        <v>223039.0832138</v>
      </c>
      <c r="R20" s="36">
        <f>C20*$S$7</f>
        <v>1651496.85</v>
      </c>
      <c r="S20" s="36">
        <f t="shared" si="4"/>
        <v>457617.543825</v>
      </c>
      <c r="T20" s="36">
        <f t="shared" si="5"/>
        <v>2109114.393825</v>
      </c>
      <c r="U20" s="36">
        <f t="shared" si="6"/>
        <v>79779.2864988</v>
      </c>
      <c r="W20" s="36">
        <f t="shared" si="74"/>
        <v>38427.075</v>
      </c>
      <c r="X20" s="36">
        <f t="shared" si="7"/>
        <v>10647.8578375</v>
      </c>
      <c r="Y20" s="36">
        <f t="shared" si="8"/>
        <v>49074.9328375</v>
      </c>
      <c r="Z20" s="36">
        <f t="shared" si="9"/>
        <v>1856.3066746</v>
      </c>
      <c r="AB20" s="36">
        <f t="shared" si="75"/>
        <v>5115.15</v>
      </c>
      <c r="AC20" s="36">
        <f t="shared" si="10"/>
        <v>1417.370175</v>
      </c>
      <c r="AD20" s="36">
        <f t="shared" si="11"/>
        <v>6532.520175</v>
      </c>
      <c r="AE20" s="36">
        <f t="shared" si="12"/>
        <v>247.0988772</v>
      </c>
      <c r="AG20" s="36">
        <f t="shared" si="76"/>
        <v>135375.3</v>
      </c>
      <c r="AH20" s="36">
        <f t="shared" si="13"/>
        <v>37511.49285</v>
      </c>
      <c r="AI20" s="36">
        <f t="shared" si="14"/>
        <v>172886.79285</v>
      </c>
      <c r="AJ20" s="36">
        <f t="shared" si="15"/>
        <v>6539.6097144</v>
      </c>
      <c r="AL20" s="36">
        <f t="shared" si="77"/>
        <v>53257.49999999999</v>
      </c>
      <c r="AM20" s="36">
        <f t="shared" si="16"/>
        <v>14757.258749999999</v>
      </c>
      <c r="AN20" s="36">
        <f t="shared" si="17"/>
        <v>68014.75875</v>
      </c>
      <c r="AO20" s="36">
        <f t="shared" si="18"/>
        <v>2572.7238599999996</v>
      </c>
      <c r="AQ20" s="36">
        <f t="shared" si="78"/>
        <v>19365.075</v>
      </c>
      <c r="AR20" s="36">
        <f t="shared" si="19"/>
        <v>5365.9188375</v>
      </c>
      <c r="AS20" s="36">
        <f t="shared" si="20"/>
        <v>24730.993837500002</v>
      </c>
      <c r="AT20" s="36">
        <f t="shared" si="21"/>
        <v>935.4736986</v>
      </c>
      <c r="AV20" s="36">
        <f t="shared" si="79"/>
        <v>140738.85</v>
      </c>
      <c r="AW20" s="36">
        <f t="shared" si="22"/>
        <v>38997.692825</v>
      </c>
      <c r="AX20" s="36">
        <f t="shared" si="23"/>
        <v>179736.542825</v>
      </c>
      <c r="AY20" s="36">
        <f t="shared" si="24"/>
        <v>6798.7081148</v>
      </c>
      <c r="BA20" s="36">
        <f t="shared" si="80"/>
        <v>19440.675</v>
      </c>
      <c r="BB20" s="36">
        <f t="shared" si="25"/>
        <v>5386.8670375</v>
      </c>
      <c r="BC20" s="36">
        <f t="shared" si="26"/>
        <v>24827.5420375</v>
      </c>
      <c r="BD20" s="36">
        <f t="shared" si="27"/>
        <v>939.1257274</v>
      </c>
      <c r="BF20" s="36">
        <f t="shared" si="81"/>
        <v>15599.25</v>
      </c>
      <c r="BG20" s="36">
        <f t="shared" si="28"/>
        <v>4322.436625</v>
      </c>
      <c r="BH20" s="36">
        <f t="shared" si="29"/>
        <v>19921.686625000002</v>
      </c>
      <c r="BI20" s="36">
        <f t="shared" si="30"/>
        <v>753.5570140000001</v>
      </c>
      <c r="BK20" s="36">
        <f t="shared" si="82"/>
        <v>9183.375</v>
      </c>
      <c r="BL20" s="36">
        <f t="shared" si="31"/>
        <v>2544.6451875</v>
      </c>
      <c r="BM20" s="5">
        <f t="shared" si="32"/>
        <v>11728.0201875</v>
      </c>
      <c r="BN20" s="36">
        <f t="shared" si="33"/>
        <v>443.623677</v>
      </c>
      <c r="BP20" s="36">
        <f t="shared" si="83"/>
        <v>452822.4</v>
      </c>
      <c r="BQ20" s="36">
        <f t="shared" si="34"/>
        <v>125473.7328</v>
      </c>
      <c r="BR20" s="5">
        <f t="shared" si="35"/>
        <v>578296.1328</v>
      </c>
      <c r="BS20" s="36">
        <f t="shared" si="36"/>
        <v>21874.6090752</v>
      </c>
      <c r="BT20" s="5"/>
      <c r="BU20" s="36">
        <f t="shared" si="84"/>
        <v>4789.125</v>
      </c>
      <c r="BV20" s="36">
        <f t="shared" si="37"/>
        <v>1327.0310625</v>
      </c>
      <c r="BW20" s="5">
        <f t="shared" si="38"/>
        <v>6116.1560625</v>
      </c>
      <c r="BX20" s="36">
        <f t="shared" si="39"/>
        <v>231.349503</v>
      </c>
      <c r="BY20" s="5"/>
      <c r="BZ20" s="36">
        <f t="shared" si="85"/>
        <v>9931.275</v>
      </c>
      <c r="CA20" s="36">
        <f t="shared" si="40"/>
        <v>2751.8827375</v>
      </c>
      <c r="CB20" s="5">
        <f t="shared" si="41"/>
        <v>12683.1577375</v>
      </c>
      <c r="CC20" s="36">
        <f t="shared" si="42"/>
        <v>479.7526762</v>
      </c>
      <c r="CD20" s="5"/>
      <c r="CE20" s="36">
        <f t="shared" si="86"/>
        <v>4660.2</v>
      </c>
      <c r="CF20" s="36">
        <f t="shared" si="43"/>
        <v>1291.3069</v>
      </c>
      <c r="CG20" s="5">
        <f t="shared" si="44"/>
        <v>5951.5069</v>
      </c>
      <c r="CH20" s="36">
        <f t="shared" si="45"/>
        <v>225.1214896</v>
      </c>
      <c r="CI20" s="5"/>
      <c r="CJ20" s="36">
        <f t="shared" si="87"/>
        <v>57152.25000000001</v>
      </c>
      <c r="CK20" s="36">
        <f t="shared" si="46"/>
        <v>15836.465125</v>
      </c>
      <c r="CL20" s="5">
        <f t="shared" si="47"/>
        <v>72988.715125</v>
      </c>
      <c r="CM20" s="36">
        <f t="shared" si="48"/>
        <v>2760.868558</v>
      </c>
      <c r="CN20" s="5"/>
      <c r="CO20" s="36">
        <f t="shared" si="88"/>
        <v>13295.475</v>
      </c>
      <c r="CP20" s="36">
        <f t="shared" si="49"/>
        <v>3684.0776375</v>
      </c>
      <c r="CQ20" s="5">
        <f t="shared" si="50"/>
        <v>16979.5526375</v>
      </c>
      <c r="CR20" s="36">
        <f t="shared" si="51"/>
        <v>642.2679578</v>
      </c>
      <c r="CS20" s="5"/>
      <c r="CT20" s="36">
        <f t="shared" si="89"/>
        <v>577278.9</v>
      </c>
      <c r="CU20" s="36">
        <f t="shared" si="52"/>
        <v>159959.70705</v>
      </c>
      <c r="CV20" s="5">
        <f t="shared" si="53"/>
        <v>737238.60705</v>
      </c>
      <c r="CW20" s="36">
        <f t="shared" si="54"/>
        <v>27886.761487199998</v>
      </c>
      <c r="CX20" s="5"/>
      <c r="CY20" s="36">
        <f t="shared" si="90"/>
        <v>137.70000000000002</v>
      </c>
      <c r="CZ20" s="36">
        <f t="shared" si="55"/>
        <v>38.15565</v>
      </c>
      <c r="DA20" s="5">
        <f t="shared" si="56"/>
        <v>175.85565000000003</v>
      </c>
      <c r="DB20" s="36">
        <f t="shared" si="57"/>
        <v>6.651909600000001</v>
      </c>
      <c r="DC20" s="5"/>
      <c r="DD20" s="36">
        <f>C20*$DE$7</f>
        <v>991.5749999999999</v>
      </c>
      <c r="DE20" s="36">
        <f t="shared" si="58"/>
        <v>274.7580875</v>
      </c>
      <c r="DF20" s="5">
        <f t="shared" si="59"/>
        <v>1266.3330875</v>
      </c>
      <c r="DG20" s="36">
        <f t="shared" si="60"/>
        <v>47.9002706</v>
      </c>
      <c r="DH20" s="5"/>
      <c r="DI20" s="36">
        <f>C20*$DJ$7</f>
        <v>137709.45</v>
      </c>
      <c r="DJ20" s="36">
        <f t="shared" si="61"/>
        <v>38158.268525</v>
      </c>
      <c r="DK20" s="5">
        <f t="shared" si="62"/>
        <v>175867.718525</v>
      </c>
      <c r="DL20" s="36">
        <f t="shared" si="63"/>
        <v>6652.3661036</v>
      </c>
      <c r="DM20" s="5"/>
      <c r="DN20" s="36">
        <f>C20*$DO$7</f>
        <v>270</v>
      </c>
      <c r="DO20" s="36">
        <f t="shared" si="64"/>
        <v>74.81500000000001</v>
      </c>
      <c r="DP20" s="5">
        <f t="shared" si="65"/>
        <v>344.815</v>
      </c>
      <c r="DQ20" s="36">
        <f t="shared" si="66"/>
        <v>13.04296</v>
      </c>
      <c r="DR20" s="5"/>
      <c r="DS20" s="36">
        <f>C20*$DT$7</f>
        <v>1260846.6749999998</v>
      </c>
      <c r="DT20" s="36">
        <f t="shared" si="67"/>
        <v>349371.27403749997</v>
      </c>
      <c r="DU20" s="5">
        <f t="shared" si="68"/>
        <v>1610217.9490374997</v>
      </c>
      <c r="DV20" s="36">
        <f t="shared" si="69"/>
        <v>60908.047215399994</v>
      </c>
      <c r="DW20" s="5"/>
      <c r="DX20" s="5">
        <f>C20*$DY$7</f>
        <v>9208.35</v>
      </c>
      <c r="DY20" s="36">
        <f t="shared" si="70"/>
        <v>2551.565575</v>
      </c>
      <c r="DZ20" s="36">
        <f t="shared" si="71"/>
        <v>11759.915575</v>
      </c>
      <c r="EA20" s="36">
        <f t="shared" si="72"/>
        <v>444.8301508</v>
      </c>
      <c r="EB20" s="5"/>
      <c r="EC20" s="5"/>
      <c r="ED20" s="36"/>
      <c r="EE20" s="36">
        <f t="shared" si="73"/>
        <v>0</v>
      </c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45566</v>
      </c>
      <c r="D21" s="3">
        <v>1701625</v>
      </c>
      <c r="E21" s="35">
        <f t="shared" si="0"/>
        <v>1701625</v>
      </c>
      <c r="F21" s="35">
        <v>326074</v>
      </c>
      <c r="H21" s="36"/>
      <c r="I21" s="36">
        <v>537691</v>
      </c>
      <c r="J21" s="36">
        <f t="shared" si="1"/>
        <v>537691</v>
      </c>
      <c r="K21" s="36">
        <f>'Academic Project '!K21</f>
        <v>103035.01460840002</v>
      </c>
      <c r="M21" s="36"/>
      <c r="N21" s="35">
        <f t="shared" si="2"/>
        <v>1163934.8122624997</v>
      </c>
      <c r="O21" s="36">
        <f t="shared" si="3"/>
        <v>1163934.8122624997</v>
      </c>
      <c r="P21" s="35">
        <f t="shared" si="2"/>
        <v>223039.0832138</v>
      </c>
      <c r="R21" s="36"/>
      <c r="S21" s="36">
        <f t="shared" si="4"/>
        <v>416330.122575</v>
      </c>
      <c r="T21" s="36">
        <f t="shared" si="5"/>
        <v>416330.122575</v>
      </c>
      <c r="U21" s="36">
        <f t="shared" si="6"/>
        <v>79779.2864988</v>
      </c>
      <c r="W21" s="36"/>
      <c r="X21" s="36">
        <f t="shared" si="7"/>
        <v>9687.1809625</v>
      </c>
      <c r="Y21" s="36">
        <f t="shared" si="8"/>
        <v>9687.1809625</v>
      </c>
      <c r="Z21" s="36">
        <f t="shared" si="9"/>
        <v>1856.3066746</v>
      </c>
      <c r="AB21" s="36"/>
      <c r="AC21" s="36">
        <f t="shared" si="10"/>
        <v>1289.491425</v>
      </c>
      <c r="AD21" s="36">
        <f t="shared" si="11"/>
        <v>1289.491425</v>
      </c>
      <c r="AE21" s="36">
        <f t="shared" si="12"/>
        <v>247.0988772</v>
      </c>
      <c r="AG21" s="36"/>
      <c r="AH21" s="36">
        <f t="shared" si="13"/>
        <v>34127.11035</v>
      </c>
      <c r="AI21" s="36">
        <f t="shared" si="14"/>
        <v>34127.11035</v>
      </c>
      <c r="AJ21" s="36">
        <f t="shared" si="15"/>
        <v>6539.6097144</v>
      </c>
      <c r="AL21" s="36"/>
      <c r="AM21" s="36">
        <f t="shared" si="16"/>
        <v>13425.821249999999</v>
      </c>
      <c r="AN21" s="36">
        <f t="shared" si="17"/>
        <v>13425.821249999999</v>
      </c>
      <c r="AO21" s="36">
        <f t="shared" si="18"/>
        <v>2572.7238599999996</v>
      </c>
      <c r="AQ21" s="36"/>
      <c r="AR21" s="36">
        <f t="shared" si="19"/>
        <v>4881.7919625</v>
      </c>
      <c r="AS21" s="36">
        <f t="shared" si="20"/>
        <v>4881.7919625</v>
      </c>
      <c r="AT21" s="36">
        <f t="shared" si="21"/>
        <v>935.4736986</v>
      </c>
      <c r="AV21" s="36"/>
      <c r="AW21" s="36">
        <f t="shared" si="22"/>
        <v>35479.221574999996</v>
      </c>
      <c r="AX21" s="36">
        <f t="shared" si="23"/>
        <v>35479.221574999996</v>
      </c>
      <c r="AY21" s="36">
        <f t="shared" si="24"/>
        <v>6798.7081148</v>
      </c>
      <c r="BA21" s="36"/>
      <c r="BB21" s="36">
        <f t="shared" si="25"/>
        <v>4900.8501625</v>
      </c>
      <c r="BC21" s="36">
        <f t="shared" si="26"/>
        <v>4900.8501625</v>
      </c>
      <c r="BD21" s="36">
        <f t="shared" si="27"/>
        <v>939.1257274</v>
      </c>
      <c r="BF21" s="36"/>
      <c r="BG21" s="36">
        <f t="shared" si="28"/>
        <v>3932.455375</v>
      </c>
      <c r="BH21" s="36">
        <f t="shared" si="29"/>
        <v>3932.455375</v>
      </c>
      <c r="BI21" s="36">
        <f t="shared" si="30"/>
        <v>753.5570140000001</v>
      </c>
      <c r="BK21" s="36"/>
      <c r="BL21" s="36">
        <f t="shared" si="31"/>
        <v>2315.0608125</v>
      </c>
      <c r="BM21" s="5">
        <f t="shared" si="32"/>
        <v>2315.0608125</v>
      </c>
      <c r="BN21" s="36">
        <f t="shared" si="33"/>
        <v>443.623677</v>
      </c>
      <c r="BP21" s="36"/>
      <c r="BQ21" s="36">
        <f t="shared" si="34"/>
        <v>114153.1728</v>
      </c>
      <c r="BR21" s="5">
        <f t="shared" si="35"/>
        <v>114153.1728</v>
      </c>
      <c r="BS21" s="36">
        <f t="shared" si="36"/>
        <v>21874.6090752</v>
      </c>
      <c r="BT21" s="5"/>
      <c r="BU21" s="36"/>
      <c r="BV21" s="36">
        <f t="shared" si="37"/>
        <v>1207.3029374999999</v>
      </c>
      <c r="BW21" s="5">
        <f t="shared" si="38"/>
        <v>1207.3029374999999</v>
      </c>
      <c r="BX21" s="36">
        <f t="shared" si="39"/>
        <v>231.349503</v>
      </c>
      <c r="BY21" s="5"/>
      <c r="BZ21" s="36"/>
      <c r="CA21" s="36">
        <f t="shared" si="40"/>
        <v>2503.6008625</v>
      </c>
      <c r="CB21" s="5">
        <f t="shared" si="41"/>
        <v>2503.6008625</v>
      </c>
      <c r="CC21" s="36">
        <f t="shared" si="42"/>
        <v>479.7526762</v>
      </c>
      <c r="CD21" s="5"/>
      <c r="CE21" s="36"/>
      <c r="CF21" s="36">
        <f t="shared" si="43"/>
        <v>1174.8019</v>
      </c>
      <c r="CG21" s="5">
        <f t="shared" si="44"/>
        <v>1174.8019</v>
      </c>
      <c r="CH21" s="36">
        <f t="shared" si="45"/>
        <v>225.1214896</v>
      </c>
      <c r="CI21" s="5"/>
      <c r="CJ21" s="36"/>
      <c r="CK21" s="36">
        <f t="shared" si="46"/>
        <v>14407.658875000001</v>
      </c>
      <c r="CL21" s="5">
        <f t="shared" si="47"/>
        <v>14407.658875000001</v>
      </c>
      <c r="CM21" s="36">
        <f t="shared" si="48"/>
        <v>2760.868558</v>
      </c>
      <c r="CN21" s="5"/>
      <c r="CO21" s="36"/>
      <c r="CP21" s="36">
        <f t="shared" si="49"/>
        <v>3351.6907625</v>
      </c>
      <c r="CQ21" s="5">
        <f t="shared" si="50"/>
        <v>3351.6907625</v>
      </c>
      <c r="CR21" s="36">
        <f t="shared" si="51"/>
        <v>642.2679578</v>
      </c>
      <c r="CS21" s="5"/>
      <c r="CT21" s="36"/>
      <c r="CU21" s="36">
        <f t="shared" si="52"/>
        <v>145527.73455</v>
      </c>
      <c r="CV21" s="5">
        <f t="shared" si="53"/>
        <v>145527.73455</v>
      </c>
      <c r="CW21" s="36">
        <f t="shared" si="54"/>
        <v>27886.761487199998</v>
      </c>
      <c r="CX21" s="5"/>
      <c r="CY21" s="36"/>
      <c r="CZ21" s="36">
        <f t="shared" si="55"/>
        <v>34.71315</v>
      </c>
      <c r="DA21" s="5">
        <f t="shared" si="56"/>
        <v>34.71315</v>
      </c>
      <c r="DB21" s="36">
        <f t="shared" si="57"/>
        <v>6.651909600000001</v>
      </c>
      <c r="DC21" s="5"/>
      <c r="DD21" s="36"/>
      <c r="DE21" s="36">
        <f t="shared" si="58"/>
        <v>249.96871249999998</v>
      </c>
      <c r="DF21" s="5">
        <f t="shared" si="59"/>
        <v>249.96871249999998</v>
      </c>
      <c r="DG21" s="36">
        <f t="shared" si="60"/>
        <v>47.9002706</v>
      </c>
      <c r="DH21" s="5"/>
      <c r="DI21" s="36"/>
      <c r="DJ21" s="36">
        <f t="shared" si="61"/>
        <v>34715.532275</v>
      </c>
      <c r="DK21" s="5">
        <f t="shared" si="62"/>
        <v>34715.532275</v>
      </c>
      <c r="DL21" s="36">
        <f t="shared" si="63"/>
        <v>6652.3661036</v>
      </c>
      <c r="DM21" s="5"/>
      <c r="DN21" s="36"/>
      <c r="DO21" s="36">
        <f t="shared" si="64"/>
        <v>68.06500000000001</v>
      </c>
      <c r="DP21" s="5">
        <f t="shared" si="65"/>
        <v>68.06500000000001</v>
      </c>
      <c r="DQ21" s="36">
        <f t="shared" si="66"/>
        <v>13.04296</v>
      </c>
      <c r="DR21" s="5"/>
      <c r="DS21" s="36"/>
      <c r="DT21" s="36">
        <f t="shared" si="67"/>
        <v>317850.1071625</v>
      </c>
      <c r="DU21" s="5">
        <f t="shared" si="68"/>
        <v>317850.1071625</v>
      </c>
      <c r="DV21" s="36">
        <f t="shared" si="69"/>
        <v>60908.047215399994</v>
      </c>
      <c r="DW21" s="5"/>
      <c r="DX21" s="5"/>
      <c r="DY21" s="36">
        <f t="shared" si="70"/>
        <v>2321.3568250000003</v>
      </c>
      <c r="DZ21" s="36">
        <f t="shared" si="71"/>
        <v>2321.3568250000003</v>
      </c>
      <c r="EA21" s="36">
        <f t="shared" si="72"/>
        <v>444.8301508</v>
      </c>
      <c r="EB21" s="5"/>
      <c r="EC21" s="5"/>
      <c r="ED21" s="36"/>
      <c r="EE21" s="36">
        <f t="shared" si="73"/>
        <v>0</v>
      </c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45748</v>
      </c>
      <c r="C22" s="3">
        <v>7090000</v>
      </c>
      <c r="D22" s="3">
        <v>1701625</v>
      </c>
      <c r="E22" s="35">
        <f t="shared" si="0"/>
        <v>8791625</v>
      </c>
      <c r="F22" s="35">
        <v>326074</v>
      </c>
      <c r="H22" s="36">
        <v>2240345</v>
      </c>
      <c r="I22" s="36">
        <v>537691</v>
      </c>
      <c r="J22" s="36">
        <f t="shared" si="1"/>
        <v>2778036</v>
      </c>
      <c r="K22" s="36">
        <f>'Academic Project '!K22</f>
        <v>103035.01460840002</v>
      </c>
      <c r="M22" s="36">
        <f>R22+W22+AB22+AG22+AL22+AQ22+AV22+BA22+BF22+BK22+BP22+BU22+BZ22+CE22+CJ22+CO22+CT22+CY22+DD22+DI22+DN22+DS22+DX22+EC22</f>
        <v>4849657.133</v>
      </c>
      <c r="N22" s="35">
        <f t="shared" si="2"/>
        <v>1163934.8122624997</v>
      </c>
      <c r="O22" s="36">
        <f t="shared" si="3"/>
        <v>6013591.9452625</v>
      </c>
      <c r="P22" s="35">
        <f t="shared" si="2"/>
        <v>223039.0832138</v>
      </c>
      <c r="R22" s="36">
        <f>C22*$S$7</f>
        <v>1734683.358</v>
      </c>
      <c r="S22" s="36">
        <f t="shared" si="4"/>
        <v>416330.122575</v>
      </c>
      <c r="T22" s="36">
        <f t="shared" si="5"/>
        <v>2151013.480575</v>
      </c>
      <c r="U22" s="36">
        <f t="shared" si="6"/>
        <v>79779.2864988</v>
      </c>
      <c r="W22" s="36">
        <f t="shared" si="74"/>
        <v>40362.661</v>
      </c>
      <c r="X22" s="36">
        <f t="shared" si="7"/>
        <v>9687.1809625</v>
      </c>
      <c r="Y22" s="36">
        <f t="shared" si="8"/>
        <v>50049.8419625</v>
      </c>
      <c r="Z22" s="36">
        <f t="shared" si="9"/>
        <v>1856.3066746</v>
      </c>
      <c r="AB22" s="36">
        <f t="shared" si="75"/>
        <v>5372.802</v>
      </c>
      <c r="AC22" s="36">
        <f t="shared" si="10"/>
        <v>1289.491425</v>
      </c>
      <c r="AD22" s="36">
        <f t="shared" si="11"/>
        <v>6662.293425</v>
      </c>
      <c r="AE22" s="36">
        <f t="shared" si="12"/>
        <v>247.0988772</v>
      </c>
      <c r="AG22" s="36">
        <f t="shared" si="76"/>
        <v>142194.204</v>
      </c>
      <c r="AH22" s="36">
        <f t="shared" si="13"/>
        <v>34127.11035</v>
      </c>
      <c r="AI22" s="36">
        <f t="shared" si="14"/>
        <v>176321.31435</v>
      </c>
      <c r="AJ22" s="36">
        <f t="shared" si="15"/>
        <v>6539.6097144</v>
      </c>
      <c r="AL22" s="36">
        <f t="shared" si="77"/>
        <v>55940.1</v>
      </c>
      <c r="AM22" s="36">
        <f t="shared" si="16"/>
        <v>13425.821249999999</v>
      </c>
      <c r="AN22" s="36">
        <f t="shared" si="17"/>
        <v>69365.92125</v>
      </c>
      <c r="AO22" s="36">
        <f t="shared" si="18"/>
        <v>2572.7238599999996</v>
      </c>
      <c r="AQ22" s="36">
        <f t="shared" si="78"/>
        <v>20340.501</v>
      </c>
      <c r="AR22" s="36">
        <f t="shared" si="19"/>
        <v>4881.7919625</v>
      </c>
      <c r="AS22" s="36">
        <f t="shared" si="20"/>
        <v>25222.2929625</v>
      </c>
      <c r="AT22" s="36">
        <f t="shared" si="21"/>
        <v>935.4736986</v>
      </c>
      <c r="AV22" s="36">
        <f t="shared" si="79"/>
        <v>147827.918</v>
      </c>
      <c r="AW22" s="36">
        <f t="shared" si="22"/>
        <v>35479.221574999996</v>
      </c>
      <c r="AX22" s="36">
        <f t="shared" si="23"/>
        <v>183307.139575</v>
      </c>
      <c r="AY22" s="36">
        <f t="shared" si="24"/>
        <v>6798.7081148</v>
      </c>
      <c r="BA22" s="36">
        <f t="shared" si="80"/>
        <v>20419.909</v>
      </c>
      <c r="BB22" s="36">
        <f t="shared" si="25"/>
        <v>4900.8501625</v>
      </c>
      <c r="BC22" s="36">
        <f t="shared" si="26"/>
        <v>25320.7591625</v>
      </c>
      <c r="BD22" s="36">
        <f t="shared" si="27"/>
        <v>939.1257274</v>
      </c>
      <c r="BF22" s="36">
        <f t="shared" si="81"/>
        <v>16384.99</v>
      </c>
      <c r="BG22" s="36">
        <f t="shared" si="28"/>
        <v>3932.455375</v>
      </c>
      <c r="BH22" s="36">
        <f t="shared" si="29"/>
        <v>20317.445375000003</v>
      </c>
      <c r="BI22" s="36">
        <f t="shared" si="30"/>
        <v>753.5570140000001</v>
      </c>
      <c r="BK22" s="36">
        <f t="shared" si="82"/>
        <v>9645.945</v>
      </c>
      <c r="BL22" s="36">
        <f t="shared" si="31"/>
        <v>2315.0608125</v>
      </c>
      <c r="BM22" s="5">
        <f t="shared" si="32"/>
        <v>11961.0058125</v>
      </c>
      <c r="BN22" s="36">
        <f t="shared" si="33"/>
        <v>443.623677</v>
      </c>
      <c r="BP22" s="36">
        <f t="shared" si="83"/>
        <v>475631.232</v>
      </c>
      <c r="BQ22" s="36">
        <f t="shared" si="34"/>
        <v>114153.1728</v>
      </c>
      <c r="BR22" s="5">
        <f t="shared" si="35"/>
        <v>589784.4048</v>
      </c>
      <c r="BS22" s="36">
        <f t="shared" si="36"/>
        <v>21874.6090752</v>
      </c>
      <c r="BT22" s="5"/>
      <c r="BU22" s="36">
        <f t="shared" si="84"/>
        <v>5030.355</v>
      </c>
      <c r="BV22" s="36">
        <f t="shared" si="37"/>
        <v>1207.3029374999999</v>
      </c>
      <c r="BW22" s="5">
        <f t="shared" si="38"/>
        <v>6237.657937499999</v>
      </c>
      <c r="BX22" s="36">
        <f t="shared" si="39"/>
        <v>231.349503</v>
      </c>
      <c r="BY22" s="5"/>
      <c r="BZ22" s="36">
        <f t="shared" si="85"/>
        <v>10431.517</v>
      </c>
      <c r="CA22" s="36">
        <f t="shared" si="40"/>
        <v>2503.6008625</v>
      </c>
      <c r="CB22" s="5">
        <f t="shared" si="41"/>
        <v>12935.1178625</v>
      </c>
      <c r="CC22" s="36">
        <f t="shared" si="42"/>
        <v>479.7526762</v>
      </c>
      <c r="CD22" s="5"/>
      <c r="CE22" s="36">
        <f t="shared" si="86"/>
        <v>4894.936</v>
      </c>
      <c r="CF22" s="36">
        <f t="shared" si="43"/>
        <v>1174.8019</v>
      </c>
      <c r="CG22" s="5">
        <f t="shared" si="44"/>
        <v>6069.7379</v>
      </c>
      <c r="CH22" s="36">
        <f t="shared" si="45"/>
        <v>225.1214896</v>
      </c>
      <c r="CI22" s="5"/>
      <c r="CJ22" s="36">
        <f t="shared" si="87"/>
        <v>60031.030000000006</v>
      </c>
      <c r="CK22" s="36">
        <f t="shared" si="46"/>
        <v>14407.658875000001</v>
      </c>
      <c r="CL22" s="5">
        <f t="shared" si="47"/>
        <v>74438.688875</v>
      </c>
      <c r="CM22" s="36">
        <f t="shared" si="48"/>
        <v>2760.868558</v>
      </c>
      <c r="CN22" s="5"/>
      <c r="CO22" s="36">
        <f t="shared" si="88"/>
        <v>13965.173</v>
      </c>
      <c r="CP22" s="36">
        <f t="shared" si="49"/>
        <v>3351.6907625</v>
      </c>
      <c r="CQ22" s="5">
        <f t="shared" si="50"/>
        <v>17316.8637625</v>
      </c>
      <c r="CR22" s="36">
        <f t="shared" si="51"/>
        <v>642.2679578</v>
      </c>
      <c r="CS22" s="5"/>
      <c r="CT22" s="36">
        <f t="shared" si="89"/>
        <v>606356.652</v>
      </c>
      <c r="CU22" s="36">
        <f t="shared" si="52"/>
        <v>145527.73455</v>
      </c>
      <c r="CV22" s="5">
        <f t="shared" si="53"/>
        <v>751884.3865499999</v>
      </c>
      <c r="CW22" s="36">
        <f t="shared" si="54"/>
        <v>27886.761487199998</v>
      </c>
      <c r="CX22" s="5"/>
      <c r="CY22" s="36">
        <f t="shared" si="90"/>
        <v>144.636</v>
      </c>
      <c r="CZ22" s="36">
        <f t="shared" si="55"/>
        <v>34.71315</v>
      </c>
      <c r="DA22" s="5">
        <f t="shared" si="56"/>
        <v>179.34915</v>
      </c>
      <c r="DB22" s="36">
        <f t="shared" si="57"/>
        <v>6.651909600000001</v>
      </c>
      <c r="DC22" s="5"/>
      <c r="DD22" s="36">
        <f>C22*$DE$7</f>
        <v>1041.521</v>
      </c>
      <c r="DE22" s="36">
        <f t="shared" si="58"/>
        <v>249.96871249999998</v>
      </c>
      <c r="DF22" s="5">
        <f t="shared" si="59"/>
        <v>1291.4897125</v>
      </c>
      <c r="DG22" s="36">
        <f t="shared" si="60"/>
        <v>47.9002706</v>
      </c>
      <c r="DH22" s="5"/>
      <c r="DI22" s="36">
        <f>C22*$DJ$7</f>
        <v>144645.926</v>
      </c>
      <c r="DJ22" s="36">
        <f t="shared" si="61"/>
        <v>34715.532275</v>
      </c>
      <c r="DK22" s="5">
        <f t="shared" si="62"/>
        <v>179361.458275</v>
      </c>
      <c r="DL22" s="36">
        <f t="shared" si="63"/>
        <v>6652.3661036</v>
      </c>
      <c r="DM22" s="5"/>
      <c r="DN22" s="36">
        <f>C22*$DO$7</f>
        <v>283.6</v>
      </c>
      <c r="DO22" s="36">
        <f t="shared" si="64"/>
        <v>68.06500000000001</v>
      </c>
      <c r="DP22" s="5">
        <f t="shared" si="65"/>
        <v>351.665</v>
      </c>
      <c r="DQ22" s="36">
        <f t="shared" si="66"/>
        <v>13.04296</v>
      </c>
      <c r="DR22" s="5"/>
      <c r="DS22" s="36">
        <f>C22*$DT$7</f>
        <v>1324355.9889999998</v>
      </c>
      <c r="DT22" s="36">
        <f t="shared" si="67"/>
        <v>317850.1071625</v>
      </c>
      <c r="DU22" s="5">
        <f t="shared" si="68"/>
        <v>1642206.0961624999</v>
      </c>
      <c r="DV22" s="36">
        <f t="shared" si="69"/>
        <v>60908.047215399994</v>
      </c>
      <c r="DW22" s="5"/>
      <c r="DX22" s="5">
        <f>C22*$DY$7</f>
        <v>9672.178</v>
      </c>
      <c r="DY22" s="36">
        <f t="shared" si="70"/>
        <v>2321.3568250000003</v>
      </c>
      <c r="DZ22" s="36">
        <f t="shared" si="71"/>
        <v>11993.534825</v>
      </c>
      <c r="EA22" s="36">
        <f t="shared" si="72"/>
        <v>444.8301508</v>
      </c>
      <c r="EB22" s="5"/>
      <c r="EC22" s="5"/>
      <c r="ED22" s="36"/>
      <c r="EE22" s="36">
        <f t="shared" si="73"/>
        <v>0</v>
      </c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45931</v>
      </c>
      <c r="D23" s="3">
        <v>1524375</v>
      </c>
      <c r="E23" s="35">
        <f t="shared" si="0"/>
        <v>1524375</v>
      </c>
      <c r="F23" s="35">
        <v>326074</v>
      </c>
      <c r="H23" s="36"/>
      <c r="I23" s="36">
        <v>481682</v>
      </c>
      <c r="J23" s="36">
        <f t="shared" si="1"/>
        <v>481682</v>
      </c>
      <c r="K23" s="36">
        <f>'Academic Project '!K23</f>
        <v>103035.01460840002</v>
      </c>
      <c r="M23" s="36"/>
      <c r="N23" s="35">
        <f t="shared" si="2"/>
        <v>1042693.3839375</v>
      </c>
      <c r="O23" s="36">
        <f t="shared" si="3"/>
        <v>1042693.3839375</v>
      </c>
      <c r="P23" s="35">
        <f t="shared" si="2"/>
        <v>223039.0832138</v>
      </c>
      <c r="R23" s="36"/>
      <c r="S23" s="36">
        <f t="shared" si="4"/>
        <v>372963.038625</v>
      </c>
      <c r="T23" s="36">
        <f t="shared" si="5"/>
        <v>372963.038625</v>
      </c>
      <c r="U23" s="36">
        <f t="shared" si="6"/>
        <v>79779.2864988</v>
      </c>
      <c r="W23" s="36"/>
      <c r="X23" s="36">
        <f t="shared" si="7"/>
        <v>8678.1144375</v>
      </c>
      <c r="Y23" s="36">
        <f t="shared" si="8"/>
        <v>8678.1144375</v>
      </c>
      <c r="Z23" s="36">
        <f t="shared" si="9"/>
        <v>1856.3066746</v>
      </c>
      <c r="AB23" s="36"/>
      <c r="AC23" s="36">
        <f t="shared" si="10"/>
        <v>1155.171375</v>
      </c>
      <c r="AD23" s="36">
        <f t="shared" si="11"/>
        <v>1155.171375</v>
      </c>
      <c r="AE23" s="36">
        <f t="shared" si="12"/>
        <v>247.0988772</v>
      </c>
      <c r="AG23" s="36"/>
      <c r="AH23" s="36">
        <f t="shared" si="13"/>
        <v>30572.25525</v>
      </c>
      <c r="AI23" s="36">
        <f t="shared" si="14"/>
        <v>30572.25525</v>
      </c>
      <c r="AJ23" s="36">
        <f t="shared" si="15"/>
        <v>6539.6097144</v>
      </c>
      <c r="AL23" s="36"/>
      <c r="AM23" s="36">
        <f t="shared" si="16"/>
        <v>12027.318749999999</v>
      </c>
      <c r="AN23" s="36">
        <f t="shared" si="17"/>
        <v>12027.318749999999</v>
      </c>
      <c r="AO23" s="36">
        <f t="shared" si="18"/>
        <v>2572.7238599999996</v>
      </c>
      <c r="AQ23" s="36"/>
      <c r="AR23" s="36">
        <f t="shared" si="19"/>
        <v>4373.2794375</v>
      </c>
      <c r="AS23" s="36">
        <f t="shared" si="20"/>
        <v>4373.2794375</v>
      </c>
      <c r="AT23" s="36">
        <f t="shared" si="21"/>
        <v>935.4736986</v>
      </c>
      <c r="AV23" s="36"/>
      <c r="AW23" s="36">
        <f t="shared" si="22"/>
        <v>31783.523624999998</v>
      </c>
      <c r="AX23" s="36">
        <f t="shared" si="23"/>
        <v>31783.523624999998</v>
      </c>
      <c r="AY23" s="36">
        <f t="shared" si="24"/>
        <v>6798.7081148</v>
      </c>
      <c r="BA23" s="36"/>
      <c r="BB23" s="36">
        <f t="shared" si="25"/>
        <v>4390.3524375</v>
      </c>
      <c r="BC23" s="36">
        <f t="shared" si="26"/>
        <v>4390.3524375</v>
      </c>
      <c r="BD23" s="36">
        <f t="shared" si="27"/>
        <v>939.1257274</v>
      </c>
      <c r="BF23" s="36"/>
      <c r="BG23" s="36">
        <f t="shared" si="28"/>
        <v>3522.830625</v>
      </c>
      <c r="BH23" s="36">
        <f t="shared" si="29"/>
        <v>3522.830625</v>
      </c>
      <c r="BI23" s="36">
        <f t="shared" si="30"/>
        <v>753.5570140000001</v>
      </c>
      <c r="BK23" s="36"/>
      <c r="BL23" s="36">
        <f t="shared" si="31"/>
        <v>2073.9121875</v>
      </c>
      <c r="BM23" s="5">
        <f t="shared" si="32"/>
        <v>2073.9121875</v>
      </c>
      <c r="BN23" s="36">
        <f t="shared" si="33"/>
        <v>443.623677</v>
      </c>
      <c r="BP23" s="36"/>
      <c r="BQ23" s="36">
        <f t="shared" si="34"/>
        <v>102262.392</v>
      </c>
      <c r="BR23" s="5">
        <f t="shared" si="35"/>
        <v>102262.392</v>
      </c>
      <c r="BS23" s="36">
        <f t="shared" si="36"/>
        <v>21874.6090752</v>
      </c>
      <c r="BT23" s="5"/>
      <c r="BU23" s="36"/>
      <c r="BV23" s="36">
        <f t="shared" si="37"/>
        <v>1081.5440624999999</v>
      </c>
      <c r="BW23" s="5">
        <f t="shared" si="38"/>
        <v>1081.5440624999999</v>
      </c>
      <c r="BX23" s="36">
        <f t="shared" si="39"/>
        <v>231.349503</v>
      </c>
      <c r="BY23" s="5"/>
      <c r="BZ23" s="36"/>
      <c r="CA23" s="36">
        <f t="shared" si="40"/>
        <v>2242.8129375</v>
      </c>
      <c r="CB23" s="5">
        <f t="shared" si="41"/>
        <v>2242.8129375</v>
      </c>
      <c r="CC23" s="36">
        <f t="shared" si="42"/>
        <v>479.7526762</v>
      </c>
      <c r="CD23" s="5"/>
      <c r="CE23" s="36"/>
      <c r="CF23" s="36">
        <f t="shared" si="43"/>
        <v>1052.4285</v>
      </c>
      <c r="CG23" s="5">
        <f t="shared" si="44"/>
        <v>1052.4285</v>
      </c>
      <c r="CH23" s="36">
        <f t="shared" si="45"/>
        <v>225.1214896</v>
      </c>
      <c r="CI23" s="5"/>
      <c r="CJ23" s="36"/>
      <c r="CK23" s="36">
        <f t="shared" si="46"/>
        <v>12906.883125</v>
      </c>
      <c r="CL23" s="5">
        <f t="shared" si="47"/>
        <v>12906.883125</v>
      </c>
      <c r="CM23" s="36">
        <f t="shared" si="48"/>
        <v>2760.868558</v>
      </c>
      <c r="CN23" s="5"/>
      <c r="CO23" s="36"/>
      <c r="CP23" s="36">
        <f t="shared" si="49"/>
        <v>3002.5614375</v>
      </c>
      <c r="CQ23" s="5">
        <f t="shared" si="50"/>
        <v>3002.5614375</v>
      </c>
      <c r="CR23" s="36">
        <f t="shared" si="51"/>
        <v>642.2679578</v>
      </c>
      <c r="CS23" s="5"/>
      <c r="CT23" s="36"/>
      <c r="CU23" s="36">
        <f t="shared" si="52"/>
        <v>130368.81825</v>
      </c>
      <c r="CV23" s="5">
        <f t="shared" si="53"/>
        <v>130368.81825</v>
      </c>
      <c r="CW23" s="36">
        <f t="shared" si="54"/>
        <v>27886.761487199998</v>
      </c>
      <c r="CX23" s="5"/>
      <c r="CY23" s="36"/>
      <c r="CZ23" s="36">
        <f t="shared" si="55"/>
        <v>31.097250000000003</v>
      </c>
      <c r="DA23" s="5">
        <f t="shared" si="56"/>
        <v>31.097250000000003</v>
      </c>
      <c r="DB23" s="36">
        <f t="shared" si="57"/>
        <v>6.651909600000001</v>
      </c>
      <c r="DC23" s="5"/>
      <c r="DD23" s="36"/>
      <c r="DE23" s="36">
        <f t="shared" si="58"/>
        <v>223.93068749999998</v>
      </c>
      <c r="DF23" s="5">
        <f t="shared" si="59"/>
        <v>223.93068749999998</v>
      </c>
      <c r="DG23" s="36">
        <f t="shared" si="60"/>
        <v>47.9002706</v>
      </c>
      <c r="DH23" s="5"/>
      <c r="DI23" s="36"/>
      <c r="DJ23" s="36">
        <f t="shared" si="61"/>
        <v>31099.384125</v>
      </c>
      <c r="DK23" s="5">
        <f t="shared" si="62"/>
        <v>31099.384125</v>
      </c>
      <c r="DL23" s="36">
        <f t="shared" si="63"/>
        <v>6652.3661036</v>
      </c>
      <c r="DM23" s="5"/>
      <c r="DN23" s="36"/>
      <c r="DO23" s="36">
        <f t="shared" si="64"/>
        <v>60.97500000000001</v>
      </c>
      <c r="DP23" s="5">
        <f t="shared" si="65"/>
        <v>60.97500000000001</v>
      </c>
      <c r="DQ23" s="36">
        <f t="shared" si="66"/>
        <v>13.04296</v>
      </c>
      <c r="DR23" s="5"/>
      <c r="DS23" s="36"/>
      <c r="DT23" s="36">
        <f t="shared" si="67"/>
        <v>284741.2074375</v>
      </c>
      <c r="DU23" s="5">
        <f t="shared" si="68"/>
        <v>284741.2074375</v>
      </c>
      <c r="DV23" s="36">
        <f t="shared" si="69"/>
        <v>60908.047215399994</v>
      </c>
      <c r="DW23" s="5"/>
      <c r="DX23" s="5"/>
      <c r="DY23" s="36">
        <f t="shared" si="70"/>
        <v>2079.552375</v>
      </c>
      <c r="DZ23" s="36">
        <f t="shared" si="71"/>
        <v>2079.552375</v>
      </c>
      <c r="EA23" s="36">
        <f t="shared" si="72"/>
        <v>444.8301508</v>
      </c>
      <c r="EB23" s="5"/>
      <c r="EC23" s="5"/>
      <c r="ED23" s="36"/>
      <c r="EE23" s="36">
        <f t="shared" si="73"/>
        <v>0</v>
      </c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46113</v>
      </c>
      <c r="C24" s="3">
        <v>7445000</v>
      </c>
      <c r="D24" s="3">
        <v>1524375</v>
      </c>
      <c r="E24" s="35">
        <f t="shared" si="0"/>
        <v>8969375</v>
      </c>
      <c r="F24" s="35">
        <v>326074</v>
      </c>
      <c r="H24" s="36">
        <v>2352520</v>
      </c>
      <c r="I24" s="36">
        <v>481682</v>
      </c>
      <c r="J24" s="36">
        <f t="shared" si="1"/>
        <v>2834202</v>
      </c>
      <c r="K24" s="36">
        <f>'Academic Project '!K24</f>
        <v>103035.01460840002</v>
      </c>
      <c r="M24" s="36">
        <f>R24+W24+AB24+AG24+AL24+AQ24+AV24+BA24+BF24+BK24+BP24+BU24+BZ24+CE24+CJ24+CO24+CT24+CY24+DD24+DI24+DN24+DS24+DX24+EC24</f>
        <v>5092481.996499999</v>
      </c>
      <c r="N24" s="35">
        <f t="shared" si="2"/>
        <v>1042693.3839375</v>
      </c>
      <c r="O24" s="36">
        <f t="shared" si="3"/>
        <v>6135175.380437499</v>
      </c>
      <c r="P24" s="35">
        <f t="shared" si="2"/>
        <v>223039.0832138</v>
      </c>
      <c r="R24" s="36">
        <f>C24*$S$7</f>
        <v>1821539.859</v>
      </c>
      <c r="S24" s="36">
        <f t="shared" si="4"/>
        <v>372963.038625</v>
      </c>
      <c r="T24" s="36">
        <f t="shared" si="5"/>
        <v>2194502.8976249998</v>
      </c>
      <c r="U24" s="36">
        <f t="shared" si="6"/>
        <v>79779.2864988</v>
      </c>
      <c r="W24" s="36">
        <f t="shared" si="74"/>
        <v>42383.6405</v>
      </c>
      <c r="X24" s="36">
        <f t="shared" si="7"/>
        <v>8678.1144375</v>
      </c>
      <c r="Y24" s="36">
        <f t="shared" si="8"/>
        <v>51061.7549375</v>
      </c>
      <c r="Z24" s="36">
        <f t="shared" si="9"/>
        <v>1856.3066746</v>
      </c>
      <c r="AB24" s="36">
        <f t="shared" si="75"/>
        <v>5641.821</v>
      </c>
      <c r="AC24" s="36">
        <f t="shared" si="10"/>
        <v>1155.171375</v>
      </c>
      <c r="AD24" s="36">
        <f t="shared" si="11"/>
        <v>6796.992375</v>
      </c>
      <c r="AE24" s="36">
        <f t="shared" si="12"/>
        <v>247.0988772</v>
      </c>
      <c r="AG24" s="36">
        <f t="shared" si="76"/>
        <v>149313.942</v>
      </c>
      <c r="AH24" s="36">
        <f t="shared" si="13"/>
        <v>30572.25525</v>
      </c>
      <c r="AI24" s="36">
        <f t="shared" si="14"/>
        <v>179886.19725</v>
      </c>
      <c r="AJ24" s="36">
        <f t="shared" si="15"/>
        <v>6539.6097144</v>
      </c>
      <c r="AL24" s="36">
        <f t="shared" si="77"/>
        <v>58741.049999999996</v>
      </c>
      <c r="AM24" s="36">
        <f t="shared" si="16"/>
        <v>12027.318749999999</v>
      </c>
      <c r="AN24" s="36">
        <f t="shared" si="17"/>
        <v>70768.36875</v>
      </c>
      <c r="AO24" s="36">
        <f t="shared" si="18"/>
        <v>2572.7238599999996</v>
      </c>
      <c r="AQ24" s="36">
        <f t="shared" si="78"/>
        <v>21358.9605</v>
      </c>
      <c r="AR24" s="36">
        <f t="shared" si="19"/>
        <v>4373.2794375</v>
      </c>
      <c r="AS24" s="36">
        <f t="shared" si="20"/>
        <v>25732.239937500002</v>
      </c>
      <c r="AT24" s="36">
        <f t="shared" si="21"/>
        <v>935.4736986</v>
      </c>
      <c r="AV24" s="36">
        <f t="shared" si="79"/>
        <v>155229.739</v>
      </c>
      <c r="AW24" s="36">
        <f t="shared" si="22"/>
        <v>31783.523624999998</v>
      </c>
      <c r="AX24" s="36">
        <f t="shared" si="23"/>
        <v>187013.262625</v>
      </c>
      <c r="AY24" s="36">
        <f t="shared" si="24"/>
        <v>6798.7081148</v>
      </c>
      <c r="BA24" s="36">
        <f t="shared" si="80"/>
        <v>21442.3445</v>
      </c>
      <c r="BB24" s="36">
        <f t="shared" si="25"/>
        <v>4390.3524375</v>
      </c>
      <c r="BC24" s="36">
        <f t="shared" si="26"/>
        <v>25832.696937499997</v>
      </c>
      <c r="BD24" s="36">
        <f t="shared" si="27"/>
        <v>939.1257274</v>
      </c>
      <c r="BF24" s="36">
        <f t="shared" si="81"/>
        <v>17205.395</v>
      </c>
      <c r="BG24" s="36">
        <f t="shared" si="28"/>
        <v>3522.830625</v>
      </c>
      <c r="BH24" s="36">
        <f t="shared" si="29"/>
        <v>20728.225625</v>
      </c>
      <c r="BI24" s="36">
        <f t="shared" si="30"/>
        <v>753.5570140000001</v>
      </c>
      <c r="BK24" s="36">
        <f t="shared" si="82"/>
        <v>10128.922499999999</v>
      </c>
      <c r="BL24" s="36">
        <f t="shared" si="31"/>
        <v>2073.9121875</v>
      </c>
      <c r="BM24" s="5">
        <f t="shared" si="32"/>
        <v>12202.834687499999</v>
      </c>
      <c r="BN24" s="36">
        <f t="shared" si="33"/>
        <v>443.623677</v>
      </c>
      <c r="BP24" s="36">
        <f t="shared" si="83"/>
        <v>499446.336</v>
      </c>
      <c r="BQ24" s="36">
        <f t="shared" si="34"/>
        <v>102262.392</v>
      </c>
      <c r="BR24" s="5">
        <f t="shared" si="35"/>
        <v>601708.728</v>
      </c>
      <c r="BS24" s="36">
        <f t="shared" si="36"/>
        <v>21874.6090752</v>
      </c>
      <c r="BT24" s="5"/>
      <c r="BU24" s="36">
        <f t="shared" si="84"/>
        <v>5282.2275</v>
      </c>
      <c r="BV24" s="36">
        <f t="shared" si="37"/>
        <v>1081.5440624999999</v>
      </c>
      <c r="BW24" s="5">
        <f t="shared" si="38"/>
        <v>6363.7715625</v>
      </c>
      <c r="BX24" s="36">
        <f t="shared" si="39"/>
        <v>231.349503</v>
      </c>
      <c r="BY24" s="5"/>
      <c r="BZ24" s="36">
        <f t="shared" si="85"/>
        <v>10953.8285</v>
      </c>
      <c r="CA24" s="36">
        <f t="shared" si="40"/>
        <v>2242.8129375</v>
      </c>
      <c r="CB24" s="5">
        <f t="shared" si="41"/>
        <v>13196.641437499999</v>
      </c>
      <c r="CC24" s="36">
        <f t="shared" si="42"/>
        <v>479.7526762</v>
      </c>
      <c r="CD24" s="5"/>
      <c r="CE24" s="36">
        <f t="shared" si="86"/>
        <v>5140.028</v>
      </c>
      <c r="CF24" s="36">
        <f t="shared" si="43"/>
        <v>1052.4285</v>
      </c>
      <c r="CG24" s="5">
        <f t="shared" si="44"/>
        <v>6192.4565</v>
      </c>
      <c r="CH24" s="36">
        <f t="shared" si="45"/>
        <v>225.1214896</v>
      </c>
      <c r="CI24" s="5"/>
      <c r="CJ24" s="36">
        <f t="shared" si="87"/>
        <v>63036.815</v>
      </c>
      <c r="CK24" s="36">
        <f t="shared" si="46"/>
        <v>12906.883125</v>
      </c>
      <c r="CL24" s="5">
        <f t="shared" si="47"/>
        <v>75943.698125</v>
      </c>
      <c r="CM24" s="36">
        <f t="shared" si="48"/>
        <v>2760.868558</v>
      </c>
      <c r="CN24" s="5"/>
      <c r="CO24" s="36">
        <f t="shared" si="88"/>
        <v>14664.4165</v>
      </c>
      <c r="CP24" s="36">
        <f t="shared" si="49"/>
        <v>3002.5614375</v>
      </c>
      <c r="CQ24" s="5">
        <f t="shared" si="50"/>
        <v>17666.9779375</v>
      </c>
      <c r="CR24" s="36">
        <f t="shared" si="51"/>
        <v>642.2679578</v>
      </c>
      <c r="CS24" s="5"/>
      <c r="CT24" s="36">
        <f t="shared" si="89"/>
        <v>636717.2459999999</v>
      </c>
      <c r="CU24" s="36">
        <f t="shared" si="52"/>
        <v>130368.81825</v>
      </c>
      <c r="CV24" s="5">
        <f t="shared" si="53"/>
        <v>767086.0642499999</v>
      </c>
      <c r="CW24" s="36">
        <f t="shared" si="54"/>
        <v>27886.761487199998</v>
      </c>
      <c r="CX24" s="5"/>
      <c r="CY24" s="36">
        <f t="shared" si="90"/>
        <v>151.87800000000001</v>
      </c>
      <c r="CZ24" s="36">
        <f t="shared" si="55"/>
        <v>31.097250000000003</v>
      </c>
      <c r="DA24" s="5">
        <f t="shared" si="56"/>
        <v>182.97525000000002</v>
      </c>
      <c r="DB24" s="36">
        <f t="shared" si="57"/>
        <v>6.651909600000001</v>
      </c>
      <c r="DC24" s="5"/>
      <c r="DD24" s="36">
        <f>C24*$DE$7</f>
        <v>1093.6705</v>
      </c>
      <c r="DE24" s="36">
        <f t="shared" si="58"/>
        <v>223.93068749999998</v>
      </c>
      <c r="DF24" s="5">
        <f t="shared" si="59"/>
        <v>1317.6011875</v>
      </c>
      <c r="DG24" s="36">
        <f t="shared" si="60"/>
        <v>47.9002706</v>
      </c>
      <c r="DH24" s="5"/>
      <c r="DI24" s="36">
        <f>C24*$DJ$7</f>
        <v>151888.423</v>
      </c>
      <c r="DJ24" s="36">
        <f t="shared" si="61"/>
        <v>31099.384125</v>
      </c>
      <c r="DK24" s="5">
        <f t="shared" si="62"/>
        <v>182987.80712500002</v>
      </c>
      <c r="DL24" s="36">
        <f t="shared" si="63"/>
        <v>6652.3661036</v>
      </c>
      <c r="DM24" s="5"/>
      <c r="DN24" s="36">
        <f>C24*$DO$7</f>
        <v>297.8</v>
      </c>
      <c r="DO24" s="36">
        <f t="shared" si="64"/>
        <v>60.97500000000001</v>
      </c>
      <c r="DP24" s="5">
        <f t="shared" si="65"/>
        <v>358.77500000000003</v>
      </c>
      <c r="DQ24" s="36">
        <f t="shared" si="66"/>
        <v>13.04296</v>
      </c>
      <c r="DR24" s="5"/>
      <c r="DS24" s="36">
        <f>C24*$DT$7</f>
        <v>1390667.1845</v>
      </c>
      <c r="DT24" s="36">
        <f t="shared" si="67"/>
        <v>284741.2074375</v>
      </c>
      <c r="DU24" s="5">
        <f t="shared" si="68"/>
        <v>1675408.3919374999</v>
      </c>
      <c r="DV24" s="36">
        <f t="shared" si="69"/>
        <v>60908.047215399994</v>
      </c>
      <c r="DW24" s="5"/>
      <c r="DX24" s="5">
        <f>C24*$DY$7</f>
        <v>10156.469000000001</v>
      </c>
      <c r="DY24" s="36">
        <f t="shared" si="70"/>
        <v>2079.552375</v>
      </c>
      <c r="DZ24" s="36">
        <f t="shared" si="71"/>
        <v>12236.021375</v>
      </c>
      <c r="EA24" s="36">
        <f t="shared" si="72"/>
        <v>444.8301508</v>
      </c>
      <c r="EB24" s="5"/>
      <c r="EC24" s="5"/>
      <c r="ED24" s="36"/>
      <c r="EE24" s="36">
        <f t="shared" si="73"/>
        <v>0</v>
      </c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46296</v>
      </c>
      <c r="D25" s="3">
        <v>1412700</v>
      </c>
      <c r="E25" s="35">
        <f t="shared" si="0"/>
        <v>1412700</v>
      </c>
      <c r="F25" s="35">
        <v>326074</v>
      </c>
      <c r="H25" s="36"/>
      <c r="I25" s="36">
        <v>446394</v>
      </c>
      <c r="J25" s="36">
        <f t="shared" si="1"/>
        <v>446394</v>
      </c>
      <c r="K25" s="36">
        <f>'Academic Project '!K25</f>
        <v>103035.01460840002</v>
      </c>
      <c r="M25" s="36"/>
      <c r="N25" s="35">
        <f t="shared" si="2"/>
        <v>966306.1539900001</v>
      </c>
      <c r="O25" s="36">
        <f t="shared" si="3"/>
        <v>966306.1539900001</v>
      </c>
      <c r="P25" s="35">
        <f t="shared" si="2"/>
        <v>223039.0832138</v>
      </c>
      <c r="R25" s="36"/>
      <c r="S25" s="36">
        <f t="shared" si="4"/>
        <v>345639.94074</v>
      </c>
      <c r="T25" s="36">
        <f t="shared" si="5"/>
        <v>345639.94074</v>
      </c>
      <c r="U25" s="36">
        <f t="shared" si="6"/>
        <v>79779.2864988</v>
      </c>
      <c r="W25" s="36"/>
      <c r="X25" s="36">
        <f t="shared" si="7"/>
        <v>8042.359829999999</v>
      </c>
      <c r="Y25" s="36">
        <f t="shared" si="8"/>
        <v>8042.359829999999</v>
      </c>
      <c r="Z25" s="36">
        <f t="shared" si="9"/>
        <v>1856.3066746</v>
      </c>
      <c r="AB25" s="36"/>
      <c r="AC25" s="36">
        <f t="shared" si="10"/>
        <v>1070.54406</v>
      </c>
      <c r="AD25" s="36">
        <f t="shared" si="11"/>
        <v>1070.54406</v>
      </c>
      <c r="AE25" s="36">
        <f t="shared" si="12"/>
        <v>247.0988772</v>
      </c>
      <c r="AG25" s="36"/>
      <c r="AH25" s="36">
        <f t="shared" si="13"/>
        <v>28332.54612</v>
      </c>
      <c r="AI25" s="36">
        <f t="shared" si="14"/>
        <v>28332.54612</v>
      </c>
      <c r="AJ25" s="36">
        <f t="shared" si="15"/>
        <v>6539.6097144</v>
      </c>
      <c r="AL25" s="36"/>
      <c r="AM25" s="36">
        <f t="shared" si="16"/>
        <v>11146.203</v>
      </c>
      <c r="AN25" s="36">
        <f t="shared" si="17"/>
        <v>11146.203</v>
      </c>
      <c r="AO25" s="36">
        <f t="shared" si="18"/>
        <v>2572.7238599999996</v>
      </c>
      <c r="AQ25" s="36"/>
      <c r="AR25" s="36">
        <f t="shared" si="19"/>
        <v>4052.89503</v>
      </c>
      <c r="AS25" s="36">
        <f t="shared" si="20"/>
        <v>4052.89503</v>
      </c>
      <c r="AT25" s="36">
        <f t="shared" si="21"/>
        <v>935.4736986</v>
      </c>
      <c r="AV25" s="36"/>
      <c r="AW25" s="36">
        <f t="shared" si="22"/>
        <v>29455.07754</v>
      </c>
      <c r="AX25" s="36">
        <f t="shared" si="23"/>
        <v>29455.07754</v>
      </c>
      <c r="AY25" s="36">
        <f t="shared" si="24"/>
        <v>6798.7081148</v>
      </c>
      <c r="BA25" s="36"/>
      <c r="BB25" s="36">
        <f t="shared" si="25"/>
        <v>4068.71727</v>
      </c>
      <c r="BC25" s="36">
        <f t="shared" si="26"/>
        <v>4068.71727</v>
      </c>
      <c r="BD25" s="36">
        <f t="shared" si="27"/>
        <v>939.1257274</v>
      </c>
      <c r="BF25" s="36"/>
      <c r="BG25" s="36">
        <f t="shared" si="28"/>
        <v>3264.7497000000003</v>
      </c>
      <c r="BH25" s="36">
        <f t="shared" si="29"/>
        <v>3264.7497000000003</v>
      </c>
      <c r="BI25" s="36">
        <f t="shared" si="30"/>
        <v>753.5570140000001</v>
      </c>
      <c r="BK25" s="36"/>
      <c r="BL25" s="36">
        <f t="shared" si="31"/>
        <v>1921.9783499999999</v>
      </c>
      <c r="BM25" s="5">
        <f t="shared" si="32"/>
        <v>1921.9783499999999</v>
      </c>
      <c r="BN25" s="36">
        <f t="shared" si="33"/>
        <v>443.623677</v>
      </c>
      <c r="BP25" s="36"/>
      <c r="BQ25" s="36">
        <f t="shared" si="34"/>
        <v>94770.69696</v>
      </c>
      <c r="BR25" s="5">
        <f t="shared" si="35"/>
        <v>94770.69696</v>
      </c>
      <c r="BS25" s="36">
        <f t="shared" si="36"/>
        <v>21874.6090752</v>
      </c>
      <c r="BT25" s="5"/>
      <c r="BU25" s="36"/>
      <c r="BV25" s="36">
        <f t="shared" si="37"/>
        <v>1002.3106499999999</v>
      </c>
      <c r="BW25" s="5">
        <f t="shared" si="38"/>
        <v>1002.3106499999999</v>
      </c>
      <c r="BX25" s="36">
        <f t="shared" si="39"/>
        <v>231.349503</v>
      </c>
      <c r="BY25" s="5"/>
      <c r="BZ25" s="36"/>
      <c r="CA25" s="36">
        <f t="shared" si="40"/>
        <v>2078.50551</v>
      </c>
      <c r="CB25" s="5">
        <f t="shared" si="41"/>
        <v>2078.50551</v>
      </c>
      <c r="CC25" s="36">
        <f t="shared" si="42"/>
        <v>479.7526762</v>
      </c>
      <c r="CD25" s="5"/>
      <c r="CE25" s="36"/>
      <c r="CF25" s="36">
        <f t="shared" si="43"/>
        <v>975.32808</v>
      </c>
      <c r="CG25" s="5">
        <f t="shared" si="44"/>
        <v>975.32808</v>
      </c>
      <c r="CH25" s="36">
        <f t="shared" si="45"/>
        <v>225.1214896</v>
      </c>
      <c r="CI25" s="5"/>
      <c r="CJ25" s="36"/>
      <c r="CK25" s="36">
        <f t="shared" si="46"/>
        <v>11961.3309</v>
      </c>
      <c r="CL25" s="5">
        <f t="shared" si="47"/>
        <v>11961.3309</v>
      </c>
      <c r="CM25" s="36">
        <f t="shared" si="48"/>
        <v>2760.868558</v>
      </c>
      <c r="CN25" s="5"/>
      <c r="CO25" s="36"/>
      <c r="CP25" s="36">
        <f t="shared" si="49"/>
        <v>2782.59519</v>
      </c>
      <c r="CQ25" s="5">
        <f t="shared" si="50"/>
        <v>2782.59519</v>
      </c>
      <c r="CR25" s="36">
        <f t="shared" si="51"/>
        <v>642.2679578</v>
      </c>
      <c r="CS25" s="5"/>
      <c r="CT25" s="36"/>
      <c r="CU25" s="36">
        <f t="shared" si="52"/>
        <v>120818.05956</v>
      </c>
      <c r="CV25" s="5">
        <f t="shared" si="53"/>
        <v>120818.05956</v>
      </c>
      <c r="CW25" s="36">
        <f t="shared" si="54"/>
        <v>27886.761487199998</v>
      </c>
      <c r="CX25" s="5"/>
      <c r="CY25" s="36"/>
      <c r="CZ25" s="36">
        <f t="shared" si="55"/>
        <v>28.819080000000003</v>
      </c>
      <c r="DA25" s="5">
        <f t="shared" si="56"/>
        <v>28.819080000000003</v>
      </c>
      <c r="DB25" s="36">
        <f t="shared" si="57"/>
        <v>6.651909600000001</v>
      </c>
      <c r="DC25" s="5"/>
      <c r="DD25" s="36"/>
      <c r="DE25" s="36">
        <f t="shared" si="58"/>
        <v>207.52562999999998</v>
      </c>
      <c r="DF25" s="5">
        <f t="shared" si="59"/>
        <v>207.52562999999998</v>
      </c>
      <c r="DG25" s="36">
        <f t="shared" si="60"/>
        <v>47.9002706</v>
      </c>
      <c r="DH25" s="5"/>
      <c r="DI25" s="36"/>
      <c r="DJ25" s="36">
        <f t="shared" si="61"/>
        <v>28821.05778</v>
      </c>
      <c r="DK25" s="5">
        <f t="shared" si="62"/>
        <v>28821.05778</v>
      </c>
      <c r="DL25" s="36">
        <f t="shared" si="63"/>
        <v>6652.3661036</v>
      </c>
      <c r="DM25" s="5"/>
      <c r="DN25" s="36"/>
      <c r="DO25" s="36">
        <f t="shared" si="64"/>
        <v>56.508</v>
      </c>
      <c r="DP25" s="5">
        <f t="shared" si="65"/>
        <v>56.508</v>
      </c>
      <c r="DQ25" s="36">
        <f t="shared" si="66"/>
        <v>13.04296</v>
      </c>
      <c r="DR25" s="5"/>
      <c r="DS25" s="36"/>
      <c r="DT25" s="36">
        <f t="shared" si="67"/>
        <v>263881.19967</v>
      </c>
      <c r="DU25" s="5">
        <f t="shared" si="68"/>
        <v>263881.19967</v>
      </c>
      <c r="DV25" s="36">
        <f t="shared" si="69"/>
        <v>60908.047215399994</v>
      </c>
      <c r="DW25" s="5"/>
      <c r="DX25" s="5"/>
      <c r="DY25" s="36">
        <f t="shared" si="70"/>
        <v>1927.2053400000002</v>
      </c>
      <c r="DZ25" s="36">
        <f t="shared" si="71"/>
        <v>1927.2053400000002</v>
      </c>
      <c r="EA25" s="36">
        <f t="shared" si="72"/>
        <v>444.8301508</v>
      </c>
      <c r="EB25" s="5"/>
      <c r="EC25" s="5"/>
      <c r="ED25" s="36"/>
      <c r="EE25" s="36">
        <f t="shared" si="73"/>
        <v>0</v>
      </c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46478</v>
      </c>
      <c r="C26" s="3">
        <v>7665000</v>
      </c>
      <c r="D26" s="3">
        <v>1412700</v>
      </c>
      <c r="E26" s="35">
        <f t="shared" si="0"/>
        <v>9077700</v>
      </c>
      <c r="F26" s="35">
        <v>326074</v>
      </c>
      <c r="H26" s="36">
        <v>2422037</v>
      </c>
      <c r="I26" s="36">
        <v>446394</v>
      </c>
      <c r="J26" s="36">
        <f t="shared" si="1"/>
        <v>2868431</v>
      </c>
      <c r="K26" s="36">
        <f>'Academic Project '!K26</f>
        <v>103035.01460840002</v>
      </c>
      <c r="M26" s="36">
        <f>R26+W26+AB26+AG26+AL26+AQ26+AV26+BA26+BF26+BK26+BP26+BU26+BZ26+CE26+CJ26+CO26+CT26+CY26+DD26+DI26+DN26+DS26+DX26+EC26</f>
        <v>5242965.010500001</v>
      </c>
      <c r="N26" s="35">
        <f t="shared" si="2"/>
        <v>966306.1539900001</v>
      </c>
      <c r="O26" s="36">
        <f t="shared" si="3"/>
        <v>6209271.164490001</v>
      </c>
      <c r="P26" s="35">
        <f t="shared" si="2"/>
        <v>223039.0832138</v>
      </c>
      <c r="R26" s="36">
        <f>C26*$S$7</f>
        <v>1875366.423</v>
      </c>
      <c r="S26" s="36">
        <f t="shared" si="4"/>
        <v>345639.94074</v>
      </c>
      <c r="T26" s="36">
        <f t="shared" si="5"/>
        <v>2221006.36374</v>
      </c>
      <c r="U26" s="36">
        <f t="shared" si="6"/>
        <v>79779.2864988</v>
      </c>
      <c r="W26" s="36">
        <f t="shared" si="74"/>
        <v>43636.078499999996</v>
      </c>
      <c r="X26" s="36">
        <f t="shared" si="7"/>
        <v>8042.359829999999</v>
      </c>
      <c r="Y26" s="36">
        <f t="shared" si="8"/>
        <v>51678.43833</v>
      </c>
      <c r="Z26" s="36">
        <f t="shared" si="9"/>
        <v>1856.3066746</v>
      </c>
      <c r="AB26" s="36">
        <f t="shared" si="75"/>
        <v>5808.537</v>
      </c>
      <c r="AC26" s="36">
        <f t="shared" si="10"/>
        <v>1070.54406</v>
      </c>
      <c r="AD26" s="36">
        <f t="shared" si="11"/>
        <v>6879.08106</v>
      </c>
      <c r="AE26" s="36">
        <f t="shared" si="12"/>
        <v>247.0988772</v>
      </c>
      <c r="AG26" s="36">
        <f t="shared" si="76"/>
        <v>153726.174</v>
      </c>
      <c r="AH26" s="36">
        <f t="shared" si="13"/>
        <v>28332.54612</v>
      </c>
      <c r="AI26" s="36">
        <f t="shared" si="14"/>
        <v>182058.72012</v>
      </c>
      <c r="AJ26" s="36">
        <f t="shared" si="15"/>
        <v>6539.6097144</v>
      </c>
      <c r="AL26" s="36">
        <f t="shared" si="77"/>
        <v>60476.85</v>
      </c>
      <c r="AM26" s="36">
        <f t="shared" si="16"/>
        <v>11146.203</v>
      </c>
      <c r="AN26" s="36">
        <f t="shared" si="17"/>
        <v>71623.053</v>
      </c>
      <c r="AO26" s="36">
        <f t="shared" si="18"/>
        <v>2572.7238599999996</v>
      </c>
      <c r="AQ26" s="36">
        <f t="shared" si="78"/>
        <v>21990.1185</v>
      </c>
      <c r="AR26" s="36">
        <f t="shared" si="19"/>
        <v>4052.89503</v>
      </c>
      <c r="AS26" s="36">
        <f t="shared" si="20"/>
        <v>26043.01353</v>
      </c>
      <c r="AT26" s="36">
        <f t="shared" si="21"/>
        <v>935.4736986</v>
      </c>
      <c r="AV26" s="36">
        <f t="shared" si="79"/>
        <v>159816.783</v>
      </c>
      <c r="AW26" s="36">
        <f t="shared" si="22"/>
        <v>29455.07754</v>
      </c>
      <c r="AX26" s="36">
        <f t="shared" si="23"/>
        <v>189271.86054</v>
      </c>
      <c r="AY26" s="36">
        <f t="shared" si="24"/>
        <v>6798.7081148</v>
      </c>
      <c r="BA26" s="36">
        <f t="shared" si="80"/>
        <v>22075.9665</v>
      </c>
      <c r="BB26" s="36">
        <f t="shared" si="25"/>
        <v>4068.71727</v>
      </c>
      <c r="BC26" s="36">
        <f t="shared" si="26"/>
        <v>26144.68377</v>
      </c>
      <c r="BD26" s="36">
        <f t="shared" si="27"/>
        <v>939.1257274</v>
      </c>
      <c r="BF26" s="36">
        <f t="shared" si="81"/>
        <v>17713.815000000002</v>
      </c>
      <c r="BG26" s="36">
        <f t="shared" si="28"/>
        <v>3264.7497000000003</v>
      </c>
      <c r="BH26" s="36">
        <f t="shared" si="29"/>
        <v>20978.564700000003</v>
      </c>
      <c r="BI26" s="36">
        <f t="shared" si="30"/>
        <v>753.5570140000001</v>
      </c>
      <c r="BK26" s="36">
        <f t="shared" si="82"/>
        <v>10428.2325</v>
      </c>
      <c r="BL26" s="36">
        <f t="shared" si="31"/>
        <v>1921.9783499999999</v>
      </c>
      <c r="BM26" s="5">
        <f t="shared" si="32"/>
        <v>12350.21085</v>
      </c>
      <c r="BN26" s="36">
        <f t="shared" si="33"/>
        <v>443.623677</v>
      </c>
      <c r="BP26" s="36">
        <f t="shared" si="83"/>
        <v>514204.992</v>
      </c>
      <c r="BQ26" s="36">
        <f t="shared" si="34"/>
        <v>94770.69696</v>
      </c>
      <c r="BR26" s="5">
        <f t="shared" si="35"/>
        <v>608975.68896</v>
      </c>
      <c r="BS26" s="36">
        <f t="shared" si="36"/>
        <v>21874.6090752</v>
      </c>
      <c r="BT26" s="5"/>
      <c r="BU26" s="36">
        <f t="shared" si="84"/>
        <v>5438.317499999999</v>
      </c>
      <c r="BV26" s="36">
        <f t="shared" si="37"/>
        <v>1002.3106499999999</v>
      </c>
      <c r="BW26" s="5">
        <f t="shared" si="38"/>
        <v>6440.628149999999</v>
      </c>
      <c r="BX26" s="36">
        <f t="shared" si="39"/>
        <v>231.349503</v>
      </c>
      <c r="BY26" s="5"/>
      <c r="BZ26" s="36">
        <f t="shared" si="85"/>
        <v>11277.514500000001</v>
      </c>
      <c r="CA26" s="36">
        <f t="shared" si="40"/>
        <v>2078.50551</v>
      </c>
      <c r="CB26" s="5">
        <f t="shared" si="41"/>
        <v>13356.02001</v>
      </c>
      <c r="CC26" s="36">
        <f t="shared" si="42"/>
        <v>479.7526762</v>
      </c>
      <c r="CD26" s="5"/>
      <c r="CE26" s="36">
        <f t="shared" si="86"/>
        <v>5291.916</v>
      </c>
      <c r="CF26" s="36">
        <f t="shared" si="43"/>
        <v>975.32808</v>
      </c>
      <c r="CG26" s="5">
        <f t="shared" si="44"/>
        <v>6267.24408</v>
      </c>
      <c r="CH26" s="36">
        <f t="shared" si="45"/>
        <v>225.1214896</v>
      </c>
      <c r="CI26" s="5"/>
      <c r="CJ26" s="36">
        <f t="shared" si="87"/>
        <v>64899.55500000001</v>
      </c>
      <c r="CK26" s="36">
        <f t="shared" si="46"/>
        <v>11961.3309</v>
      </c>
      <c r="CL26" s="5">
        <f t="shared" si="47"/>
        <v>76860.88590000001</v>
      </c>
      <c r="CM26" s="36">
        <f t="shared" si="48"/>
        <v>2760.868558</v>
      </c>
      <c r="CN26" s="5"/>
      <c r="CO26" s="36">
        <f t="shared" si="88"/>
        <v>15097.7505</v>
      </c>
      <c r="CP26" s="36">
        <f t="shared" si="49"/>
        <v>2782.59519</v>
      </c>
      <c r="CQ26" s="5">
        <f t="shared" si="50"/>
        <v>17880.345690000002</v>
      </c>
      <c r="CR26" s="36">
        <f t="shared" si="51"/>
        <v>642.2679578</v>
      </c>
      <c r="CS26" s="5"/>
      <c r="CT26" s="36">
        <f t="shared" si="89"/>
        <v>655532.262</v>
      </c>
      <c r="CU26" s="36">
        <f t="shared" si="52"/>
        <v>120818.05956</v>
      </c>
      <c r="CV26" s="5">
        <f t="shared" si="53"/>
        <v>776350.32156</v>
      </c>
      <c r="CW26" s="36">
        <f t="shared" si="54"/>
        <v>27886.761487199998</v>
      </c>
      <c r="CX26" s="5"/>
      <c r="CY26" s="36">
        <f t="shared" si="90"/>
        <v>156.366</v>
      </c>
      <c r="CZ26" s="36">
        <f t="shared" si="55"/>
        <v>28.819080000000003</v>
      </c>
      <c r="DA26" s="5">
        <f t="shared" si="56"/>
        <v>185.18508000000003</v>
      </c>
      <c r="DB26" s="36">
        <f t="shared" si="57"/>
        <v>6.651909600000001</v>
      </c>
      <c r="DC26" s="5"/>
      <c r="DD26" s="36">
        <f>C26*$DE$7</f>
        <v>1125.9885</v>
      </c>
      <c r="DE26" s="36">
        <f t="shared" si="58"/>
        <v>207.52562999999998</v>
      </c>
      <c r="DF26" s="5">
        <f t="shared" si="59"/>
        <v>1333.51413</v>
      </c>
      <c r="DG26" s="36">
        <f t="shared" si="60"/>
        <v>47.9002706</v>
      </c>
      <c r="DH26" s="5"/>
      <c r="DI26" s="36">
        <f>C26*$DJ$7</f>
        <v>156376.731</v>
      </c>
      <c r="DJ26" s="36">
        <f t="shared" si="61"/>
        <v>28821.05778</v>
      </c>
      <c r="DK26" s="5">
        <f t="shared" si="62"/>
        <v>185197.78878</v>
      </c>
      <c r="DL26" s="36">
        <f t="shared" si="63"/>
        <v>6652.3661036</v>
      </c>
      <c r="DM26" s="5"/>
      <c r="DN26" s="36">
        <f>C26*$DO$7</f>
        <v>306.6</v>
      </c>
      <c r="DO26" s="36">
        <f t="shared" si="64"/>
        <v>56.508</v>
      </c>
      <c r="DP26" s="5">
        <f t="shared" si="65"/>
        <v>363.108</v>
      </c>
      <c r="DQ26" s="36">
        <f t="shared" si="66"/>
        <v>13.04296</v>
      </c>
      <c r="DR26" s="5"/>
      <c r="DS26" s="36">
        <f>C26*$DT$7</f>
        <v>1431761.4464999998</v>
      </c>
      <c r="DT26" s="36">
        <f t="shared" si="67"/>
        <v>263881.19967</v>
      </c>
      <c r="DU26" s="5">
        <f t="shared" si="68"/>
        <v>1695642.6461699998</v>
      </c>
      <c r="DV26" s="36">
        <f t="shared" si="69"/>
        <v>60908.047215399994</v>
      </c>
      <c r="DW26" s="5"/>
      <c r="DX26" s="5">
        <f>C26*$DY$7</f>
        <v>10456.593</v>
      </c>
      <c r="DY26" s="36">
        <f t="shared" si="70"/>
        <v>1927.2053400000002</v>
      </c>
      <c r="DZ26" s="36">
        <f t="shared" si="71"/>
        <v>12383.798340000001</v>
      </c>
      <c r="EA26" s="36">
        <f t="shared" si="72"/>
        <v>444.8301508</v>
      </c>
      <c r="EB26" s="5"/>
      <c r="EC26" s="5"/>
      <c r="ED26" s="36"/>
      <c r="EE26" s="36">
        <f t="shared" si="73"/>
        <v>0</v>
      </c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46661</v>
      </c>
      <c r="D27" s="3">
        <v>1259400</v>
      </c>
      <c r="E27" s="35">
        <f t="shared" si="0"/>
        <v>1259400</v>
      </c>
      <c r="F27" s="35">
        <v>326074</v>
      </c>
      <c r="H27" s="36"/>
      <c r="I27" s="36">
        <v>397954</v>
      </c>
      <c r="J27" s="36">
        <f t="shared" si="1"/>
        <v>397954</v>
      </c>
      <c r="K27" s="36">
        <f>'Academic Project '!K27</f>
        <v>103035.01460840002</v>
      </c>
      <c r="M27" s="36"/>
      <c r="N27" s="35">
        <f t="shared" si="2"/>
        <v>861446.8537800001</v>
      </c>
      <c r="O27" s="36">
        <f t="shared" si="3"/>
        <v>861446.8537800001</v>
      </c>
      <c r="P27" s="35">
        <f t="shared" si="2"/>
        <v>223039.0832138</v>
      </c>
      <c r="R27" s="36"/>
      <c r="S27" s="36">
        <f t="shared" si="4"/>
        <v>308132.61228</v>
      </c>
      <c r="T27" s="36">
        <f t="shared" si="5"/>
        <v>308132.61228</v>
      </c>
      <c r="U27" s="36">
        <f t="shared" si="6"/>
        <v>79779.2864988</v>
      </c>
      <c r="W27" s="36"/>
      <c r="X27" s="36">
        <f t="shared" si="7"/>
        <v>7169.63826</v>
      </c>
      <c r="Y27" s="36">
        <f t="shared" si="8"/>
        <v>7169.63826</v>
      </c>
      <c r="Z27" s="36">
        <f t="shared" si="9"/>
        <v>1856.3066746</v>
      </c>
      <c r="AB27" s="36"/>
      <c r="AC27" s="36">
        <f t="shared" si="10"/>
        <v>954.37332</v>
      </c>
      <c r="AD27" s="36">
        <f t="shared" si="11"/>
        <v>954.37332</v>
      </c>
      <c r="AE27" s="36">
        <f t="shared" si="12"/>
        <v>247.0988772</v>
      </c>
      <c r="AG27" s="36"/>
      <c r="AH27" s="36">
        <f t="shared" si="13"/>
        <v>25258.02264</v>
      </c>
      <c r="AI27" s="36">
        <f t="shared" si="14"/>
        <v>25258.02264</v>
      </c>
      <c r="AJ27" s="36">
        <f t="shared" si="15"/>
        <v>6539.6097144</v>
      </c>
      <c r="AL27" s="36"/>
      <c r="AM27" s="36">
        <f t="shared" si="16"/>
        <v>9936.666</v>
      </c>
      <c r="AN27" s="36">
        <f t="shared" si="17"/>
        <v>9936.666</v>
      </c>
      <c r="AO27" s="36">
        <f t="shared" si="18"/>
        <v>2572.7238599999996</v>
      </c>
      <c r="AQ27" s="36"/>
      <c r="AR27" s="36">
        <f t="shared" si="19"/>
        <v>3613.0926600000003</v>
      </c>
      <c r="AS27" s="36">
        <f t="shared" si="20"/>
        <v>3613.0926600000003</v>
      </c>
      <c r="AT27" s="36">
        <f t="shared" si="21"/>
        <v>935.4736986</v>
      </c>
      <c r="AV27" s="36"/>
      <c r="AW27" s="36">
        <f t="shared" si="22"/>
        <v>26258.741879999998</v>
      </c>
      <c r="AX27" s="36">
        <f t="shared" si="23"/>
        <v>26258.741879999998</v>
      </c>
      <c r="AY27" s="36">
        <f t="shared" si="24"/>
        <v>6798.7081148</v>
      </c>
      <c r="BA27" s="36"/>
      <c r="BB27" s="36">
        <f t="shared" si="25"/>
        <v>3627.19794</v>
      </c>
      <c r="BC27" s="36">
        <f t="shared" si="26"/>
        <v>3627.19794</v>
      </c>
      <c r="BD27" s="36">
        <f t="shared" si="27"/>
        <v>939.1257274</v>
      </c>
      <c r="BF27" s="36"/>
      <c r="BG27" s="36">
        <f t="shared" si="28"/>
        <v>2910.4734000000003</v>
      </c>
      <c r="BH27" s="36">
        <f t="shared" si="29"/>
        <v>2910.4734000000003</v>
      </c>
      <c r="BI27" s="36">
        <f t="shared" si="30"/>
        <v>753.5570140000001</v>
      </c>
      <c r="BK27" s="36"/>
      <c r="BL27" s="36">
        <f t="shared" si="31"/>
        <v>1713.4136999999998</v>
      </c>
      <c r="BM27" s="5">
        <f t="shared" si="32"/>
        <v>1713.4136999999998</v>
      </c>
      <c r="BN27" s="36">
        <f t="shared" si="33"/>
        <v>443.623677</v>
      </c>
      <c r="BP27" s="36"/>
      <c r="BQ27" s="36">
        <f t="shared" si="34"/>
        <v>84486.59712</v>
      </c>
      <c r="BR27" s="5">
        <f t="shared" si="35"/>
        <v>84486.59712</v>
      </c>
      <c r="BS27" s="36">
        <f t="shared" si="36"/>
        <v>21874.6090752</v>
      </c>
      <c r="BT27" s="5"/>
      <c r="BU27" s="36"/>
      <c r="BV27" s="36">
        <f t="shared" si="37"/>
        <v>893.5442999999999</v>
      </c>
      <c r="BW27" s="5">
        <f t="shared" si="38"/>
        <v>893.5442999999999</v>
      </c>
      <c r="BX27" s="36">
        <f t="shared" si="39"/>
        <v>231.349503</v>
      </c>
      <c r="BY27" s="5"/>
      <c r="BZ27" s="36"/>
      <c r="CA27" s="36">
        <f t="shared" si="40"/>
        <v>1852.95522</v>
      </c>
      <c r="CB27" s="5">
        <f t="shared" si="41"/>
        <v>1852.95522</v>
      </c>
      <c r="CC27" s="36">
        <f t="shared" si="42"/>
        <v>479.7526762</v>
      </c>
      <c r="CD27" s="5"/>
      <c r="CE27" s="36"/>
      <c r="CF27" s="36">
        <f t="shared" si="43"/>
        <v>869.4897599999999</v>
      </c>
      <c r="CG27" s="5">
        <f t="shared" si="44"/>
        <v>869.4897599999999</v>
      </c>
      <c r="CH27" s="36">
        <f t="shared" si="45"/>
        <v>225.1214896</v>
      </c>
      <c r="CI27" s="5"/>
      <c r="CJ27" s="36"/>
      <c r="CK27" s="36">
        <f t="shared" si="46"/>
        <v>10663.339800000002</v>
      </c>
      <c r="CL27" s="5">
        <f t="shared" si="47"/>
        <v>10663.339800000002</v>
      </c>
      <c r="CM27" s="36">
        <f t="shared" si="48"/>
        <v>2760.868558</v>
      </c>
      <c r="CN27" s="5"/>
      <c r="CO27" s="36"/>
      <c r="CP27" s="36">
        <f t="shared" si="49"/>
        <v>2480.64018</v>
      </c>
      <c r="CQ27" s="5">
        <f t="shared" si="50"/>
        <v>2480.64018</v>
      </c>
      <c r="CR27" s="36">
        <f t="shared" si="51"/>
        <v>642.2679578</v>
      </c>
      <c r="CS27" s="5"/>
      <c r="CT27" s="36"/>
      <c r="CU27" s="36">
        <f t="shared" si="52"/>
        <v>107707.41432</v>
      </c>
      <c r="CV27" s="5">
        <f t="shared" si="53"/>
        <v>107707.41432</v>
      </c>
      <c r="CW27" s="36">
        <f t="shared" si="54"/>
        <v>27886.761487199998</v>
      </c>
      <c r="CX27" s="5"/>
      <c r="CY27" s="36"/>
      <c r="CZ27" s="36">
        <f t="shared" si="55"/>
        <v>25.691760000000002</v>
      </c>
      <c r="DA27" s="5">
        <f t="shared" si="56"/>
        <v>25.691760000000002</v>
      </c>
      <c r="DB27" s="36">
        <f t="shared" si="57"/>
        <v>6.651909600000001</v>
      </c>
      <c r="DC27" s="5"/>
      <c r="DD27" s="36"/>
      <c r="DE27" s="36">
        <f t="shared" si="58"/>
        <v>185.00585999999998</v>
      </c>
      <c r="DF27" s="5">
        <f t="shared" si="59"/>
        <v>185.00585999999998</v>
      </c>
      <c r="DG27" s="36">
        <f t="shared" si="60"/>
        <v>47.9002706</v>
      </c>
      <c r="DH27" s="5"/>
      <c r="DI27" s="36"/>
      <c r="DJ27" s="36">
        <f t="shared" si="61"/>
        <v>25693.52316</v>
      </c>
      <c r="DK27" s="5">
        <f t="shared" si="62"/>
        <v>25693.52316</v>
      </c>
      <c r="DL27" s="36">
        <f t="shared" si="63"/>
        <v>6652.3661036</v>
      </c>
      <c r="DM27" s="5"/>
      <c r="DN27" s="36"/>
      <c r="DO27" s="36">
        <f t="shared" si="64"/>
        <v>50.376000000000005</v>
      </c>
      <c r="DP27" s="5">
        <f t="shared" si="65"/>
        <v>50.376000000000005</v>
      </c>
      <c r="DQ27" s="36">
        <f t="shared" si="66"/>
        <v>13.04296</v>
      </c>
      <c r="DR27" s="5"/>
      <c r="DS27" s="36"/>
      <c r="DT27" s="36">
        <f t="shared" si="67"/>
        <v>235245.97074</v>
      </c>
      <c r="DU27" s="5">
        <f t="shared" si="68"/>
        <v>235245.97074</v>
      </c>
      <c r="DV27" s="36">
        <f t="shared" si="69"/>
        <v>60908.047215399994</v>
      </c>
      <c r="DW27" s="5"/>
      <c r="DX27" s="5"/>
      <c r="DY27" s="36">
        <f t="shared" si="70"/>
        <v>1718.07348</v>
      </c>
      <c r="DZ27" s="36">
        <f t="shared" si="71"/>
        <v>1718.07348</v>
      </c>
      <c r="EA27" s="36">
        <f t="shared" si="72"/>
        <v>444.8301508</v>
      </c>
      <c r="EB27" s="5"/>
      <c r="EC27" s="5"/>
      <c r="ED27" s="36"/>
      <c r="EE27" s="36">
        <f t="shared" si="73"/>
        <v>0</v>
      </c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46844</v>
      </c>
      <c r="C28" s="3">
        <v>7970000</v>
      </c>
      <c r="D28" s="3">
        <v>1259400</v>
      </c>
      <c r="E28" s="35">
        <f t="shared" si="0"/>
        <v>9229400</v>
      </c>
      <c r="F28" s="35">
        <v>326074</v>
      </c>
      <c r="H28" s="36">
        <v>2518413</v>
      </c>
      <c r="I28" s="36">
        <v>397954</v>
      </c>
      <c r="J28" s="36">
        <f t="shared" si="1"/>
        <v>2916367</v>
      </c>
      <c r="K28" s="36">
        <f>'Academic Project '!K28</f>
        <v>103035.01460840002</v>
      </c>
      <c r="M28" s="36">
        <f>R28+W28+AB28+AG28+AL28+AQ28+AV28+BA28+BF28+BK28+BP28+BU28+BZ28+CE28+CJ28+CO28+CT28+CY28+DD28+DI28+DN28+DS28+DX28+EC28</f>
        <v>5451589.188999999</v>
      </c>
      <c r="N28" s="35">
        <f t="shared" si="2"/>
        <v>861446.8537800001</v>
      </c>
      <c r="O28" s="36">
        <f t="shared" si="3"/>
        <v>6313036.04278</v>
      </c>
      <c r="P28" s="35">
        <f t="shared" si="2"/>
        <v>223039.0832138</v>
      </c>
      <c r="R28" s="36">
        <f>C28*$S$7</f>
        <v>1949989.614</v>
      </c>
      <c r="S28" s="36">
        <f t="shared" si="4"/>
        <v>308132.61228</v>
      </c>
      <c r="T28" s="36">
        <f t="shared" si="5"/>
        <v>2258122.22628</v>
      </c>
      <c r="U28" s="36">
        <f t="shared" si="6"/>
        <v>79779.2864988</v>
      </c>
      <c r="W28" s="36">
        <f t="shared" si="74"/>
        <v>45372.413</v>
      </c>
      <c r="X28" s="36">
        <f t="shared" si="7"/>
        <v>7169.63826</v>
      </c>
      <c r="Y28" s="36">
        <f t="shared" si="8"/>
        <v>52542.05126</v>
      </c>
      <c r="Z28" s="36">
        <f t="shared" si="9"/>
        <v>1856.3066746</v>
      </c>
      <c r="AB28" s="36">
        <f t="shared" si="75"/>
        <v>6039.666</v>
      </c>
      <c r="AC28" s="36">
        <f t="shared" si="10"/>
        <v>954.37332</v>
      </c>
      <c r="AD28" s="36">
        <f t="shared" si="11"/>
        <v>6994.03932</v>
      </c>
      <c r="AE28" s="36">
        <f t="shared" si="12"/>
        <v>247.0988772</v>
      </c>
      <c r="AG28" s="36">
        <f t="shared" si="76"/>
        <v>159843.132</v>
      </c>
      <c r="AH28" s="36">
        <f t="shared" si="13"/>
        <v>25258.02264</v>
      </c>
      <c r="AI28" s="36">
        <f t="shared" si="14"/>
        <v>185101.15464000002</v>
      </c>
      <c r="AJ28" s="36">
        <f t="shared" si="15"/>
        <v>6539.6097144</v>
      </c>
      <c r="AL28" s="36">
        <f t="shared" si="77"/>
        <v>62883.299999999996</v>
      </c>
      <c r="AM28" s="36">
        <f t="shared" si="16"/>
        <v>9936.666</v>
      </c>
      <c r="AN28" s="36">
        <f t="shared" si="17"/>
        <v>72819.966</v>
      </c>
      <c r="AO28" s="36">
        <f t="shared" si="18"/>
        <v>2572.7238599999996</v>
      </c>
      <c r="AQ28" s="36">
        <f t="shared" si="78"/>
        <v>22865.133</v>
      </c>
      <c r="AR28" s="36">
        <f t="shared" si="19"/>
        <v>3613.0926600000003</v>
      </c>
      <c r="AS28" s="36">
        <f t="shared" si="20"/>
        <v>26478.225660000004</v>
      </c>
      <c r="AT28" s="36">
        <f t="shared" si="21"/>
        <v>935.4736986</v>
      </c>
      <c r="AV28" s="36">
        <f t="shared" si="79"/>
        <v>166176.09399999998</v>
      </c>
      <c r="AW28" s="36">
        <f t="shared" si="22"/>
        <v>26258.741879999998</v>
      </c>
      <c r="AX28" s="36">
        <f t="shared" si="23"/>
        <v>192434.83587999997</v>
      </c>
      <c r="AY28" s="36">
        <f t="shared" si="24"/>
        <v>6798.7081148</v>
      </c>
      <c r="BA28" s="36">
        <f t="shared" si="80"/>
        <v>22954.397</v>
      </c>
      <c r="BB28" s="36">
        <f t="shared" si="25"/>
        <v>3627.19794</v>
      </c>
      <c r="BC28" s="36">
        <f t="shared" si="26"/>
        <v>26581.594940000003</v>
      </c>
      <c r="BD28" s="36">
        <f t="shared" si="27"/>
        <v>939.1257274</v>
      </c>
      <c r="BF28" s="36">
        <f t="shared" si="81"/>
        <v>18418.670000000002</v>
      </c>
      <c r="BG28" s="36">
        <f t="shared" si="28"/>
        <v>2910.4734000000003</v>
      </c>
      <c r="BH28" s="36">
        <f t="shared" si="29"/>
        <v>21329.1434</v>
      </c>
      <c r="BI28" s="36">
        <f t="shared" si="30"/>
        <v>753.5570140000001</v>
      </c>
      <c r="BK28" s="36">
        <f t="shared" si="82"/>
        <v>10843.185</v>
      </c>
      <c r="BL28" s="36">
        <f t="shared" si="31"/>
        <v>1713.4136999999998</v>
      </c>
      <c r="BM28" s="5">
        <f t="shared" si="32"/>
        <v>12556.598699999999</v>
      </c>
      <c r="BN28" s="36">
        <f t="shared" si="33"/>
        <v>443.623677</v>
      </c>
      <c r="BP28" s="36">
        <f t="shared" si="83"/>
        <v>534665.856</v>
      </c>
      <c r="BQ28" s="36">
        <f t="shared" si="34"/>
        <v>84486.59712</v>
      </c>
      <c r="BR28" s="5">
        <f t="shared" si="35"/>
        <v>619152.4531200001</v>
      </c>
      <c r="BS28" s="36">
        <f t="shared" si="36"/>
        <v>21874.6090752</v>
      </c>
      <c r="BT28" s="5"/>
      <c r="BU28" s="36">
        <f t="shared" si="84"/>
        <v>5654.714999999999</v>
      </c>
      <c r="BV28" s="36">
        <f t="shared" si="37"/>
        <v>893.5442999999999</v>
      </c>
      <c r="BW28" s="5">
        <f t="shared" si="38"/>
        <v>6548.259299999999</v>
      </c>
      <c r="BX28" s="36">
        <f t="shared" si="39"/>
        <v>231.349503</v>
      </c>
      <c r="BY28" s="5"/>
      <c r="BZ28" s="36">
        <f t="shared" si="85"/>
        <v>11726.261</v>
      </c>
      <c r="CA28" s="36">
        <f t="shared" si="40"/>
        <v>1852.95522</v>
      </c>
      <c r="CB28" s="5">
        <f t="shared" si="41"/>
        <v>13579.21622</v>
      </c>
      <c r="CC28" s="36">
        <f t="shared" si="42"/>
        <v>479.7526762</v>
      </c>
      <c r="CD28" s="5"/>
      <c r="CE28" s="36">
        <f t="shared" si="86"/>
        <v>5502.487999999999</v>
      </c>
      <c r="CF28" s="36">
        <f t="shared" si="43"/>
        <v>869.4897599999999</v>
      </c>
      <c r="CG28" s="5">
        <f t="shared" si="44"/>
        <v>6371.97776</v>
      </c>
      <c r="CH28" s="36">
        <f t="shared" si="45"/>
        <v>225.1214896</v>
      </c>
      <c r="CI28" s="5"/>
      <c r="CJ28" s="36">
        <f t="shared" si="87"/>
        <v>67481.99</v>
      </c>
      <c r="CK28" s="36">
        <f t="shared" si="46"/>
        <v>10663.339800000002</v>
      </c>
      <c r="CL28" s="5">
        <f t="shared" si="47"/>
        <v>78145.3298</v>
      </c>
      <c r="CM28" s="36">
        <f t="shared" si="48"/>
        <v>2760.868558</v>
      </c>
      <c r="CN28" s="5"/>
      <c r="CO28" s="36">
        <f t="shared" si="88"/>
        <v>15698.509</v>
      </c>
      <c r="CP28" s="36">
        <f t="shared" si="49"/>
        <v>2480.64018</v>
      </c>
      <c r="CQ28" s="5">
        <f t="shared" si="50"/>
        <v>18179.14918</v>
      </c>
      <c r="CR28" s="36">
        <f t="shared" si="51"/>
        <v>642.2679578</v>
      </c>
      <c r="CS28" s="5"/>
      <c r="CT28" s="36">
        <f t="shared" si="89"/>
        <v>681616.716</v>
      </c>
      <c r="CU28" s="36">
        <f t="shared" si="52"/>
        <v>107707.41432</v>
      </c>
      <c r="CV28" s="5">
        <f t="shared" si="53"/>
        <v>789324.13032</v>
      </c>
      <c r="CW28" s="36">
        <f t="shared" si="54"/>
        <v>27886.761487199998</v>
      </c>
      <c r="CX28" s="5"/>
      <c r="CY28" s="36">
        <f t="shared" si="90"/>
        <v>162.58800000000002</v>
      </c>
      <c r="CZ28" s="36">
        <f t="shared" si="55"/>
        <v>25.691760000000002</v>
      </c>
      <c r="DA28" s="5">
        <f t="shared" si="56"/>
        <v>188.27976</v>
      </c>
      <c r="DB28" s="36">
        <f t="shared" si="57"/>
        <v>6.651909600000001</v>
      </c>
      <c r="DC28" s="5"/>
      <c r="DD28" s="36">
        <f>C28*$DE$7</f>
        <v>1170.793</v>
      </c>
      <c r="DE28" s="36">
        <f t="shared" si="58"/>
        <v>185.00585999999998</v>
      </c>
      <c r="DF28" s="5">
        <f t="shared" si="59"/>
        <v>1355.7988599999999</v>
      </c>
      <c r="DG28" s="36">
        <f t="shared" si="60"/>
        <v>47.9002706</v>
      </c>
      <c r="DH28" s="5"/>
      <c r="DI28" s="36">
        <f>C28*$DJ$7</f>
        <v>162599.158</v>
      </c>
      <c r="DJ28" s="36">
        <f t="shared" si="61"/>
        <v>25693.52316</v>
      </c>
      <c r="DK28" s="5">
        <f t="shared" si="62"/>
        <v>188292.68116</v>
      </c>
      <c r="DL28" s="36">
        <f t="shared" si="63"/>
        <v>6652.3661036</v>
      </c>
      <c r="DM28" s="5"/>
      <c r="DN28" s="36">
        <f>C28*$DO$7</f>
        <v>318.8</v>
      </c>
      <c r="DO28" s="36">
        <f t="shared" si="64"/>
        <v>50.376000000000005</v>
      </c>
      <c r="DP28" s="5">
        <f t="shared" si="65"/>
        <v>369.17600000000004</v>
      </c>
      <c r="DQ28" s="36">
        <f t="shared" si="66"/>
        <v>13.04296</v>
      </c>
      <c r="DR28" s="5"/>
      <c r="DS28" s="36">
        <f>C28*$DT$7</f>
        <v>1488733.037</v>
      </c>
      <c r="DT28" s="36">
        <f t="shared" si="67"/>
        <v>235245.97074</v>
      </c>
      <c r="DU28" s="5">
        <f t="shared" si="68"/>
        <v>1723979.00774</v>
      </c>
      <c r="DV28" s="36">
        <f t="shared" si="69"/>
        <v>60908.047215399994</v>
      </c>
      <c r="DW28" s="5"/>
      <c r="DX28" s="5">
        <f>C28*$DY$7</f>
        <v>10872.674</v>
      </c>
      <c r="DY28" s="36">
        <f t="shared" si="70"/>
        <v>1718.07348</v>
      </c>
      <c r="DZ28" s="36">
        <f t="shared" si="71"/>
        <v>12590.747480000002</v>
      </c>
      <c r="EA28" s="36">
        <f t="shared" si="72"/>
        <v>444.8301508</v>
      </c>
      <c r="EB28" s="5"/>
      <c r="EC28" s="5"/>
      <c r="ED28" s="36"/>
      <c r="EE28" s="36">
        <f t="shared" si="73"/>
        <v>0</v>
      </c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47027</v>
      </c>
      <c r="D29" s="3">
        <v>1100000</v>
      </c>
      <c r="E29" s="35">
        <f t="shared" si="0"/>
        <v>1100000</v>
      </c>
      <c r="F29" s="35">
        <v>326074</v>
      </c>
      <c r="H29" s="36"/>
      <c r="I29" s="36">
        <v>347585</v>
      </c>
      <c r="J29" s="36">
        <f t="shared" si="1"/>
        <v>347585</v>
      </c>
      <c r="K29" s="36">
        <f>'Academic Project '!K29</f>
        <v>103035.01460840002</v>
      </c>
      <c r="M29" s="36"/>
      <c r="N29" s="35">
        <f t="shared" si="2"/>
        <v>752415.07</v>
      </c>
      <c r="O29" s="36">
        <f t="shared" si="3"/>
        <v>752415.07</v>
      </c>
      <c r="P29" s="35">
        <f t="shared" si="2"/>
        <v>223039.0832138</v>
      </c>
      <c r="R29" s="36"/>
      <c r="S29" s="36">
        <f t="shared" si="4"/>
        <v>269132.82</v>
      </c>
      <c r="T29" s="36">
        <f t="shared" si="5"/>
        <v>269132.82</v>
      </c>
      <c r="U29" s="36">
        <f t="shared" si="6"/>
        <v>79779.2864988</v>
      </c>
      <c r="W29" s="36"/>
      <c r="X29" s="36">
        <f t="shared" si="7"/>
        <v>6262.19</v>
      </c>
      <c r="Y29" s="36">
        <f t="shared" si="8"/>
        <v>6262.19</v>
      </c>
      <c r="Z29" s="36">
        <f t="shared" si="9"/>
        <v>1856.3066746</v>
      </c>
      <c r="AB29" s="36"/>
      <c r="AC29" s="36">
        <f t="shared" si="10"/>
        <v>833.58</v>
      </c>
      <c r="AD29" s="36">
        <f t="shared" si="11"/>
        <v>833.58</v>
      </c>
      <c r="AE29" s="36">
        <f t="shared" si="12"/>
        <v>247.0988772</v>
      </c>
      <c r="AG29" s="36"/>
      <c r="AH29" s="36">
        <f t="shared" si="13"/>
        <v>22061.16</v>
      </c>
      <c r="AI29" s="36">
        <f t="shared" si="14"/>
        <v>22061.16</v>
      </c>
      <c r="AJ29" s="36">
        <f t="shared" si="15"/>
        <v>6539.6097144</v>
      </c>
      <c r="AL29" s="36"/>
      <c r="AM29" s="36">
        <f t="shared" si="16"/>
        <v>8679</v>
      </c>
      <c r="AN29" s="36">
        <f t="shared" si="17"/>
        <v>8679</v>
      </c>
      <c r="AO29" s="36">
        <f t="shared" si="18"/>
        <v>2572.7238599999996</v>
      </c>
      <c r="AQ29" s="36"/>
      <c r="AR29" s="36">
        <f t="shared" si="19"/>
        <v>3155.7900000000004</v>
      </c>
      <c r="AS29" s="36">
        <f t="shared" si="20"/>
        <v>3155.7900000000004</v>
      </c>
      <c r="AT29" s="36">
        <f t="shared" si="21"/>
        <v>935.4736986</v>
      </c>
      <c r="AV29" s="36"/>
      <c r="AW29" s="36">
        <f t="shared" si="22"/>
        <v>22935.219999999998</v>
      </c>
      <c r="AX29" s="36">
        <f t="shared" si="23"/>
        <v>22935.219999999998</v>
      </c>
      <c r="AY29" s="36">
        <f t="shared" si="24"/>
        <v>6798.7081148</v>
      </c>
      <c r="BA29" s="36"/>
      <c r="BB29" s="36">
        <f t="shared" si="25"/>
        <v>3168.11</v>
      </c>
      <c r="BC29" s="36">
        <f t="shared" si="26"/>
        <v>3168.11</v>
      </c>
      <c r="BD29" s="36">
        <f t="shared" si="27"/>
        <v>939.1257274</v>
      </c>
      <c r="BF29" s="36"/>
      <c r="BG29" s="36">
        <f t="shared" si="28"/>
        <v>2542.1</v>
      </c>
      <c r="BH29" s="36">
        <f t="shared" si="29"/>
        <v>2542.1</v>
      </c>
      <c r="BI29" s="36">
        <f t="shared" si="30"/>
        <v>753.5570140000001</v>
      </c>
      <c r="BK29" s="36"/>
      <c r="BL29" s="36">
        <f t="shared" si="31"/>
        <v>1496.55</v>
      </c>
      <c r="BM29" s="5">
        <f t="shared" si="32"/>
        <v>1496.55</v>
      </c>
      <c r="BN29" s="36">
        <f t="shared" si="33"/>
        <v>443.623677</v>
      </c>
      <c r="BP29" s="36"/>
      <c r="BQ29" s="36">
        <f t="shared" si="34"/>
        <v>73793.28</v>
      </c>
      <c r="BR29" s="5">
        <f t="shared" si="35"/>
        <v>73793.28</v>
      </c>
      <c r="BS29" s="36">
        <f t="shared" si="36"/>
        <v>21874.6090752</v>
      </c>
      <c r="BT29" s="5"/>
      <c r="BU29" s="36"/>
      <c r="BV29" s="36">
        <f t="shared" si="37"/>
        <v>780.4499999999999</v>
      </c>
      <c r="BW29" s="5">
        <f t="shared" si="38"/>
        <v>780.4499999999999</v>
      </c>
      <c r="BX29" s="36">
        <f t="shared" si="39"/>
        <v>231.349503</v>
      </c>
      <c r="BY29" s="5"/>
      <c r="BZ29" s="36"/>
      <c r="CA29" s="36">
        <f t="shared" si="40"/>
        <v>1618.43</v>
      </c>
      <c r="CB29" s="5">
        <f t="shared" si="41"/>
        <v>1618.43</v>
      </c>
      <c r="CC29" s="36">
        <f t="shared" si="42"/>
        <v>479.7526762</v>
      </c>
      <c r="CD29" s="5"/>
      <c r="CE29" s="36"/>
      <c r="CF29" s="36">
        <f t="shared" si="43"/>
        <v>759.4399999999999</v>
      </c>
      <c r="CG29" s="5">
        <f t="shared" si="44"/>
        <v>759.4399999999999</v>
      </c>
      <c r="CH29" s="36">
        <f t="shared" si="45"/>
        <v>225.1214896</v>
      </c>
      <c r="CI29" s="5"/>
      <c r="CJ29" s="36"/>
      <c r="CK29" s="36">
        <f t="shared" si="46"/>
        <v>9313.7</v>
      </c>
      <c r="CL29" s="5">
        <f t="shared" si="47"/>
        <v>9313.7</v>
      </c>
      <c r="CM29" s="36">
        <f t="shared" si="48"/>
        <v>2760.868558</v>
      </c>
      <c r="CN29" s="5"/>
      <c r="CO29" s="36"/>
      <c r="CP29" s="36">
        <f t="shared" si="49"/>
        <v>2166.67</v>
      </c>
      <c r="CQ29" s="5">
        <f t="shared" si="50"/>
        <v>2166.67</v>
      </c>
      <c r="CR29" s="36">
        <f t="shared" si="51"/>
        <v>642.2679578</v>
      </c>
      <c r="CS29" s="5"/>
      <c r="CT29" s="36"/>
      <c r="CU29" s="36">
        <f t="shared" si="52"/>
        <v>94075.08</v>
      </c>
      <c r="CV29" s="5">
        <f t="shared" si="53"/>
        <v>94075.08</v>
      </c>
      <c r="CW29" s="36">
        <f t="shared" si="54"/>
        <v>27886.761487199998</v>
      </c>
      <c r="CX29" s="5"/>
      <c r="CY29" s="36"/>
      <c r="CZ29" s="36">
        <f t="shared" si="55"/>
        <v>22.44</v>
      </c>
      <c r="DA29" s="5">
        <f t="shared" si="56"/>
        <v>22.44</v>
      </c>
      <c r="DB29" s="36">
        <f t="shared" si="57"/>
        <v>6.651909600000001</v>
      </c>
      <c r="DC29" s="5"/>
      <c r="DD29" s="36"/>
      <c r="DE29" s="36">
        <f t="shared" si="58"/>
        <v>161.59</v>
      </c>
      <c r="DF29" s="5">
        <f t="shared" si="59"/>
        <v>161.59</v>
      </c>
      <c r="DG29" s="36">
        <f t="shared" si="60"/>
        <v>47.9002706</v>
      </c>
      <c r="DH29" s="5"/>
      <c r="DI29" s="36"/>
      <c r="DJ29" s="36">
        <f t="shared" si="61"/>
        <v>22441.54</v>
      </c>
      <c r="DK29" s="5">
        <f t="shared" si="62"/>
        <v>22441.54</v>
      </c>
      <c r="DL29" s="36">
        <f t="shared" si="63"/>
        <v>6652.3661036</v>
      </c>
      <c r="DM29" s="5"/>
      <c r="DN29" s="36"/>
      <c r="DO29" s="36">
        <f t="shared" si="64"/>
        <v>44.00000000000001</v>
      </c>
      <c r="DP29" s="5">
        <f t="shared" si="65"/>
        <v>44.00000000000001</v>
      </c>
      <c r="DQ29" s="36">
        <f t="shared" si="66"/>
        <v>13.04296</v>
      </c>
      <c r="DR29" s="5"/>
      <c r="DS29" s="36"/>
      <c r="DT29" s="36">
        <f t="shared" si="67"/>
        <v>205471.31</v>
      </c>
      <c r="DU29" s="5">
        <f t="shared" si="68"/>
        <v>205471.31</v>
      </c>
      <c r="DV29" s="36">
        <f t="shared" si="69"/>
        <v>60908.047215399994</v>
      </c>
      <c r="DW29" s="5"/>
      <c r="DX29" s="5"/>
      <c r="DY29" s="36">
        <f t="shared" si="70"/>
        <v>1500.6200000000001</v>
      </c>
      <c r="DZ29" s="36">
        <f t="shared" si="71"/>
        <v>1500.6200000000001</v>
      </c>
      <c r="EA29" s="36">
        <f t="shared" si="72"/>
        <v>444.8301508</v>
      </c>
      <c r="EB29" s="5"/>
      <c r="EC29" s="5"/>
      <c r="ED29" s="36"/>
      <c r="EE29" s="36">
        <f t="shared" si="73"/>
        <v>0</v>
      </c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47209</v>
      </c>
      <c r="C30" s="3">
        <v>8290000</v>
      </c>
      <c r="D30" s="3">
        <v>1100000</v>
      </c>
      <c r="E30" s="35">
        <f t="shared" si="0"/>
        <v>9390000</v>
      </c>
      <c r="F30" s="35">
        <v>326074</v>
      </c>
      <c r="H30" s="36">
        <v>2619529</v>
      </c>
      <c r="I30" s="36">
        <v>347585</v>
      </c>
      <c r="J30" s="36">
        <f t="shared" si="1"/>
        <v>2967114</v>
      </c>
      <c r="K30" s="36">
        <f>'Academic Project '!K30</f>
        <v>103035.01460840002</v>
      </c>
      <c r="M30" s="36">
        <f>R30+W30+AB30+AG30+AL30+AQ30+AV30+BA30+BF30+BK30+BP30+BU30+BZ30+CE30+CJ30+CO30+CT30+CY30+DD30+DI30+DN30+DS30+DX30+EC30</f>
        <v>5670473.573000001</v>
      </c>
      <c r="N30" s="35">
        <f t="shared" si="2"/>
        <v>752415.07</v>
      </c>
      <c r="O30" s="36">
        <f t="shared" si="3"/>
        <v>6422888.643000001</v>
      </c>
      <c r="P30" s="35">
        <f t="shared" si="2"/>
        <v>223039.0832138</v>
      </c>
      <c r="R30" s="36">
        <f>C30*$S$7</f>
        <v>2028282.798</v>
      </c>
      <c r="S30" s="36">
        <f t="shared" si="4"/>
        <v>269132.82</v>
      </c>
      <c r="T30" s="36">
        <f t="shared" si="5"/>
        <v>2297415.618</v>
      </c>
      <c r="U30" s="36">
        <f t="shared" si="6"/>
        <v>79779.2864988</v>
      </c>
      <c r="W30" s="36">
        <f t="shared" si="74"/>
        <v>47194.140999999996</v>
      </c>
      <c r="X30" s="36">
        <f t="shared" si="7"/>
        <v>6262.19</v>
      </c>
      <c r="Y30" s="36">
        <f t="shared" si="8"/>
        <v>53456.331</v>
      </c>
      <c r="Z30" s="36">
        <f t="shared" si="9"/>
        <v>1856.3066746</v>
      </c>
      <c r="AB30" s="36">
        <f t="shared" si="75"/>
        <v>6282.162</v>
      </c>
      <c r="AC30" s="36">
        <f t="shared" si="10"/>
        <v>833.58</v>
      </c>
      <c r="AD30" s="36">
        <f t="shared" si="11"/>
        <v>7115.742</v>
      </c>
      <c r="AE30" s="36">
        <f t="shared" si="12"/>
        <v>247.0988772</v>
      </c>
      <c r="AG30" s="36">
        <f t="shared" si="76"/>
        <v>166260.924</v>
      </c>
      <c r="AH30" s="36">
        <f t="shared" si="13"/>
        <v>22061.16</v>
      </c>
      <c r="AI30" s="36">
        <f t="shared" si="14"/>
        <v>188322.084</v>
      </c>
      <c r="AJ30" s="36">
        <f t="shared" si="15"/>
        <v>6539.6097144</v>
      </c>
      <c r="AL30" s="36">
        <f t="shared" si="77"/>
        <v>65408.1</v>
      </c>
      <c r="AM30" s="36">
        <f t="shared" si="16"/>
        <v>8679</v>
      </c>
      <c r="AN30" s="36">
        <f t="shared" si="17"/>
        <v>74087.1</v>
      </c>
      <c r="AO30" s="36">
        <f t="shared" si="18"/>
        <v>2572.7238599999996</v>
      </c>
      <c r="AQ30" s="36">
        <f t="shared" si="78"/>
        <v>23783.181</v>
      </c>
      <c r="AR30" s="36">
        <f t="shared" si="19"/>
        <v>3155.7900000000004</v>
      </c>
      <c r="AS30" s="36">
        <f t="shared" si="20"/>
        <v>26938.971</v>
      </c>
      <c r="AT30" s="36">
        <f t="shared" si="21"/>
        <v>935.4736986</v>
      </c>
      <c r="AV30" s="36">
        <f t="shared" si="79"/>
        <v>172848.158</v>
      </c>
      <c r="AW30" s="36">
        <f t="shared" si="22"/>
        <v>22935.219999999998</v>
      </c>
      <c r="AX30" s="36">
        <f t="shared" si="23"/>
        <v>195783.378</v>
      </c>
      <c r="AY30" s="36">
        <f t="shared" si="24"/>
        <v>6798.7081148</v>
      </c>
      <c r="BA30" s="36">
        <f t="shared" si="80"/>
        <v>23876.029</v>
      </c>
      <c r="BB30" s="36">
        <f t="shared" si="25"/>
        <v>3168.11</v>
      </c>
      <c r="BC30" s="36">
        <f t="shared" si="26"/>
        <v>27044.139</v>
      </c>
      <c r="BD30" s="36">
        <f t="shared" si="27"/>
        <v>939.1257274</v>
      </c>
      <c r="BF30" s="36">
        <f t="shared" si="81"/>
        <v>19158.190000000002</v>
      </c>
      <c r="BG30" s="36">
        <f t="shared" si="28"/>
        <v>2542.1</v>
      </c>
      <c r="BH30" s="36">
        <f t="shared" si="29"/>
        <v>21700.29</v>
      </c>
      <c r="BI30" s="36">
        <f t="shared" si="30"/>
        <v>753.5570140000001</v>
      </c>
      <c r="BK30" s="36">
        <f t="shared" si="82"/>
        <v>11278.545</v>
      </c>
      <c r="BL30" s="36">
        <f t="shared" si="31"/>
        <v>1496.55</v>
      </c>
      <c r="BM30" s="5">
        <f t="shared" si="32"/>
        <v>12775.095</v>
      </c>
      <c r="BN30" s="36">
        <f t="shared" si="33"/>
        <v>443.623677</v>
      </c>
      <c r="BP30" s="36">
        <f t="shared" si="83"/>
        <v>556132.992</v>
      </c>
      <c r="BQ30" s="36">
        <f t="shared" si="34"/>
        <v>73793.28</v>
      </c>
      <c r="BR30" s="5">
        <f t="shared" si="35"/>
        <v>629926.272</v>
      </c>
      <c r="BS30" s="36">
        <f t="shared" si="36"/>
        <v>21874.6090752</v>
      </c>
      <c r="BT30" s="5"/>
      <c r="BU30" s="36">
        <f t="shared" si="84"/>
        <v>5881.754999999999</v>
      </c>
      <c r="BV30" s="36">
        <f t="shared" si="37"/>
        <v>780.4499999999999</v>
      </c>
      <c r="BW30" s="5">
        <f t="shared" si="38"/>
        <v>6662.204999999999</v>
      </c>
      <c r="BX30" s="36">
        <f t="shared" si="39"/>
        <v>231.349503</v>
      </c>
      <c r="BY30" s="5"/>
      <c r="BZ30" s="36">
        <f t="shared" si="85"/>
        <v>12197.077000000001</v>
      </c>
      <c r="CA30" s="36">
        <f t="shared" si="40"/>
        <v>1618.43</v>
      </c>
      <c r="CB30" s="5">
        <f t="shared" si="41"/>
        <v>13815.507000000001</v>
      </c>
      <c r="CC30" s="36">
        <f t="shared" si="42"/>
        <v>479.7526762</v>
      </c>
      <c r="CD30" s="5"/>
      <c r="CE30" s="36">
        <f t="shared" si="86"/>
        <v>5723.416</v>
      </c>
      <c r="CF30" s="36">
        <f t="shared" si="43"/>
        <v>759.4399999999999</v>
      </c>
      <c r="CG30" s="5">
        <f t="shared" si="44"/>
        <v>6482.856</v>
      </c>
      <c r="CH30" s="36">
        <f t="shared" si="45"/>
        <v>225.1214896</v>
      </c>
      <c r="CI30" s="5"/>
      <c r="CJ30" s="36">
        <f t="shared" si="87"/>
        <v>70191.43000000001</v>
      </c>
      <c r="CK30" s="36">
        <f t="shared" si="46"/>
        <v>9313.7</v>
      </c>
      <c r="CL30" s="5">
        <f t="shared" si="47"/>
        <v>79505.13</v>
      </c>
      <c r="CM30" s="36">
        <f t="shared" si="48"/>
        <v>2760.868558</v>
      </c>
      <c r="CN30" s="5"/>
      <c r="CO30" s="36">
        <f t="shared" si="88"/>
        <v>16328.813</v>
      </c>
      <c r="CP30" s="36">
        <f t="shared" si="49"/>
        <v>2166.67</v>
      </c>
      <c r="CQ30" s="5">
        <f t="shared" si="50"/>
        <v>18495.483</v>
      </c>
      <c r="CR30" s="36">
        <f t="shared" si="51"/>
        <v>642.2679578</v>
      </c>
      <c r="CS30" s="5"/>
      <c r="CT30" s="36">
        <f t="shared" si="89"/>
        <v>708984.012</v>
      </c>
      <c r="CU30" s="36">
        <f t="shared" si="52"/>
        <v>94075.08</v>
      </c>
      <c r="CV30" s="5">
        <f t="shared" si="53"/>
        <v>803059.092</v>
      </c>
      <c r="CW30" s="36">
        <f t="shared" si="54"/>
        <v>27886.761487199998</v>
      </c>
      <c r="CX30" s="5"/>
      <c r="CY30" s="36">
        <f t="shared" si="90"/>
        <v>169.116</v>
      </c>
      <c r="CZ30" s="36">
        <f t="shared" si="55"/>
        <v>22.44</v>
      </c>
      <c r="DA30" s="5">
        <f t="shared" si="56"/>
        <v>191.556</v>
      </c>
      <c r="DB30" s="36">
        <f t="shared" si="57"/>
        <v>6.651909600000001</v>
      </c>
      <c r="DC30" s="5"/>
      <c r="DD30" s="36">
        <f>C30*$DE$7</f>
        <v>1217.801</v>
      </c>
      <c r="DE30" s="36">
        <f t="shared" si="58"/>
        <v>161.59</v>
      </c>
      <c r="DF30" s="5">
        <f t="shared" si="59"/>
        <v>1379.3909999999998</v>
      </c>
      <c r="DG30" s="36">
        <f t="shared" si="60"/>
        <v>47.9002706</v>
      </c>
      <c r="DH30" s="5"/>
      <c r="DI30" s="36">
        <f>C30*$DJ$7</f>
        <v>169127.606</v>
      </c>
      <c r="DJ30" s="36">
        <f t="shared" si="61"/>
        <v>22441.54</v>
      </c>
      <c r="DK30" s="5">
        <f t="shared" si="62"/>
        <v>191569.146</v>
      </c>
      <c r="DL30" s="36">
        <f t="shared" si="63"/>
        <v>6652.3661036</v>
      </c>
      <c r="DM30" s="5"/>
      <c r="DN30" s="36">
        <f>C30*$DO$7</f>
        <v>331.6</v>
      </c>
      <c r="DO30" s="36">
        <f t="shared" si="64"/>
        <v>44.00000000000001</v>
      </c>
      <c r="DP30" s="5">
        <f t="shared" si="65"/>
        <v>375.6</v>
      </c>
      <c r="DQ30" s="36">
        <f t="shared" si="66"/>
        <v>13.04296</v>
      </c>
      <c r="DR30" s="5"/>
      <c r="DS30" s="36">
        <f>C30*$DT$7</f>
        <v>1548506.5089999998</v>
      </c>
      <c r="DT30" s="36">
        <f t="shared" si="67"/>
        <v>205471.31</v>
      </c>
      <c r="DU30" s="5">
        <f t="shared" si="68"/>
        <v>1753977.819</v>
      </c>
      <c r="DV30" s="36">
        <f t="shared" si="69"/>
        <v>60908.047215399994</v>
      </c>
      <c r="DW30" s="5"/>
      <c r="DX30" s="5">
        <f>C30*$DY$7</f>
        <v>11309.218</v>
      </c>
      <c r="DY30" s="36">
        <f t="shared" si="70"/>
        <v>1500.6200000000001</v>
      </c>
      <c r="DZ30" s="36">
        <f t="shared" si="71"/>
        <v>12809.838000000002</v>
      </c>
      <c r="EA30" s="36">
        <f t="shared" si="72"/>
        <v>444.8301508</v>
      </c>
      <c r="EB30" s="5"/>
      <c r="EC30" s="5"/>
      <c r="ED30" s="36"/>
      <c r="EE30" s="36">
        <f t="shared" si="73"/>
        <v>0</v>
      </c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47392</v>
      </c>
      <c r="D31" s="3">
        <v>934200</v>
      </c>
      <c r="E31" s="35">
        <f t="shared" si="0"/>
        <v>934200</v>
      </c>
      <c r="F31" s="35">
        <v>326074</v>
      </c>
      <c r="H31" s="36"/>
      <c r="I31" s="36">
        <v>295195</v>
      </c>
      <c r="J31" s="36">
        <f t="shared" si="1"/>
        <v>295195</v>
      </c>
      <c r="K31" s="36">
        <f>'Academic Project '!K31</f>
        <v>103035.01460840002</v>
      </c>
      <c r="M31" s="36"/>
      <c r="N31" s="35">
        <f t="shared" si="2"/>
        <v>639005.59854</v>
      </c>
      <c r="O31" s="36">
        <f t="shared" si="3"/>
        <v>639005.59854</v>
      </c>
      <c r="P31" s="35">
        <f t="shared" si="2"/>
        <v>223039.0832138</v>
      </c>
      <c r="R31" s="36"/>
      <c r="S31" s="36">
        <f t="shared" si="4"/>
        <v>228567.16404</v>
      </c>
      <c r="T31" s="36">
        <f t="shared" si="5"/>
        <v>228567.16404</v>
      </c>
      <c r="U31" s="36">
        <f t="shared" si="6"/>
        <v>79779.2864988</v>
      </c>
      <c r="W31" s="36"/>
      <c r="X31" s="36">
        <f t="shared" si="7"/>
        <v>5318.30718</v>
      </c>
      <c r="Y31" s="36">
        <f t="shared" si="8"/>
        <v>5318.30718</v>
      </c>
      <c r="Z31" s="36">
        <f t="shared" si="9"/>
        <v>1856.3066746</v>
      </c>
      <c r="AB31" s="36"/>
      <c r="AC31" s="36">
        <f t="shared" si="10"/>
        <v>707.9367599999999</v>
      </c>
      <c r="AD31" s="36">
        <f t="shared" si="11"/>
        <v>707.9367599999999</v>
      </c>
      <c r="AE31" s="36">
        <f t="shared" si="12"/>
        <v>247.0988772</v>
      </c>
      <c r="AG31" s="36"/>
      <c r="AH31" s="36">
        <f t="shared" si="13"/>
        <v>18735.94152</v>
      </c>
      <c r="AI31" s="36">
        <f t="shared" si="14"/>
        <v>18735.94152</v>
      </c>
      <c r="AJ31" s="36">
        <f t="shared" si="15"/>
        <v>6539.6097144</v>
      </c>
      <c r="AL31" s="36"/>
      <c r="AM31" s="36">
        <f t="shared" si="16"/>
        <v>7370.838</v>
      </c>
      <c r="AN31" s="36">
        <f t="shared" si="17"/>
        <v>7370.838</v>
      </c>
      <c r="AO31" s="36">
        <f t="shared" si="18"/>
        <v>2572.7238599999996</v>
      </c>
      <c r="AQ31" s="36"/>
      <c r="AR31" s="36">
        <f t="shared" si="19"/>
        <v>2680.12638</v>
      </c>
      <c r="AS31" s="36">
        <f t="shared" si="20"/>
        <v>2680.12638</v>
      </c>
      <c r="AT31" s="36">
        <f t="shared" si="21"/>
        <v>935.4736986</v>
      </c>
      <c r="AV31" s="36"/>
      <c r="AW31" s="36">
        <f t="shared" si="22"/>
        <v>19478.25684</v>
      </c>
      <c r="AX31" s="36">
        <f t="shared" si="23"/>
        <v>19478.25684</v>
      </c>
      <c r="AY31" s="36">
        <f t="shared" si="24"/>
        <v>6798.7081148</v>
      </c>
      <c r="BA31" s="36"/>
      <c r="BB31" s="36">
        <f t="shared" si="25"/>
        <v>2690.5894200000002</v>
      </c>
      <c r="BC31" s="36">
        <f t="shared" si="26"/>
        <v>2690.5894200000002</v>
      </c>
      <c r="BD31" s="36">
        <f t="shared" si="27"/>
        <v>939.1257274</v>
      </c>
      <c r="BF31" s="36"/>
      <c r="BG31" s="36">
        <f t="shared" si="28"/>
        <v>2158.9362</v>
      </c>
      <c r="BH31" s="36">
        <f t="shared" si="29"/>
        <v>2158.9362</v>
      </c>
      <c r="BI31" s="36">
        <f t="shared" si="30"/>
        <v>753.5570140000001</v>
      </c>
      <c r="BK31" s="36"/>
      <c r="BL31" s="36">
        <f t="shared" si="31"/>
        <v>1270.9791</v>
      </c>
      <c r="BM31" s="5">
        <f t="shared" si="32"/>
        <v>1270.9791</v>
      </c>
      <c r="BN31" s="36">
        <f t="shared" si="33"/>
        <v>443.623677</v>
      </c>
      <c r="BP31" s="36"/>
      <c r="BQ31" s="36">
        <f t="shared" si="34"/>
        <v>62670.62016</v>
      </c>
      <c r="BR31" s="5">
        <f t="shared" si="35"/>
        <v>62670.62016</v>
      </c>
      <c r="BS31" s="36">
        <f t="shared" si="36"/>
        <v>21874.6090752</v>
      </c>
      <c r="BT31" s="5"/>
      <c r="BU31" s="36"/>
      <c r="BV31" s="36">
        <f t="shared" si="37"/>
        <v>662.8149</v>
      </c>
      <c r="BW31" s="5">
        <f t="shared" si="38"/>
        <v>662.8149</v>
      </c>
      <c r="BX31" s="36">
        <f t="shared" si="39"/>
        <v>231.349503</v>
      </c>
      <c r="BY31" s="5"/>
      <c r="BZ31" s="36"/>
      <c r="CA31" s="36">
        <f t="shared" si="40"/>
        <v>1374.48846</v>
      </c>
      <c r="CB31" s="5">
        <f t="shared" si="41"/>
        <v>1374.48846</v>
      </c>
      <c r="CC31" s="36">
        <f t="shared" si="42"/>
        <v>479.7526762</v>
      </c>
      <c r="CD31" s="5"/>
      <c r="CE31" s="36"/>
      <c r="CF31" s="36">
        <f t="shared" si="43"/>
        <v>644.97168</v>
      </c>
      <c r="CG31" s="5">
        <f t="shared" si="44"/>
        <v>644.97168</v>
      </c>
      <c r="CH31" s="36">
        <f t="shared" si="45"/>
        <v>225.1214896</v>
      </c>
      <c r="CI31" s="5"/>
      <c r="CJ31" s="36"/>
      <c r="CK31" s="36">
        <f t="shared" si="46"/>
        <v>7909.871400000001</v>
      </c>
      <c r="CL31" s="5">
        <f t="shared" si="47"/>
        <v>7909.871400000001</v>
      </c>
      <c r="CM31" s="36">
        <f t="shared" si="48"/>
        <v>2760.868558</v>
      </c>
      <c r="CN31" s="5"/>
      <c r="CO31" s="36"/>
      <c r="CP31" s="36">
        <f t="shared" si="49"/>
        <v>1840.09374</v>
      </c>
      <c r="CQ31" s="5">
        <f t="shared" si="50"/>
        <v>1840.09374</v>
      </c>
      <c r="CR31" s="36">
        <f t="shared" si="51"/>
        <v>642.2679578</v>
      </c>
      <c r="CS31" s="5"/>
      <c r="CT31" s="36"/>
      <c r="CU31" s="36">
        <f t="shared" si="52"/>
        <v>79895.39976</v>
      </c>
      <c r="CV31" s="5">
        <f t="shared" si="53"/>
        <v>79895.39976</v>
      </c>
      <c r="CW31" s="36">
        <f t="shared" si="54"/>
        <v>27886.761487199998</v>
      </c>
      <c r="CX31" s="5"/>
      <c r="CY31" s="36"/>
      <c r="CZ31" s="36">
        <f t="shared" si="55"/>
        <v>19.05768</v>
      </c>
      <c r="DA31" s="5">
        <f t="shared" si="56"/>
        <v>19.05768</v>
      </c>
      <c r="DB31" s="36">
        <f t="shared" si="57"/>
        <v>6.651909600000001</v>
      </c>
      <c r="DC31" s="5"/>
      <c r="DD31" s="36"/>
      <c r="DE31" s="36">
        <f t="shared" si="58"/>
        <v>137.23398</v>
      </c>
      <c r="DF31" s="5">
        <f t="shared" si="59"/>
        <v>137.23398</v>
      </c>
      <c r="DG31" s="36">
        <f t="shared" si="60"/>
        <v>47.9002706</v>
      </c>
      <c r="DH31" s="5"/>
      <c r="DI31" s="36"/>
      <c r="DJ31" s="36">
        <f t="shared" si="61"/>
        <v>19058.98788</v>
      </c>
      <c r="DK31" s="5">
        <f t="shared" si="62"/>
        <v>19058.98788</v>
      </c>
      <c r="DL31" s="36">
        <f t="shared" si="63"/>
        <v>6652.3661036</v>
      </c>
      <c r="DM31" s="5"/>
      <c r="DN31" s="36"/>
      <c r="DO31" s="36">
        <f t="shared" si="64"/>
        <v>37.368</v>
      </c>
      <c r="DP31" s="5">
        <f t="shared" si="65"/>
        <v>37.368</v>
      </c>
      <c r="DQ31" s="36">
        <f t="shared" si="66"/>
        <v>13.04296</v>
      </c>
      <c r="DR31" s="5"/>
      <c r="DS31" s="36"/>
      <c r="DT31" s="36">
        <f t="shared" si="67"/>
        <v>174501.17982</v>
      </c>
      <c r="DU31" s="5">
        <f t="shared" si="68"/>
        <v>174501.17982</v>
      </c>
      <c r="DV31" s="36">
        <f t="shared" si="69"/>
        <v>60908.047215399994</v>
      </c>
      <c r="DW31" s="5"/>
      <c r="DX31" s="5"/>
      <c r="DY31" s="36">
        <f t="shared" si="70"/>
        <v>1274.4356400000001</v>
      </c>
      <c r="DZ31" s="36">
        <f t="shared" si="71"/>
        <v>1274.4356400000001</v>
      </c>
      <c r="EA31" s="36">
        <f t="shared" si="72"/>
        <v>444.8301508</v>
      </c>
      <c r="EB31" s="5"/>
      <c r="EC31" s="5"/>
      <c r="ED31" s="36"/>
      <c r="EE31" s="36">
        <f t="shared" si="73"/>
        <v>0</v>
      </c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11049</v>
      </c>
      <c r="C32" s="3">
        <v>8625000</v>
      </c>
      <c r="D32" s="3">
        <v>934200</v>
      </c>
      <c r="E32" s="35">
        <f t="shared" si="0"/>
        <v>9559200</v>
      </c>
      <c r="F32" s="35">
        <v>326074</v>
      </c>
      <c r="H32" s="36">
        <v>2725384</v>
      </c>
      <c r="I32" s="36">
        <v>295195</v>
      </c>
      <c r="J32" s="36">
        <f t="shared" si="1"/>
        <v>3020579</v>
      </c>
      <c r="K32" s="36">
        <f>'Academic Project '!K32</f>
        <v>103035.01460840002</v>
      </c>
      <c r="M32" s="36">
        <f>R32+W32+AB32+AG32+AL32+AQ32+AV32+BA32+BF32+BK32+BP32+BU32+BZ32+CE32+CJ32+CO32+CT32+CY32+DD32+DI32+DN32+DS32+DX32+EC32</f>
        <v>5899618.1625</v>
      </c>
      <c r="N32" s="35">
        <f t="shared" si="2"/>
        <v>639005.59854</v>
      </c>
      <c r="O32" s="36">
        <f t="shared" si="3"/>
        <v>6538623.761039999</v>
      </c>
      <c r="P32" s="35">
        <f t="shared" si="2"/>
        <v>223039.0832138</v>
      </c>
      <c r="R32" s="36">
        <f>C32*$S$7</f>
        <v>2110245.975</v>
      </c>
      <c r="S32" s="36">
        <f t="shared" si="4"/>
        <v>228567.16404</v>
      </c>
      <c r="T32" s="36">
        <f t="shared" si="5"/>
        <v>2338813.1390400003</v>
      </c>
      <c r="U32" s="36">
        <f t="shared" si="6"/>
        <v>79779.2864988</v>
      </c>
      <c r="W32" s="36">
        <f t="shared" si="74"/>
        <v>49101.2625</v>
      </c>
      <c r="X32" s="36">
        <f t="shared" si="7"/>
        <v>5318.30718</v>
      </c>
      <c r="Y32" s="36">
        <f t="shared" si="8"/>
        <v>54419.56968</v>
      </c>
      <c r="Z32" s="36">
        <f t="shared" si="9"/>
        <v>1856.3066746</v>
      </c>
      <c r="AB32" s="36">
        <f t="shared" si="75"/>
        <v>6536.025</v>
      </c>
      <c r="AC32" s="36">
        <f t="shared" si="10"/>
        <v>707.9367599999999</v>
      </c>
      <c r="AD32" s="36">
        <f t="shared" si="11"/>
        <v>7243.961759999999</v>
      </c>
      <c r="AE32" s="36">
        <f t="shared" si="12"/>
        <v>247.0988772</v>
      </c>
      <c r="AG32" s="36">
        <f t="shared" si="76"/>
        <v>172979.55</v>
      </c>
      <c r="AH32" s="36">
        <f t="shared" si="13"/>
        <v>18735.94152</v>
      </c>
      <c r="AI32" s="36">
        <f t="shared" si="14"/>
        <v>191715.49151999998</v>
      </c>
      <c r="AJ32" s="36">
        <f t="shared" si="15"/>
        <v>6539.6097144</v>
      </c>
      <c r="AL32" s="36">
        <f t="shared" si="77"/>
        <v>68051.25</v>
      </c>
      <c r="AM32" s="36">
        <f t="shared" si="16"/>
        <v>7370.838</v>
      </c>
      <c r="AN32" s="36">
        <f t="shared" si="17"/>
        <v>75422.088</v>
      </c>
      <c r="AO32" s="36">
        <f t="shared" si="18"/>
        <v>2572.7238599999996</v>
      </c>
      <c r="AQ32" s="36">
        <f t="shared" si="78"/>
        <v>24744.2625</v>
      </c>
      <c r="AR32" s="36">
        <f t="shared" si="19"/>
        <v>2680.12638</v>
      </c>
      <c r="AS32" s="36">
        <f t="shared" si="20"/>
        <v>27424.388880000002</v>
      </c>
      <c r="AT32" s="36">
        <f t="shared" si="21"/>
        <v>935.4736986</v>
      </c>
      <c r="AV32" s="36">
        <f t="shared" si="79"/>
        <v>179832.975</v>
      </c>
      <c r="AW32" s="36">
        <f t="shared" si="22"/>
        <v>19478.25684</v>
      </c>
      <c r="AX32" s="36">
        <f t="shared" si="23"/>
        <v>199311.23184</v>
      </c>
      <c r="AY32" s="36">
        <f t="shared" si="24"/>
        <v>6798.7081148</v>
      </c>
      <c r="BA32" s="36">
        <f t="shared" si="80"/>
        <v>24840.8625</v>
      </c>
      <c r="BB32" s="36">
        <f t="shared" si="25"/>
        <v>2690.5894200000002</v>
      </c>
      <c r="BC32" s="36">
        <f t="shared" si="26"/>
        <v>27531.45192</v>
      </c>
      <c r="BD32" s="36">
        <f t="shared" si="27"/>
        <v>939.1257274</v>
      </c>
      <c r="BF32" s="36">
        <f t="shared" si="81"/>
        <v>19932.375</v>
      </c>
      <c r="BG32" s="36">
        <f t="shared" si="28"/>
        <v>2158.9362</v>
      </c>
      <c r="BH32" s="36">
        <f t="shared" si="29"/>
        <v>22091.3112</v>
      </c>
      <c r="BI32" s="36">
        <f t="shared" si="30"/>
        <v>753.5570140000001</v>
      </c>
      <c r="BK32" s="36">
        <f t="shared" si="82"/>
        <v>11734.3125</v>
      </c>
      <c r="BL32" s="36">
        <f t="shared" si="31"/>
        <v>1270.9791</v>
      </c>
      <c r="BM32" s="5">
        <f t="shared" si="32"/>
        <v>13005.2916</v>
      </c>
      <c r="BN32" s="36">
        <f t="shared" si="33"/>
        <v>443.623677</v>
      </c>
      <c r="BP32" s="36">
        <f t="shared" si="83"/>
        <v>578606.4</v>
      </c>
      <c r="BQ32" s="36">
        <f t="shared" si="34"/>
        <v>62670.62016</v>
      </c>
      <c r="BR32" s="5">
        <f t="shared" si="35"/>
        <v>641277.0201600001</v>
      </c>
      <c r="BS32" s="36">
        <f t="shared" si="36"/>
        <v>21874.6090752</v>
      </c>
      <c r="BT32" s="5"/>
      <c r="BU32" s="36">
        <f t="shared" si="84"/>
        <v>6119.4375</v>
      </c>
      <c r="BV32" s="36">
        <f t="shared" si="37"/>
        <v>662.8149</v>
      </c>
      <c r="BW32" s="5">
        <f t="shared" si="38"/>
        <v>6782.2524</v>
      </c>
      <c r="BX32" s="36">
        <f t="shared" si="39"/>
        <v>231.349503</v>
      </c>
      <c r="BY32" s="5"/>
      <c r="BZ32" s="36">
        <f t="shared" si="85"/>
        <v>12689.9625</v>
      </c>
      <c r="CA32" s="36">
        <f t="shared" si="40"/>
        <v>1374.48846</v>
      </c>
      <c r="CB32" s="5">
        <f t="shared" si="41"/>
        <v>14064.45096</v>
      </c>
      <c r="CC32" s="36">
        <f t="shared" si="42"/>
        <v>479.7526762</v>
      </c>
      <c r="CD32" s="5"/>
      <c r="CE32" s="36">
        <f t="shared" si="86"/>
        <v>5954.7</v>
      </c>
      <c r="CF32" s="36">
        <f t="shared" si="43"/>
        <v>644.97168</v>
      </c>
      <c r="CG32" s="5">
        <f t="shared" si="44"/>
        <v>6599.6716799999995</v>
      </c>
      <c r="CH32" s="36">
        <f t="shared" si="45"/>
        <v>225.1214896</v>
      </c>
      <c r="CI32" s="5"/>
      <c r="CJ32" s="36">
        <f t="shared" si="87"/>
        <v>73027.875</v>
      </c>
      <c r="CK32" s="36">
        <f t="shared" si="46"/>
        <v>7909.871400000001</v>
      </c>
      <c r="CL32" s="5">
        <f t="shared" si="47"/>
        <v>80937.7464</v>
      </c>
      <c r="CM32" s="36">
        <f t="shared" si="48"/>
        <v>2760.868558</v>
      </c>
      <c r="CN32" s="5"/>
      <c r="CO32" s="36">
        <f t="shared" si="88"/>
        <v>16988.6625</v>
      </c>
      <c r="CP32" s="36">
        <f t="shared" si="49"/>
        <v>1840.09374</v>
      </c>
      <c r="CQ32" s="5">
        <f t="shared" si="50"/>
        <v>18828.75624</v>
      </c>
      <c r="CR32" s="36">
        <f t="shared" si="51"/>
        <v>642.2679578</v>
      </c>
      <c r="CS32" s="5"/>
      <c r="CT32" s="36">
        <f t="shared" si="89"/>
        <v>737634.15</v>
      </c>
      <c r="CU32" s="36">
        <f t="shared" si="52"/>
        <v>79895.39976</v>
      </c>
      <c r="CV32" s="5">
        <f t="shared" si="53"/>
        <v>817529.5497600001</v>
      </c>
      <c r="CW32" s="36">
        <f t="shared" si="54"/>
        <v>27886.761487199998</v>
      </c>
      <c r="CX32" s="5"/>
      <c r="CY32" s="36">
        <f t="shared" si="90"/>
        <v>175.95000000000002</v>
      </c>
      <c r="CZ32" s="36">
        <f t="shared" si="55"/>
        <v>19.05768</v>
      </c>
      <c r="DA32" s="5">
        <f t="shared" si="56"/>
        <v>195.00768000000002</v>
      </c>
      <c r="DB32" s="36">
        <f t="shared" si="57"/>
        <v>6.651909600000001</v>
      </c>
      <c r="DC32" s="5"/>
      <c r="DD32" s="36">
        <f>C32*$DE$7</f>
        <v>1267.0125</v>
      </c>
      <c r="DE32" s="36">
        <f t="shared" si="58"/>
        <v>137.23398</v>
      </c>
      <c r="DF32" s="5">
        <f t="shared" si="59"/>
        <v>1404.24648</v>
      </c>
      <c r="DG32" s="36">
        <f t="shared" si="60"/>
        <v>47.9002706</v>
      </c>
      <c r="DH32" s="5"/>
      <c r="DI32" s="36">
        <f>C32*$DJ$7</f>
        <v>175962.075</v>
      </c>
      <c r="DJ32" s="36">
        <f t="shared" si="61"/>
        <v>19058.98788</v>
      </c>
      <c r="DK32" s="5">
        <f t="shared" si="62"/>
        <v>195021.06288</v>
      </c>
      <c r="DL32" s="36">
        <f t="shared" si="63"/>
        <v>6652.3661036</v>
      </c>
      <c r="DM32" s="5"/>
      <c r="DN32" s="36">
        <f>C32*$DO$7</f>
        <v>345</v>
      </c>
      <c r="DO32" s="36">
        <f t="shared" si="64"/>
        <v>37.368</v>
      </c>
      <c r="DP32" s="5">
        <f t="shared" si="65"/>
        <v>382.368</v>
      </c>
      <c r="DQ32" s="36">
        <f t="shared" si="66"/>
        <v>13.04296</v>
      </c>
      <c r="DR32" s="5"/>
      <c r="DS32" s="36">
        <f>C32*$DT$7</f>
        <v>1611081.8624999998</v>
      </c>
      <c r="DT32" s="36">
        <f t="shared" si="67"/>
        <v>174501.17982</v>
      </c>
      <c r="DU32" s="5">
        <f t="shared" si="68"/>
        <v>1785583.0423199998</v>
      </c>
      <c r="DV32" s="36">
        <f t="shared" si="69"/>
        <v>60908.047215399994</v>
      </c>
      <c r="DW32" s="5"/>
      <c r="DX32" s="5">
        <f>C32*$DY$7</f>
        <v>11766.225</v>
      </c>
      <c r="DY32" s="36">
        <f t="shared" si="70"/>
        <v>1274.4356400000001</v>
      </c>
      <c r="DZ32" s="36">
        <f t="shared" si="71"/>
        <v>13040.66064</v>
      </c>
      <c r="EA32" s="36">
        <f t="shared" si="72"/>
        <v>444.8301508</v>
      </c>
      <c r="EB32" s="5"/>
      <c r="EC32" s="5"/>
      <c r="ED32" s="36"/>
      <c r="EE32" s="36">
        <f t="shared" si="73"/>
        <v>0</v>
      </c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11232</v>
      </c>
      <c r="D33" s="3">
        <v>761700</v>
      </c>
      <c r="E33" s="35">
        <f t="shared" si="0"/>
        <v>761700</v>
      </c>
      <c r="F33" s="35">
        <v>326074</v>
      </c>
      <c r="H33" s="36"/>
      <c r="I33" s="36">
        <v>240687</v>
      </c>
      <c r="J33" s="36">
        <f t="shared" si="1"/>
        <v>240687</v>
      </c>
      <c r="K33" s="36">
        <f>'Academic Project '!K33</f>
        <v>103035.01460840002</v>
      </c>
      <c r="M33" s="36"/>
      <c r="N33" s="35">
        <f t="shared" si="2"/>
        <v>521013.23529000004</v>
      </c>
      <c r="O33" s="36">
        <f t="shared" si="3"/>
        <v>521013.23529000004</v>
      </c>
      <c r="P33" s="35">
        <f t="shared" si="2"/>
        <v>223039.0832138</v>
      </c>
      <c r="R33" s="36"/>
      <c r="S33" s="36">
        <f t="shared" si="4"/>
        <v>186362.24454</v>
      </c>
      <c r="T33" s="36">
        <f t="shared" si="5"/>
        <v>186362.24454</v>
      </c>
      <c r="U33" s="36">
        <f t="shared" si="6"/>
        <v>79779.2864988</v>
      </c>
      <c r="W33" s="36"/>
      <c r="X33" s="36">
        <f t="shared" si="7"/>
        <v>4336.28193</v>
      </c>
      <c r="Y33" s="36">
        <f t="shared" si="8"/>
        <v>4336.28193</v>
      </c>
      <c r="Z33" s="36">
        <f t="shared" si="9"/>
        <v>1856.3066746</v>
      </c>
      <c r="AB33" s="36"/>
      <c r="AC33" s="36">
        <f t="shared" si="10"/>
        <v>577.21626</v>
      </c>
      <c r="AD33" s="36">
        <f t="shared" si="11"/>
        <v>577.21626</v>
      </c>
      <c r="AE33" s="36">
        <f t="shared" si="12"/>
        <v>247.0988772</v>
      </c>
      <c r="AG33" s="36"/>
      <c r="AH33" s="36">
        <f t="shared" si="13"/>
        <v>15276.35052</v>
      </c>
      <c r="AI33" s="36">
        <f t="shared" si="14"/>
        <v>15276.35052</v>
      </c>
      <c r="AJ33" s="36">
        <f t="shared" si="15"/>
        <v>6539.6097144</v>
      </c>
      <c r="AL33" s="36"/>
      <c r="AM33" s="36">
        <f t="shared" si="16"/>
        <v>6009.812999999999</v>
      </c>
      <c r="AN33" s="36">
        <f t="shared" si="17"/>
        <v>6009.812999999999</v>
      </c>
      <c r="AO33" s="36">
        <f t="shared" si="18"/>
        <v>2572.7238599999996</v>
      </c>
      <c r="AQ33" s="36"/>
      <c r="AR33" s="36">
        <f t="shared" si="19"/>
        <v>2185.2411300000003</v>
      </c>
      <c r="AS33" s="36">
        <f t="shared" si="20"/>
        <v>2185.2411300000003</v>
      </c>
      <c r="AT33" s="36">
        <f t="shared" si="21"/>
        <v>935.4736986</v>
      </c>
      <c r="AV33" s="36"/>
      <c r="AW33" s="36">
        <f t="shared" si="22"/>
        <v>15881.59734</v>
      </c>
      <c r="AX33" s="36">
        <f t="shared" si="23"/>
        <v>15881.59734</v>
      </c>
      <c r="AY33" s="36">
        <f t="shared" si="24"/>
        <v>6798.7081148</v>
      </c>
      <c r="BA33" s="36"/>
      <c r="BB33" s="36">
        <f t="shared" si="25"/>
        <v>2193.77217</v>
      </c>
      <c r="BC33" s="36">
        <f t="shared" si="26"/>
        <v>2193.77217</v>
      </c>
      <c r="BD33" s="36">
        <f t="shared" si="27"/>
        <v>939.1257274</v>
      </c>
      <c r="BF33" s="36"/>
      <c r="BG33" s="36">
        <f t="shared" si="28"/>
        <v>1760.2887</v>
      </c>
      <c r="BH33" s="36">
        <f t="shared" si="29"/>
        <v>1760.2887</v>
      </c>
      <c r="BI33" s="36">
        <f t="shared" si="30"/>
        <v>753.5570140000001</v>
      </c>
      <c r="BK33" s="36"/>
      <c r="BL33" s="36">
        <f t="shared" si="31"/>
        <v>1036.29285</v>
      </c>
      <c r="BM33" s="5">
        <f t="shared" si="32"/>
        <v>1036.29285</v>
      </c>
      <c r="BN33" s="36">
        <f t="shared" si="33"/>
        <v>443.623677</v>
      </c>
      <c r="BP33" s="36"/>
      <c r="BQ33" s="36">
        <f t="shared" si="34"/>
        <v>51098.49216</v>
      </c>
      <c r="BR33" s="5">
        <f t="shared" si="35"/>
        <v>51098.49216</v>
      </c>
      <c r="BS33" s="36">
        <f t="shared" si="36"/>
        <v>21874.6090752</v>
      </c>
      <c r="BT33" s="5"/>
      <c r="BU33" s="36"/>
      <c r="BV33" s="36">
        <f t="shared" si="37"/>
        <v>540.42615</v>
      </c>
      <c r="BW33" s="5">
        <f t="shared" si="38"/>
        <v>540.42615</v>
      </c>
      <c r="BX33" s="36">
        <f t="shared" si="39"/>
        <v>231.349503</v>
      </c>
      <c r="BY33" s="5"/>
      <c r="BZ33" s="36"/>
      <c r="CA33" s="36">
        <f t="shared" si="40"/>
        <v>1120.68921</v>
      </c>
      <c r="CB33" s="5">
        <f t="shared" si="41"/>
        <v>1120.68921</v>
      </c>
      <c r="CC33" s="36">
        <f t="shared" si="42"/>
        <v>479.7526762</v>
      </c>
      <c r="CD33" s="5"/>
      <c r="CE33" s="36"/>
      <c r="CF33" s="36">
        <f t="shared" si="43"/>
        <v>525.8776799999999</v>
      </c>
      <c r="CG33" s="5">
        <f t="shared" si="44"/>
        <v>525.8776799999999</v>
      </c>
      <c r="CH33" s="36">
        <f t="shared" si="45"/>
        <v>225.1214896</v>
      </c>
      <c r="CI33" s="5"/>
      <c r="CJ33" s="36"/>
      <c r="CK33" s="36">
        <f t="shared" si="46"/>
        <v>6449.3139</v>
      </c>
      <c r="CL33" s="5">
        <f t="shared" si="47"/>
        <v>6449.3139</v>
      </c>
      <c r="CM33" s="36">
        <f t="shared" si="48"/>
        <v>2760.868558</v>
      </c>
      <c r="CN33" s="5"/>
      <c r="CO33" s="36"/>
      <c r="CP33" s="36">
        <f t="shared" si="49"/>
        <v>1500.32049</v>
      </c>
      <c r="CQ33" s="5">
        <f t="shared" si="50"/>
        <v>1500.32049</v>
      </c>
      <c r="CR33" s="36">
        <f t="shared" si="51"/>
        <v>642.2679578</v>
      </c>
      <c r="CS33" s="5"/>
      <c r="CT33" s="36"/>
      <c r="CU33" s="36">
        <f t="shared" si="52"/>
        <v>65142.716759999996</v>
      </c>
      <c r="CV33" s="5">
        <f t="shared" si="53"/>
        <v>65142.716759999996</v>
      </c>
      <c r="CW33" s="36">
        <f t="shared" si="54"/>
        <v>27886.761487199998</v>
      </c>
      <c r="CX33" s="5"/>
      <c r="CY33" s="36"/>
      <c r="CZ33" s="36">
        <f t="shared" si="55"/>
        <v>15.538680000000001</v>
      </c>
      <c r="DA33" s="5">
        <f t="shared" si="56"/>
        <v>15.538680000000001</v>
      </c>
      <c r="DB33" s="36">
        <f t="shared" si="57"/>
        <v>6.651909600000001</v>
      </c>
      <c r="DC33" s="5"/>
      <c r="DD33" s="36"/>
      <c r="DE33" s="36">
        <f t="shared" si="58"/>
        <v>111.89372999999999</v>
      </c>
      <c r="DF33" s="5">
        <f t="shared" si="59"/>
        <v>111.89372999999999</v>
      </c>
      <c r="DG33" s="36">
        <f t="shared" si="60"/>
        <v>47.9002706</v>
      </c>
      <c r="DH33" s="5"/>
      <c r="DI33" s="36"/>
      <c r="DJ33" s="36">
        <f t="shared" si="61"/>
        <v>15539.74638</v>
      </c>
      <c r="DK33" s="5">
        <f t="shared" si="62"/>
        <v>15539.74638</v>
      </c>
      <c r="DL33" s="36">
        <f t="shared" si="63"/>
        <v>6652.3661036</v>
      </c>
      <c r="DM33" s="5"/>
      <c r="DN33" s="36"/>
      <c r="DO33" s="36">
        <f t="shared" si="64"/>
        <v>30.468000000000004</v>
      </c>
      <c r="DP33" s="5">
        <f t="shared" si="65"/>
        <v>30.468000000000004</v>
      </c>
      <c r="DQ33" s="36">
        <f t="shared" si="66"/>
        <v>13.04296</v>
      </c>
      <c r="DR33" s="5"/>
      <c r="DS33" s="36"/>
      <c r="DT33" s="36">
        <f t="shared" si="67"/>
        <v>142279.54257</v>
      </c>
      <c r="DU33" s="5">
        <f t="shared" si="68"/>
        <v>142279.54257</v>
      </c>
      <c r="DV33" s="36">
        <f t="shared" si="69"/>
        <v>60908.047215399994</v>
      </c>
      <c r="DW33" s="5"/>
      <c r="DX33" s="5"/>
      <c r="DY33" s="36">
        <f t="shared" si="70"/>
        <v>1039.11114</v>
      </c>
      <c r="DZ33" s="36">
        <f t="shared" si="71"/>
        <v>1039.11114</v>
      </c>
      <c r="EA33" s="36">
        <f t="shared" si="72"/>
        <v>444.8301508</v>
      </c>
      <c r="EB33" s="5"/>
      <c r="EC33" s="5"/>
      <c r="ED33" s="36"/>
      <c r="EE33" s="36">
        <f t="shared" si="73"/>
        <v>0</v>
      </c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11414</v>
      </c>
      <c r="C34" s="3">
        <v>8970000</v>
      </c>
      <c r="D34" s="3">
        <v>761700</v>
      </c>
      <c r="E34" s="35">
        <f t="shared" si="0"/>
        <v>9731700</v>
      </c>
      <c r="F34" s="35">
        <v>326074</v>
      </c>
      <c r="H34" s="36">
        <v>2834400</v>
      </c>
      <c r="I34" s="36">
        <v>240687</v>
      </c>
      <c r="J34" s="36">
        <f t="shared" si="1"/>
        <v>3075087</v>
      </c>
      <c r="K34" s="36">
        <f>'Academic Project '!K34</f>
        <v>103035.01460840002</v>
      </c>
      <c r="M34" s="36">
        <f>R34+W34+AB34+AG34+AL34+AQ34+AV34+BA34+BF34+BK34+BP34+BU34+BZ34+CE34+CJ34+CO34+CT34+CY34+DD34+DI34+DN34+DS34+DX34+EC34</f>
        <v>6135602.8889999995</v>
      </c>
      <c r="N34" s="35">
        <f t="shared" si="2"/>
        <v>521013.23529000004</v>
      </c>
      <c r="O34" s="36">
        <f t="shared" si="3"/>
        <v>6656616.12429</v>
      </c>
      <c r="P34" s="35">
        <f t="shared" si="2"/>
        <v>223039.0832138</v>
      </c>
      <c r="R34" s="36">
        <f>C34*$S$7</f>
        <v>2194655.814</v>
      </c>
      <c r="S34" s="36">
        <f t="shared" si="4"/>
        <v>186362.24454</v>
      </c>
      <c r="T34" s="36">
        <f t="shared" si="5"/>
        <v>2381018.0585399996</v>
      </c>
      <c r="U34" s="36">
        <f t="shared" si="6"/>
        <v>79779.2864988</v>
      </c>
      <c r="W34" s="36">
        <f t="shared" si="74"/>
        <v>51065.313</v>
      </c>
      <c r="X34" s="36">
        <f t="shared" si="7"/>
        <v>4336.28193</v>
      </c>
      <c r="Y34" s="36">
        <f t="shared" si="8"/>
        <v>55401.59493</v>
      </c>
      <c r="Z34" s="36">
        <f t="shared" si="9"/>
        <v>1856.3066746</v>
      </c>
      <c r="AB34" s="36">
        <f t="shared" si="75"/>
        <v>6797.466</v>
      </c>
      <c r="AC34" s="36">
        <f t="shared" si="10"/>
        <v>577.21626</v>
      </c>
      <c r="AD34" s="36">
        <f t="shared" si="11"/>
        <v>7374.6822600000005</v>
      </c>
      <c r="AE34" s="36">
        <f t="shared" si="12"/>
        <v>247.0988772</v>
      </c>
      <c r="AG34" s="36">
        <f t="shared" si="76"/>
        <v>179898.732</v>
      </c>
      <c r="AH34" s="36">
        <f t="shared" si="13"/>
        <v>15276.35052</v>
      </c>
      <c r="AI34" s="36">
        <f t="shared" si="14"/>
        <v>195175.08252</v>
      </c>
      <c r="AJ34" s="36">
        <f t="shared" si="15"/>
        <v>6539.6097144</v>
      </c>
      <c r="AL34" s="36">
        <f t="shared" si="77"/>
        <v>70773.29999999999</v>
      </c>
      <c r="AM34" s="36">
        <f t="shared" si="16"/>
        <v>6009.812999999999</v>
      </c>
      <c r="AN34" s="36">
        <f t="shared" si="17"/>
        <v>76783.11299999998</v>
      </c>
      <c r="AO34" s="36">
        <f t="shared" si="18"/>
        <v>2572.7238599999996</v>
      </c>
      <c r="AQ34" s="36">
        <f t="shared" si="78"/>
        <v>25734.033000000003</v>
      </c>
      <c r="AR34" s="36">
        <f t="shared" si="19"/>
        <v>2185.2411300000003</v>
      </c>
      <c r="AS34" s="36">
        <f t="shared" si="20"/>
        <v>27919.274130000005</v>
      </c>
      <c r="AT34" s="36">
        <f t="shared" si="21"/>
        <v>935.4736986</v>
      </c>
      <c r="AV34" s="36">
        <f t="shared" si="79"/>
        <v>187026.294</v>
      </c>
      <c r="AW34" s="36">
        <f t="shared" si="22"/>
        <v>15881.59734</v>
      </c>
      <c r="AX34" s="36">
        <f t="shared" si="23"/>
        <v>202907.89134</v>
      </c>
      <c r="AY34" s="36">
        <f t="shared" si="24"/>
        <v>6798.7081148</v>
      </c>
      <c r="BA34" s="36">
        <f t="shared" si="80"/>
        <v>25834.497</v>
      </c>
      <c r="BB34" s="36">
        <f t="shared" si="25"/>
        <v>2193.77217</v>
      </c>
      <c r="BC34" s="36">
        <f t="shared" si="26"/>
        <v>28028.26917</v>
      </c>
      <c r="BD34" s="36">
        <f t="shared" si="27"/>
        <v>939.1257274</v>
      </c>
      <c r="BF34" s="36">
        <f t="shared" si="81"/>
        <v>20729.670000000002</v>
      </c>
      <c r="BG34" s="36">
        <f t="shared" si="28"/>
        <v>1760.2887</v>
      </c>
      <c r="BH34" s="36">
        <f t="shared" si="29"/>
        <v>22489.958700000003</v>
      </c>
      <c r="BI34" s="36">
        <f t="shared" si="30"/>
        <v>753.5570140000001</v>
      </c>
      <c r="BK34" s="36">
        <f t="shared" si="82"/>
        <v>12203.685</v>
      </c>
      <c r="BL34" s="36">
        <f t="shared" si="31"/>
        <v>1036.29285</v>
      </c>
      <c r="BM34" s="5">
        <f t="shared" si="32"/>
        <v>13239.97785</v>
      </c>
      <c r="BN34" s="36">
        <f t="shared" si="33"/>
        <v>443.623677</v>
      </c>
      <c r="BP34" s="36">
        <f t="shared" si="83"/>
        <v>601750.656</v>
      </c>
      <c r="BQ34" s="36">
        <f t="shared" si="34"/>
        <v>51098.49216</v>
      </c>
      <c r="BR34" s="5">
        <f t="shared" si="35"/>
        <v>652849.14816</v>
      </c>
      <c r="BS34" s="36">
        <f t="shared" si="36"/>
        <v>21874.6090752</v>
      </c>
      <c r="BT34" s="5"/>
      <c r="BU34" s="36">
        <f t="shared" si="84"/>
        <v>6364.214999999999</v>
      </c>
      <c r="BV34" s="36">
        <f t="shared" si="37"/>
        <v>540.42615</v>
      </c>
      <c r="BW34" s="5">
        <f t="shared" si="38"/>
        <v>6904.6411499999995</v>
      </c>
      <c r="BX34" s="36">
        <f t="shared" si="39"/>
        <v>231.349503</v>
      </c>
      <c r="BY34" s="5"/>
      <c r="BZ34" s="36">
        <f t="shared" si="85"/>
        <v>13197.561</v>
      </c>
      <c r="CA34" s="36">
        <f t="shared" si="40"/>
        <v>1120.68921</v>
      </c>
      <c r="CB34" s="5">
        <f t="shared" si="41"/>
        <v>14318.25021</v>
      </c>
      <c r="CC34" s="36">
        <f t="shared" si="42"/>
        <v>479.7526762</v>
      </c>
      <c r="CD34" s="5"/>
      <c r="CE34" s="36">
        <f t="shared" si="86"/>
        <v>6192.888</v>
      </c>
      <c r="CF34" s="36">
        <f t="shared" si="43"/>
        <v>525.8776799999999</v>
      </c>
      <c r="CG34" s="5">
        <f t="shared" si="44"/>
        <v>6718.7656799999995</v>
      </c>
      <c r="CH34" s="36">
        <f t="shared" si="45"/>
        <v>225.1214896</v>
      </c>
      <c r="CI34" s="5"/>
      <c r="CJ34" s="36">
        <f t="shared" si="87"/>
        <v>75948.99</v>
      </c>
      <c r="CK34" s="36">
        <f t="shared" si="46"/>
        <v>6449.3139</v>
      </c>
      <c r="CL34" s="5">
        <f t="shared" si="47"/>
        <v>82398.3039</v>
      </c>
      <c r="CM34" s="36">
        <f t="shared" si="48"/>
        <v>2760.868558</v>
      </c>
      <c r="CN34" s="5"/>
      <c r="CO34" s="36">
        <f t="shared" si="88"/>
        <v>17668.209</v>
      </c>
      <c r="CP34" s="36">
        <f t="shared" si="49"/>
        <v>1500.32049</v>
      </c>
      <c r="CQ34" s="5">
        <f t="shared" si="50"/>
        <v>19168.52949</v>
      </c>
      <c r="CR34" s="36">
        <f t="shared" si="51"/>
        <v>642.2679578</v>
      </c>
      <c r="CS34" s="5"/>
      <c r="CT34" s="36">
        <f t="shared" si="89"/>
        <v>767139.516</v>
      </c>
      <c r="CU34" s="36">
        <f t="shared" si="52"/>
        <v>65142.716759999996</v>
      </c>
      <c r="CV34" s="5">
        <f t="shared" si="53"/>
        <v>832282.2327599999</v>
      </c>
      <c r="CW34" s="36">
        <f t="shared" si="54"/>
        <v>27886.761487199998</v>
      </c>
      <c r="CX34" s="5"/>
      <c r="CY34" s="36">
        <f t="shared" si="90"/>
        <v>182.988</v>
      </c>
      <c r="CZ34" s="36">
        <f t="shared" si="55"/>
        <v>15.538680000000001</v>
      </c>
      <c r="DA34" s="5">
        <f t="shared" si="56"/>
        <v>198.52668</v>
      </c>
      <c r="DB34" s="36">
        <f t="shared" si="57"/>
        <v>6.651909600000001</v>
      </c>
      <c r="DC34" s="5"/>
      <c r="DD34" s="36">
        <f>C34*$DE$7</f>
        <v>1317.693</v>
      </c>
      <c r="DE34" s="36">
        <f t="shared" si="58"/>
        <v>111.89372999999999</v>
      </c>
      <c r="DF34" s="5">
        <f t="shared" si="59"/>
        <v>1429.58673</v>
      </c>
      <c r="DG34" s="36">
        <f t="shared" si="60"/>
        <v>47.9002706</v>
      </c>
      <c r="DH34" s="5"/>
      <c r="DI34" s="36">
        <f>C34*$DJ$7</f>
        <v>183000.558</v>
      </c>
      <c r="DJ34" s="36">
        <f t="shared" si="61"/>
        <v>15539.74638</v>
      </c>
      <c r="DK34" s="5">
        <f t="shared" si="62"/>
        <v>198540.30438</v>
      </c>
      <c r="DL34" s="36">
        <f t="shared" si="63"/>
        <v>6652.3661036</v>
      </c>
      <c r="DM34" s="5"/>
      <c r="DN34" s="36">
        <f>C34*$DO$7</f>
        <v>358.8</v>
      </c>
      <c r="DO34" s="36">
        <f t="shared" si="64"/>
        <v>30.468000000000004</v>
      </c>
      <c r="DP34" s="5">
        <f t="shared" si="65"/>
        <v>389.26800000000003</v>
      </c>
      <c r="DQ34" s="36">
        <f t="shared" si="66"/>
        <v>13.04296</v>
      </c>
      <c r="DR34" s="5"/>
      <c r="DS34" s="36">
        <f>C34*$DT$7</f>
        <v>1675525.1369999999</v>
      </c>
      <c r="DT34" s="36">
        <f t="shared" si="67"/>
        <v>142279.54257</v>
      </c>
      <c r="DU34" s="5">
        <f t="shared" si="68"/>
        <v>1817804.67957</v>
      </c>
      <c r="DV34" s="36">
        <f t="shared" si="69"/>
        <v>60908.047215399994</v>
      </c>
      <c r="DW34" s="5"/>
      <c r="DX34" s="5">
        <f>C34*$DY$7</f>
        <v>12236.874000000002</v>
      </c>
      <c r="DY34" s="36">
        <f t="shared" si="70"/>
        <v>1039.11114</v>
      </c>
      <c r="DZ34" s="36">
        <f t="shared" si="71"/>
        <v>13275.98514</v>
      </c>
      <c r="EA34" s="36">
        <f t="shared" si="72"/>
        <v>444.8301508</v>
      </c>
      <c r="EB34" s="5"/>
      <c r="EC34" s="5"/>
      <c r="ED34" s="36"/>
      <c r="EE34" s="36">
        <f t="shared" si="73"/>
        <v>0</v>
      </c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11597</v>
      </c>
      <c r="D35" s="3">
        <v>582300</v>
      </c>
      <c r="E35" s="35">
        <f t="shared" si="0"/>
        <v>582300</v>
      </c>
      <c r="F35" s="35">
        <v>326074</v>
      </c>
      <c r="H35" s="36"/>
      <c r="I35" s="36">
        <v>183999</v>
      </c>
      <c r="J35" s="36">
        <f t="shared" si="1"/>
        <v>183999</v>
      </c>
      <c r="K35" s="36">
        <f>'Academic Project '!K35</f>
        <v>103035.01460840002</v>
      </c>
      <c r="M35" s="36"/>
      <c r="N35" s="35">
        <f t="shared" si="2"/>
        <v>398301.1775099999</v>
      </c>
      <c r="O35" s="36">
        <f t="shared" si="3"/>
        <v>398301.1775099999</v>
      </c>
      <c r="P35" s="35">
        <f t="shared" si="2"/>
        <v>223039.0832138</v>
      </c>
      <c r="R35" s="36"/>
      <c r="S35" s="36">
        <f t="shared" si="4"/>
        <v>142469.12826</v>
      </c>
      <c r="T35" s="36">
        <f t="shared" si="5"/>
        <v>142469.12826</v>
      </c>
      <c r="U35" s="36">
        <f t="shared" si="6"/>
        <v>79779.2864988</v>
      </c>
      <c r="W35" s="36"/>
      <c r="X35" s="36">
        <f t="shared" si="7"/>
        <v>3314.97567</v>
      </c>
      <c r="Y35" s="36">
        <f t="shared" si="8"/>
        <v>3314.97567</v>
      </c>
      <c r="Z35" s="36">
        <f t="shared" si="9"/>
        <v>1856.3066746</v>
      </c>
      <c r="AB35" s="36"/>
      <c r="AC35" s="36">
        <f t="shared" si="10"/>
        <v>441.26694</v>
      </c>
      <c r="AD35" s="36">
        <f t="shared" si="11"/>
        <v>441.26694</v>
      </c>
      <c r="AE35" s="36">
        <f t="shared" si="12"/>
        <v>247.0988772</v>
      </c>
      <c r="AG35" s="36"/>
      <c r="AH35" s="36">
        <f t="shared" si="13"/>
        <v>11678.37588</v>
      </c>
      <c r="AI35" s="36">
        <f t="shared" si="14"/>
        <v>11678.37588</v>
      </c>
      <c r="AJ35" s="36">
        <f t="shared" si="15"/>
        <v>6539.6097144</v>
      </c>
      <c r="AL35" s="36"/>
      <c r="AM35" s="36">
        <f t="shared" si="16"/>
        <v>4594.347</v>
      </c>
      <c r="AN35" s="36">
        <f t="shared" si="17"/>
        <v>4594.347</v>
      </c>
      <c r="AO35" s="36">
        <f t="shared" si="18"/>
        <v>2572.7238599999996</v>
      </c>
      <c r="AQ35" s="36"/>
      <c r="AR35" s="36">
        <f t="shared" si="19"/>
        <v>1670.5604700000001</v>
      </c>
      <c r="AS35" s="36">
        <f t="shared" si="20"/>
        <v>1670.5604700000001</v>
      </c>
      <c r="AT35" s="36">
        <f t="shared" si="21"/>
        <v>935.4736986</v>
      </c>
      <c r="AV35" s="36"/>
      <c r="AW35" s="36">
        <f t="shared" si="22"/>
        <v>12141.07146</v>
      </c>
      <c r="AX35" s="36">
        <f t="shared" si="23"/>
        <v>12141.07146</v>
      </c>
      <c r="AY35" s="36">
        <f t="shared" si="24"/>
        <v>6798.7081148</v>
      </c>
      <c r="BA35" s="36"/>
      <c r="BB35" s="36">
        <f t="shared" si="25"/>
        <v>1677.08223</v>
      </c>
      <c r="BC35" s="36">
        <f t="shared" si="26"/>
        <v>1677.08223</v>
      </c>
      <c r="BD35" s="36">
        <f t="shared" si="27"/>
        <v>939.1257274</v>
      </c>
      <c r="BF35" s="36"/>
      <c r="BG35" s="36">
        <f t="shared" si="28"/>
        <v>1345.6953</v>
      </c>
      <c r="BH35" s="36">
        <f t="shared" si="29"/>
        <v>1345.6953</v>
      </c>
      <c r="BI35" s="36">
        <f t="shared" si="30"/>
        <v>753.5570140000001</v>
      </c>
      <c r="BK35" s="36"/>
      <c r="BL35" s="36">
        <f t="shared" si="31"/>
        <v>792.21915</v>
      </c>
      <c r="BM35" s="5">
        <f t="shared" si="32"/>
        <v>792.21915</v>
      </c>
      <c r="BN35" s="36">
        <f t="shared" si="33"/>
        <v>443.623677</v>
      </c>
      <c r="BP35" s="36"/>
      <c r="BQ35" s="36">
        <f t="shared" si="34"/>
        <v>39063.47904</v>
      </c>
      <c r="BR35" s="5">
        <f t="shared" si="35"/>
        <v>39063.47904</v>
      </c>
      <c r="BS35" s="36">
        <f t="shared" si="36"/>
        <v>21874.6090752</v>
      </c>
      <c r="BT35" s="5"/>
      <c r="BU35" s="36"/>
      <c r="BV35" s="36">
        <f t="shared" si="37"/>
        <v>413.14185</v>
      </c>
      <c r="BW35" s="5">
        <f t="shared" si="38"/>
        <v>413.14185</v>
      </c>
      <c r="BX35" s="36">
        <f t="shared" si="39"/>
        <v>231.349503</v>
      </c>
      <c r="BY35" s="5"/>
      <c r="BZ35" s="36"/>
      <c r="CA35" s="36">
        <f t="shared" si="40"/>
        <v>856.73799</v>
      </c>
      <c r="CB35" s="5">
        <f t="shared" si="41"/>
        <v>856.73799</v>
      </c>
      <c r="CC35" s="36">
        <f t="shared" si="42"/>
        <v>479.7526762</v>
      </c>
      <c r="CD35" s="5"/>
      <c r="CE35" s="36"/>
      <c r="CF35" s="36">
        <f t="shared" si="43"/>
        <v>402.01992</v>
      </c>
      <c r="CG35" s="5">
        <f t="shared" si="44"/>
        <v>402.01992</v>
      </c>
      <c r="CH35" s="36">
        <f t="shared" si="45"/>
        <v>225.1214896</v>
      </c>
      <c r="CI35" s="5"/>
      <c r="CJ35" s="36"/>
      <c r="CK35" s="36">
        <f t="shared" si="46"/>
        <v>4930.3341</v>
      </c>
      <c r="CL35" s="5">
        <f t="shared" si="47"/>
        <v>4930.3341</v>
      </c>
      <c r="CM35" s="36">
        <f t="shared" si="48"/>
        <v>2760.868558</v>
      </c>
      <c r="CN35" s="5"/>
      <c r="CO35" s="36"/>
      <c r="CP35" s="36">
        <f t="shared" si="49"/>
        <v>1146.95631</v>
      </c>
      <c r="CQ35" s="5">
        <f t="shared" si="50"/>
        <v>1146.95631</v>
      </c>
      <c r="CR35" s="36">
        <f t="shared" si="51"/>
        <v>642.2679578</v>
      </c>
      <c r="CS35" s="5"/>
      <c r="CT35" s="36"/>
      <c r="CU35" s="36">
        <f t="shared" si="52"/>
        <v>49799.926439999996</v>
      </c>
      <c r="CV35" s="5">
        <f t="shared" si="53"/>
        <v>49799.926439999996</v>
      </c>
      <c r="CW35" s="36">
        <f t="shared" si="54"/>
        <v>27886.761487199998</v>
      </c>
      <c r="CX35" s="5"/>
      <c r="CY35" s="36"/>
      <c r="CZ35" s="36">
        <f t="shared" si="55"/>
        <v>11.87892</v>
      </c>
      <c r="DA35" s="5">
        <f t="shared" si="56"/>
        <v>11.87892</v>
      </c>
      <c r="DB35" s="36">
        <f t="shared" si="57"/>
        <v>6.651909600000001</v>
      </c>
      <c r="DC35" s="5"/>
      <c r="DD35" s="36"/>
      <c r="DE35" s="36">
        <f t="shared" si="58"/>
        <v>85.53987</v>
      </c>
      <c r="DF35" s="5">
        <f t="shared" si="59"/>
        <v>85.53987</v>
      </c>
      <c r="DG35" s="36">
        <f t="shared" si="60"/>
        <v>47.9002706</v>
      </c>
      <c r="DH35" s="5"/>
      <c r="DI35" s="36"/>
      <c r="DJ35" s="36">
        <f t="shared" si="61"/>
        <v>11879.73522</v>
      </c>
      <c r="DK35" s="5">
        <f t="shared" si="62"/>
        <v>11879.73522</v>
      </c>
      <c r="DL35" s="36">
        <f t="shared" si="63"/>
        <v>6652.3661036</v>
      </c>
      <c r="DM35" s="5"/>
      <c r="DN35" s="36"/>
      <c r="DO35" s="36">
        <f t="shared" si="64"/>
        <v>23.292</v>
      </c>
      <c r="DP35" s="5">
        <f t="shared" si="65"/>
        <v>23.292</v>
      </c>
      <c r="DQ35" s="36">
        <f t="shared" si="66"/>
        <v>13.04296</v>
      </c>
      <c r="DR35" s="5"/>
      <c r="DS35" s="36"/>
      <c r="DT35" s="36">
        <f t="shared" si="67"/>
        <v>108769.03983</v>
      </c>
      <c r="DU35" s="5">
        <f t="shared" si="68"/>
        <v>108769.03983</v>
      </c>
      <c r="DV35" s="36">
        <f t="shared" si="69"/>
        <v>60908.047215399994</v>
      </c>
      <c r="DW35" s="5"/>
      <c r="DX35" s="5"/>
      <c r="DY35" s="36">
        <f t="shared" si="70"/>
        <v>794.3736600000001</v>
      </c>
      <c r="DZ35" s="36">
        <f t="shared" si="71"/>
        <v>794.3736600000001</v>
      </c>
      <c r="EA35" s="36">
        <f t="shared" si="72"/>
        <v>444.8301508</v>
      </c>
      <c r="EB35" s="5"/>
      <c r="EC35" s="5"/>
      <c r="ED35" s="36"/>
      <c r="EE35" s="36">
        <f t="shared" si="73"/>
        <v>0</v>
      </c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11780</v>
      </c>
      <c r="C36" s="3">
        <v>9325000</v>
      </c>
      <c r="D36" s="3">
        <v>582300</v>
      </c>
      <c r="E36" s="35">
        <f t="shared" si="0"/>
        <v>9907300</v>
      </c>
      <c r="F36" s="35">
        <v>326074</v>
      </c>
      <c r="H36" s="36">
        <v>2946575</v>
      </c>
      <c r="I36" s="36">
        <v>183999</v>
      </c>
      <c r="J36" s="36">
        <f t="shared" si="1"/>
        <v>3130574</v>
      </c>
      <c r="K36" s="36">
        <f>'Academic Project '!K36</f>
        <v>103035.01460840002</v>
      </c>
      <c r="M36" s="36">
        <f>R36+W36+AB36+AG36+AL36+AQ36+AV36+BA36+BF36+BK36+BP36+BU36+BZ36+CE36+CJ36+CO36+CT36+CY36+DD36+DI36+DN36+DS36+DX36+EC36</f>
        <v>6378427.7525</v>
      </c>
      <c r="N36" s="35">
        <f t="shared" si="2"/>
        <v>398301.1775099999</v>
      </c>
      <c r="O36" s="36">
        <f t="shared" si="3"/>
        <v>6776728.93001</v>
      </c>
      <c r="P36" s="35">
        <f t="shared" si="2"/>
        <v>223039.0832138</v>
      </c>
      <c r="R36" s="36">
        <f>C36*$S$7</f>
        <v>2281512.315</v>
      </c>
      <c r="S36" s="36">
        <f t="shared" si="4"/>
        <v>142469.12826</v>
      </c>
      <c r="T36" s="36">
        <f t="shared" si="5"/>
        <v>2423981.44326</v>
      </c>
      <c r="U36" s="36">
        <f t="shared" si="6"/>
        <v>79779.2864988</v>
      </c>
      <c r="W36" s="36">
        <f t="shared" si="74"/>
        <v>53086.292499999996</v>
      </c>
      <c r="X36" s="36">
        <f t="shared" si="7"/>
        <v>3314.97567</v>
      </c>
      <c r="Y36" s="36">
        <f t="shared" si="8"/>
        <v>56401.268169999996</v>
      </c>
      <c r="Z36" s="36">
        <f t="shared" si="9"/>
        <v>1856.3066746</v>
      </c>
      <c r="AB36" s="36">
        <f t="shared" si="75"/>
        <v>7066.485</v>
      </c>
      <c r="AC36" s="36">
        <f t="shared" si="10"/>
        <v>441.26694</v>
      </c>
      <c r="AD36" s="36">
        <f t="shared" si="11"/>
        <v>7507.75194</v>
      </c>
      <c r="AE36" s="36">
        <f t="shared" si="12"/>
        <v>247.0988772</v>
      </c>
      <c r="AG36" s="36">
        <f t="shared" si="76"/>
        <v>187018.47</v>
      </c>
      <c r="AH36" s="36">
        <f t="shared" si="13"/>
        <v>11678.37588</v>
      </c>
      <c r="AI36" s="36">
        <f t="shared" si="14"/>
        <v>198696.84588</v>
      </c>
      <c r="AJ36" s="36">
        <f t="shared" si="15"/>
        <v>6539.6097144</v>
      </c>
      <c r="AL36" s="36">
        <f t="shared" si="77"/>
        <v>73574.25</v>
      </c>
      <c r="AM36" s="36">
        <f t="shared" si="16"/>
        <v>4594.347</v>
      </c>
      <c r="AN36" s="36">
        <f t="shared" si="17"/>
        <v>78168.597</v>
      </c>
      <c r="AO36" s="36">
        <f t="shared" si="18"/>
        <v>2572.7238599999996</v>
      </c>
      <c r="AQ36" s="36">
        <f t="shared" si="78"/>
        <v>26752.4925</v>
      </c>
      <c r="AR36" s="36">
        <f t="shared" si="19"/>
        <v>1670.5604700000001</v>
      </c>
      <c r="AS36" s="36">
        <f t="shared" si="20"/>
        <v>28423.05297</v>
      </c>
      <c r="AT36" s="36">
        <f t="shared" si="21"/>
        <v>935.4736986</v>
      </c>
      <c r="AV36" s="36">
        <f t="shared" si="79"/>
        <v>194428.115</v>
      </c>
      <c r="AW36" s="36">
        <f t="shared" si="22"/>
        <v>12141.07146</v>
      </c>
      <c r="AX36" s="36">
        <f t="shared" si="23"/>
        <v>206569.18646</v>
      </c>
      <c r="AY36" s="36">
        <f t="shared" si="24"/>
        <v>6798.7081148</v>
      </c>
      <c r="BA36" s="36">
        <f t="shared" si="80"/>
        <v>26856.9325</v>
      </c>
      <c r="BB36" s="36">
        <f t="shared" si="25"/>
        <v>1677.08223</v>
      </c>
      <c r="BC36" s="36">
        <f t="shared" si="26"/>
        <v>28534.01473</v>
      </c>
      <c r="BD36" s="36">
        <f t="shared" si="27"/>
        <v>939.1257274</v>
      </c>
      <c r="BF36" s="36">
        <f t="shared" si="81"/>
        <v>21550.075</v>
      </c>
      <c r="BG36" s="36">
        <f t="shared" si="28"/>
        <v>1345.6953</v>
      </c>
      <c r="BH36" s="36">
        <f t="shared" si="29"/>
        <v>22895.7703</v>
      </c>
      <c r="BI36" s="36">
        <f t="shared" si="30"/>
        <v>753.5570140000001</v>
      </c>
      <c r="BK36" s="36">
        <f t="shared" si="82"/>
        <v>12686.6625</v>
      </c>
      <c r="BL36" s="36">
        <f t="shared" si="31"/>
        <v>792.21915</v>
      </c>
      <c r="BM36" s="5">
        <f t="shared" si="32"/>
        <v>13478.881650000001</v>
      </c>
      <c r="BN36" s="36">
        <f t="shared" si="33"/>
        <v>443.623677</v>
      </c>
      <c r="BP36" s="36">
        <f t="shared" si="83"/>
        <v>625565.76</v>
      </c>
      <c r="BQ36" s="36">
        <f t="shared" si="34"/>
        <v>39063.47904</v>
      </c>
      <c r="BR36" s="5">
        <f t="shared" si="35"/>
        <v>664629.23904</v>
      </c>
      <c r="BS36" s="36">
        <f t="shared" si="36"/>
        <v>21874.6090752</v>
      </c>
      <c r="BT36" s="5"/>
      <c r="BU36" s="36">
        <f t="shared" si="84"/>
        <v>6616.0875</v>
      </c>
      <c r="BV36" s="36">
        <f t="shared" si="37"/>
        <v>413.14185</v>
      </c>
      <c r="BW36" s="5">
        <f t="shared" si="38"/>
        <v>7029.22935</v>
      </c>
      <c r="BX36" s="36">
        <f t="shared" si="39"/>
        <v>231.349503</v>
      </c>
      <c r="BY36" s="5"/>
      <c r="BZ36" s="36">
        <f t="shared" si="85"/>
        <v>13719.8725</v>
      </c>
      <c r="CA36" s="36">
        <f t="shared" si="40"/>
        <v>856.73799</v>
      </c>
      <c r="CB36" s="5">
        <f t="shared" si="41"/>
        <v>14576.61049</v>
      </c>
      <c r="CC36" s="36">
        <f t="shared" si="42"/>
        <v>479.7526762</v>
      </c>
      <c r="CD36" s="5"/>
      <c r="CE36" s="36">
        <f t="shared" si="86"/>
        <v>6437.98</v>
      </c>
      <c r="CF36" s="36">
        <f t="shared" si="43"/>
        <v>402.01992</v>
      </c>
      <c r="CG36" s="5">
        <f t="shared" si="44"/>
        <v>6839.999919999999</v>
      </c>
      <c r="CH36" s="36">
        <f t="shared" si="45"/>
        <v>225.1214896</v>
      </c>
      <c r="CI36" s="5"/>
      <c r="CJ36" s="36">
        <f t="shared" si="87"/>
        <v>78954.77500000001</v>
      </c>
      <c r="CK36" s="36">
        <f t="shared" si="46"/>
        <v>4930.3341</v>
      </c>
      <c r="CL36" s="5">
        <f t="shared" si="47"/>
        <v>83885.1091</v>
      </c>
      <c r="CM36" s="36">
        <f t="shared" si="48"/>
        <v>2760.868558</v>
      </c>
      <c r="CN36" s="5"/>
      <c r="CO36" s="36">
        <f t="shared" si="88"/>
        <v>18367.4525</v>
      </c>
      <c r="CP36" s="36">
        <f t="shared" si="49"/>
        <v>1146.95631</v>
      </c>
      <c r="CQ36" s="5">
        <f t="shared" si="50"/>
        <v>19514.40881</v>
      </c>
      <c r="CR36" s="36">
        <f t="shared" si="51"/>
        <v>642.2679578</v>
      </c>
      <c r="CS36" s="5"/>
      <c r="CT36" s="36">
        <f t="shared" si="89"/>
        <v>797500.11</v>
      </c>
      <c r="CU36" s="36">
        <f t="shared" si="52"/>
        <v>49799.926439999996</v>
      </c>
      <c r="CV36" s="5">
        <f t="shared" si="53"/>
        <v>847300.0364399999</v>
      </c>
      <c r="CW36" s="36">
        <f t="shared" si="54"/>
        <v>27886.761487199998</v>
      </c>
      <c r="CX36" s="5"/>
      <c r="CY36" s="36">
        <f t="shared" si="90"/>
        <v>190.23000000000002</v>
      </c>
      <c r="CZ36" s="36">
        <f t="shared" si="55"/>
        <v>11.87892</v>
      </c>
      <c r="DA36" s="5">
        <f t="shared" si="56"/>
        <v>202.10892</v>
      </c>
      <c r="DB36" s="36">
        <f t="shared" si="57"/>
        <v>6.651909600000001</v>
      </c>
      <c r="DC36" s="5"/>
      <c r="DD36" s="36">
        <f>C36*$DE$7</f>
        <v>1369.8425</v>
      </c>
      <c r="DE36" s="36">
        <f t="shared" si="58"/>
        <v>85.53987</v>
      </c>
      <c r="DF36" s="5">
        <f t="shared" si="59"/>
        <v>1455.38237</v>
      </c>
      <c r="DG36" s="36">
        <f t="shared" si="60"/>
        <v>47.9002706</v>
      </c>
      <c r="DH36" s="5"/>
      <c r="DI36" s="36">
        <f>C36*$DJ$7</f>
        <v>190243.055</v>
      </c>
      <c r="DJ36" s="36">
        <f t="shared" si="61"/>
        <v>11879.73522</v>
      </c>
      <c r="DK36" s="5">
        <f t="shared" si="62"/>
        <v>202122.79022</v>
      </c>
      <c r="DL36" s="36">
        <f t="shared" si="63"/>
        <v>6652.3661036</v>
      </c>
      <c r="DM36" s="5"/>
      <c r="DN36" s="36">
        <f>C36*$DO$7</f>
        <v>373.00000000000006</v>
      </c>
      <c r="DO36" s="36">
        <f t="shared" si="64"/>
        <v>23.292</v>
      </c>
      <c r="DP36" s="5">
        <f t="shared" si="65"/>
        <v>396.29200000000003</v>
      </c>
      <c r="DQ36" s="36">
        <f t="shared" si="66"/>
        <v>13.04296</v>
      </c>
      <c r="DR36" s="5"/>
      <c r="DS36" s="36">
        <f>C36*$DT$7</f>
        <v>1741836.3324999998</v>
      </c>
      <c r="DT36" s="36">
        <f t="shared" si="67"/>
        <v>108769.03983</v>
      </c>
      <c r="DU36" s="5">
        <f t="shared" si="68"/>
        <v>1850605.3723299997</v>
      </c>
      <c r="DV36" s="36">
        <f t="shared" si="69"/>
        <v>60908.047215399994</v>
      </c>
      <c r="DW36" s="5"/>
      <c r="DX36" s="5">
        <f>C36*$DY$7</f>
        <v>12721.165</v>
      </c>
      <c r="DY36" s="36">
        <f t="shared" si="70"/>
        <v>794.3736600000001</v>
      </c>
      <c r="DZ36" s="36">
        <f t="shared" si="71"/>
        <v>13515.53866</v>
      </c>
      <c r="EA36" s="36">
        <f t="shared" si="72"/>
        <v>444.8301508</v>
      </c>
      <c r="EB36" s="5"/>
      <c r="EC36" s="5"/>
      <c r="ED36" s="36"/>
      <c r="EE36" s="36">
        <f t="shared" si="73"/>
        <v>0</v>
      </c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11963</v>
      </c>
      <c r="D37" s="3">
        <v>395800</v>
      </c>
      <c r="E37" s="35">
        <f t="shared" si="0"/>
        <v>395800</v>
      </c>
      <c r="F37" s="35">
        <v>326074</v>
      </c>
      <c r="H37" s="36"/>
      <c r="I37" s="36">
        <v>125067</v>
      </c>
      <c r="J37" s="36">
        <f t="shared" si="1"/>
        <v>125067</v>
      </c>
      <c r="K37" s="36">
        <f>'Academic Project '!K37</f>
        <v>103035.01460840002</v>
      </c>
      <c r="M37" s="36"/>
      <c r="N37" s="35">
        <f t="shared" si="2"/>
        <v>270732.62246</v>
      </c>
      <c r="O37" s="36">
        <f t="shared" si="3"/>
        <v>270732.62246</v>
      </c>
      <c r="P37" s="35">
        <f t="shared" si="2"/>
        <v>223039.0832138</v>
      </c>
      <c r="R37" s="36"/>
      <c r="S37" s="36">
        <f t="shared" si="4"/>
        <v>96838.88196</v>
      </c>
      <c r="T37" s="36">
        <f t="shared" si="5"/>
        <v>96838.88196</v>
      </c>
      <c r="U37" s="36">
        <f t="shared" si="6"/>
        <v>79779.2864988</v>
      </c>
      <c r="W37" s="36"/>
      <c r="X37" s="36">
        <f t="shared" si="7"/>
        <v>2253.24982</v>
      </c>
      <c r="Y37" s="36">
        <f t="shared" si="8"/>
        <v>2253.24982</v>
      </c>
      <c r="Z37" s="36">
        <f t="shared" si="9"/>
        <v>1856.3066746</v>
      </c>
      <c r="AB37" s="36"/>
      <c r="AC37" s="36">
        <f t="shared" si="10"/>
        <v>299.93724</v>
      </c>
      <c r="AD37" s="36">
        <f t="shared" si="11"/>
        <v>299.93724</v>
      </c>
      <c r="AE37" s="36">
        <f t="shared" si="12"/>
        <v>247.0988772</v>
      </c>
      <c r="AG37" s="36"/>
      <c r="AH37" s="36">
        <f t="shared" si="13"/>
        <v>7938.00648</v>
      </c>
      <c r="AI37" s="36">
        <f t="shared" si="14"/>
        <v>7938.00648</v>
      </c>
      <c r="AJ37" s="36">
        <f t="shared" si="15"/>
        <v>6539.6097144</v>
      </c>
      <c r="AL37" s="36"/>
      <c r="AM37" s="36">
        <f t="shared" si="16"/>
        <v>3122.8619999999996</v>
      </c>
      <c r="AN37" s="36">
        <f t="shared" si="17"/>
        <v>3122.8619999999996</v>
      </c>
      <c r="AO37" s="36">
        <f t="shared" si="18"/>
        <v>2572.7238599999996</v>
      </c>
      <c r="AQ37" s="36"/>
      <c r="AR37" s="36">
        <f t="shared" si="19"/>
        <v>1135.51062</v>
      </c>
      <c r="AS37" s="36">
        <f t="shared" si="20"/>
        <v>1135.51062</v>
      </c>
      <c r="AT37" s="36">
        <f t="shared" si="21"/>
        <v>935.4736986</v>
      </c>
      <c r="AV37" s="36"/>
      <c r="AW37" s="36">
        <f t="shared" si="22"/>
        <v>8252.50916</v>
      </c>
      <c r="AX37" s="36">
        <f t="shared" si="23"/>
        <v>8252.50916</v>
      </c>
      <c r="AY37" s="36">
        <f t="shared" si="24"/>
        <v>6798.7081148</v>
      </c>
      <c r="BA37" s="36"/>
      <c r="BB37" s="36">
        <f t="shared" si="25"/>
        <v>1139.94358</v>
      </c>
      <c r="BC37" s="36">
        <f t="shared" si="26"/>
        <v>1139.94358</v>
      </c>
      <c r="BD37" s="36">
        <f t="shared" si="27"/>
        <v>939.1257274</v>
      </c>
      <c r="BF37" s="36"/>
      <c r="BG37" s="36">
        <f t="shared" si="28"/>
        <v>914.6938</v>
      </c>
      <c r="BH37" s="36">
        <f t="shared" si="29"/>
        <v>914.6938</v>
      </c>
      <c r="BI37" s="36">
        <f t="shared" si="30"/>
        <v>753.5570140000001</v>
      </c>
      <c r="BK37" s="36"/>
      <c r="BL37" s="36">
        <f t="shared" si="31"/>
        <v>538.4859</v>
      </c>
      <c r="BM37" s="5">
        <f t="shared" si="32"/>
        <v>538.4859</v>
      </c>
      <c r="BN37" s="36">
        <f t="shared" si="33"/>
        <v>443.623677</v>
      </c>
      <c r="BP37" s="36"/>
      <c r="BQ37" s="36">
        <f t="shared" si="34"/>
        <v>26552.16384</v>
      </c>
      <c r="BR37" s="5">
        <f t="shared" si="35"/>
        <v>26552.16384</v>
      </c>
      <c r="BS37" s="36">
        <f t="shared" si="36"/>
        <v>21874.6090752</v>
      </c>
      <c r="BT37" s="5"/>
      <c r="BU37" s="36"/>
      <c r="BV37" s="36">
        <f t="shared" si="37"/>
        <v>280.82009999999997</v>
      </c>
      <c r="BW37" s="5">
        <f t="shared" si="38"/>
        <v>280.82009999999997</v>
      </c>
      <c r="BX37" s="36">
        <f t="shared" si="39"/>
        <v>231.349503</v>
      </c>
      <c r="BY37" s="5"/>
      <c r="BZ37" s="36"/>
      <c r="CA37" s="36">
        <f t="shared" si="40"/>
        <v>582.34054</v>
      </c>
      <c r="CB37" s="5">
        <f t="shared" si="41"/>
        <v>582.34054</v>
      </c>
      <c r="CC37" s="36">
        <f t="shared" si="42"/>
        <v>479.7526762</v>
      </c>
      <c r="CD37" s="5"/>
      <c r="CE37" s="36"/>
      <c r="CF37" s="36">
        <f t="shared" si="43"/>
        <v>273.26032</v>
      </c>
      <c r="CG37" s="5">
        <f t="shared" si="44"/>
        <v>273.26032</v>
      </c>
      <c r="CH37" s="36">
        <f t="shared" si="45"/>
        <v>225.1214896</v>
      </c>
      <c r="CI37" s="5"/>
      <c r="CJ37" s="36"/>
      <c r="CK37" s="36">
        <f t="shared" si="46"/>
        <v>3351.2386</v>
      </c>
      <c r="CL37" s="5">
        <f t="shared" si="47"/>
        <v>3351.2386</v>
      </c>
      <c r="CM37" s="36">
        <f t="shared" si="48"/>
        <v>2760.868558</v>
      </c>
      <c r="CN37" s="5"/>
      <c r="CO37" s="36"/>
      <c r="CP37" s="36">
        <f t="shared" si="49"/>
        <v>779.60726</v>
      </c>
      <c r="CQ37" s="5">
        <f t="shared" si="50"/>
        <v>779.60726</v>
      </c>
      <c r="CR37" s="36">
        <f t="shared" si="51"/>
        <v>642.2679578</v>
      </c>
      <c r="CS37" s="5"/>
      <c r="CT37" s="36"/>
      <c r="CU37" s="36">
        <f t="shared" si="52"/>
        <v>33849.92424</v>
      </c>
      <c r="CV37" s="5">
        <f t="shared" si="53"/>
        <v>33849.92424</v>
      </c>
      <c r="CW37" s="36">
        <f t="shared" si="54"/>
        <v>27886.761487199998</v>
      </c>
      <c r="CX37" s="5"/>
      <c r="CY37" s="36"/>
      <c r="CZ37" s="36">
        <f t="shared" si="55"/>
        <v>8.07432</v>
      </c>
      <c r="DA37" s="5">
        <f t="shared" si="56"/>
        <v>8.07432</v>
      </c>
      <c r="DB37" s="36">
        <f t="shared" si="57"/>
        <v>6.651909600000001</v>
      </c>
      <c r="DC37" s="5"/>
      <c r="DD37" s="36"/>
      <c r="DE37" s="36">
        <f t="shared" si="58"/>
        <v>58.14302</v>
      </c>
      <c r="DF37" s="5">
        <f t="shared" si="59"/>
        <v>58.14302</v>
      </c>
      <c r="DG37" s="36">
        <f t="shared" si="60"/>
        <v>47.9002706</v>
      </c>
      <c r="DH37" s="5"/>
      <c r="DI37" s="36"/>
      <c r="DJ37" s="36">
        <f t="shared" si="61"/>
        <v>8074.87412</v>
      </c>
      <c r="DK37" s="5">
        <f t="shared" si="62"/>
        <v>8074.87412</v>
      </c>
      <c r="DL37" s="36">
        <f t="shared" si="63"/>
        <v>6652.3661036</v>
      </c>
      <c r="DM37" s="5"/>
      <c r="DN37" s="36"/>
      <c r="DO37" s="36">
        <f t="shared" si="64"/>
        <v>15.832</v>
      </c>
      <c r="DP37" s="5">
        <f t="shared" si="65"/>
        <v>15.832</v>
      </c>
      <c r="DQ37" s="36">
        <f t="shared" si="66"/>
        <v>13.04296</v>
      </c>
      <c r="DR37" s="5"/>
      <c r="DS37" s="36"/>
      <c r="DT37" s="36">
        <f t="shared" si="67"/>
        <v>73932.31318</v>
      </c>
      <c r="DU37" s="5">
        <f t="shared" si="68"/>
        <v>73932.31318</v>
      </c>
      <c r="DV37" s="36">
        <f t="shared" si="69"/>
        <v>60908.047215399994</v>
      </c>
      <c r="DW37" s="5"/>
      <c r="DX37" s="5"/>
      <c r="DY37" s="36">
        <f t="shared" si="70"/>
        <v>539.95036</v>
      </c>
      <c r="DZ37" s="36">
        <f t="shared" si="71"/>
        <v>539.95036</v>
      </c>
      <c r="EA37" s="36">
        <f t="shared" si="72"/>
        <v>444.8301508</v>
      </c>
      <c r="EB37" s="5"/>
      <c r="EC37" s="5"/>
      <c r="ED37" s="36"/>
      <c r="EE37" s="36">
        <f t="shared" si="73"/>
        <v>0</v>
      </c>
      <c r="EF37" s="36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2.75">
      <c r="A38" s="37">
        <v>12145</v>
      </c>
      <c r="C38" s="3">
        <v>9700000</v>
      </c>
      <c r="D38" s="3">
        <v>395800</v>
      </c>
      <c r="E38" s="35">
        <f t="shared" si="0"/>
        <v>10095800</v>
      </c>
      <c r="F38" s="35">
        <v>326074</v>
      </c>
      <c r="H38" s="36">
        <v>3065070</v>
      </c>
      <c r="I38" s="36">
        <v>125067</v>
      </c>
      <c r="J38" s="36">
        <f t="shared" si="1"/>
        <v>3190137</v>
      </c>
      <c r="K38" s="36">
        <f>'Academic Project '!K38</f>
        <v>103035.01460840002</v>
      </c>
      <c r="M38" s="36">
        <f>R38+W38+AB38+AG38+AL38+AQ38+AV38+BA38+BF38+BK38+BP38+BU38+BZ38+CE38+CJ38+CO38+CT38+CY38+DD38+DI38+DN38+DS38+DX38+EC38</f>
        <v>6634932.89</v>
      </c>
      <c r="N38" s="35">
        <f t="shared" si="2"/>
        <v>270732.62246</v>
      </c>
      <c r="O38" s="36">
        <f t="shared" si="3"/>
        <v>6905665.51246</v>
      </c>
      <c r="P38" s="35">
        <f t="shared" si="2"/>
        <v>223039.0832138</v>
      </c>
      <c r="R38" s="36">
        <f>C38*$S$7</f>
        <v>2373262.14</v>
      </c>
      <c r="S38" s="36">
        <f t="shared" si="4"/>
        <v>96838.88196</v>
      </c>
      <c r="T38" s="36">
        <f t="shared" si="5"/>
        <v>2470101.02196</v>
      </c>
      <c r="U38" s="36">
        <f t="shared" si="6"/>
        <v>79779.2864988</v>
      </c>
      <c r="W38" s="36">
        <f t="shared" si="74"/>
        <v>55221.13</v>
      </c>
      <c r="X38" s="36">
        <f t="shared" si="7"/>
        <v>2253.24982</v>
      </c>
      <c r="Y38" s="36">
        <f t="shared" si="8"/>
        <v>57474.379819999995</v>
      </c>
      <c r="Z38" s="36">
        <f t="shared" si="9"/>
        <v>1856.3066746</v>
      </c>
      <c r="AB38" s="36">
        <f t="shared" si="75"/>
        <v>7350.66</v>
      </c>
      <c r="AC38" s="36">
        <f t="shared" si="10"/>
        <v>299.93724</v>
      </c>
      <c r="AD38" s="36">
        <f t="shared" si="11"/>
        <v>7650.59724</v>
      </c>
      <c r="AE38" s="36">
        <f t="shared" si="12"/>
        <v>247.0988772</v>
      </c>
      <c r="AG38" s="36">
        <f t="shared" si="76"/>
        <v>194539.32</v>
      </c>
      <c r="AH38" s="36">
        <f t="shared" si="13"/>
        <v>7938.00648</v>
      </c>
      <c r="AI38" s="36">
        <f t="shared" si="14"/>
        <v>202477.32648000002</v>
      </c>
      <c r="AJ38" s="36">
        <f t="shared" si="15"/>
        <v>6539.6097144</v>
      </c>
      <c r="AL38" s="36">
        <f t="shared" si="77"/>
        <v>76533</v>
      </c>
      <c r="AM38" s="36">
        <f t="shared" si="16"/>
        <v>3122.8619999999996</v>
      </c>
      <c r="AN38" s="36">
        <f t="shared" si="17"/>
        <v>79655.862</v>
      </c>
      <c r="AO38" s="36">
        <f t="shared" si="18"/>
        <v>2572.7238599999996</v>
      </c>
      <c r="AQ38" s="36">
        <f t="shared" si="78"/>
        <v>27828.33</v>
      </c>
      <c r="AR38" s="36">
        <f t="shared" si="19"/>
        <v>1135.51062</v>
      </c>
      <c r="AS38" s="36">
        <f t="shared" si="20"/>
        <v>28963.840620000003</v>
      </c>
      <c r="AT38" s="36">
        <f t="shared" si="21"/>
        <v>935.4736986</v>
      </c>
      <c r="AV38" s="36">
        <f t="shared" si="79"/>
        <v>202246.94</v>
      </c>
      <c r="AW38" s="36">
        <f t="shared" si="22"/>
        <v>8252.50916</v>
      </c>
      <c r="AX38" s="36">
        <f t="shared" si="23"/>
        <v>210499.44916</v>
      </c>
      <c r="AY38" s="36">
        <f t="shared" si="24"/>
        <v>6798.7081148</v>
      </c>
      <c r="BA38" s="36">
        <f t="shared" si="80"/>
        <v>27936.97</v>
      </c>
      <c r="BB38" s="36">
        <f t="shared" si="25"/>
        <v>1139.94358</v>
      </c>
      <c r="BC38" s="36">
        <f t="shared" si="26"/>
        <v>29076.91358</v>
      </c>
      <c r="BD38" s="36">
        <f t="shared" si="27"/>
        <v>939.1257274</v>
      </c>
      <c r="BF38" s="36">
        <f t="shared" si="81"/>
        <v>22416.7</v>
      </c>
      <c r="BG38" s="36">
        <f t="shared" si="28"/>
        <v>914.6938</v>
      </c>
      <c r="BH38" s="36">
        <f t="shared" si="29"/>
        <v>23331.3938</v>
      </c>
      <c r="BI38" s="36">
        <f t="shared" si="30"/>
        <v>753.5570140000001</v>
      </c>
      <c r="BK38" s="36">
        <f t="shared" si="82"/>
        <v>13196.85</v>
      </c>
      <c r="BL38" s="36">
        <f t="shared" si="31"/>
        <v>538.4859</v>
      </c>
      <c r="BM38" s="5">
        <f t="shared" si="32"/>
        <v>13735.3359</v>
      </c>
      <c r="BN38" s="36">
        <f t="shared" si="33"/>
        <v>443.623677</v>
      </c>
      <c r="BP38" s="36">
        <f t="shared" si="83"/>
        <v>650722.56</v>
      </c>
      <c r="BQ38" s="36">
        <f t="shared" si="34"/>
        <v>26552.16384</v>
      </c>
      <c r="BR38" s="5">
        <f t="shared" si="35"/>
        <v>677274.7238400001</v>
      </c>
      <c r="BS38" s="36">
        <f t="shared" si="36"/>
        <v>21874.6090752</v>
      </c>
      <c r="BT38" s="5"/>
      <c r="BU38" s="36">
        <f t="shared" si="84"/>
        <v>6882.15</v>
      </c>
      <c r="BV38" s="36">
        <f t="shared" si="37"/>
        <v>280.82009999999997</v>
      </c>
      <c r="BW38" s="5">
        <f t="shared" si="38"/>
        <v>7162.9701</v>
      </c>
      <c r="BX38" s="36">
        <f t="shared" si="39"/>
        <v>231.349503</v>
      </c>
      <c r="BY38" s="5"/>
      <c r="BZ38" s="36">
        <f t="shared" si="85"/>
        <v>14271.61</v>
      </c>
      <c r="CA38" s="36">
        <f t="shared" si="40"/>
        <v>582.34054</v>
      </c>
      <c r="CB38" s="5">
        <f t="shared" si="41"/>
        <v>14853.95054</v>
      </c>
      <c r="CC38" s="36">
        <f t="shared" si="42"/>
        <v>479.7526762</v>
      </c>
      <c r="CD38" s="5"/>
      <c r="CE38" s="36">
        <f t="shared" si="86"/>
        <v>6696.88</v>
      </c>
      <c r="CF38" s="36">
        <f t="shared" si="43"/>
        <v>273.26032</v>
      </c>
      <c r="CG38" s="5">
        <f t="shared" si="44"/>
        <v>6970.14032</v>
      </c>
      <c r="CH38" s="36">
        <f t="shared" si="45"/>
        <v>225.1214896</v>
      </c>
      <c r="CI38" s="5"/>
      <c r="CJ38" s="36">
        <f t="shared" si="87"/>
        <v>82129.90000000001</v>
      </c>
      <c r="CK38" s="36">
        <f t="shared" si="46"/>
        <v>3351.2386</v>
      </c>
      <c r="CL38" s="5">
        <f t="shared" si="47"/>
        <v>85481.1386</v>
      </c>
      <c r="CM38" s="36">
        <f t="shared" si="48"/>
        <v>2760.868558</v>
      </c>
      <c r="CN38" s="5"/>
      <c r="CO38" s="36">
        <f t="shared" si="88"/>
        <v>19106.09</v>
      </c>
      <c r="CP38" s="36">
        <f t="shared" si="49"/>
        <v>779.60726</v>
      </c>
      <c r="CQ38" s="5">
        <f t="shared" si="50"/>
        <v>19885.69726</v>
      </c>
      <c r="CR38" s="36">
        <f t="shared" si="51"/>
        <v>642.2679578</v>
      </c>
      <c r="CS38" s="5"/>
      <c r="CT38" s="36">
        <f t="shared" si="89"/>
        <v>829571.1599999999</v>
      </c>
      <c r="CU38" s="36">
        <f t="shared" si="52"/>
        <v>33849.92424</v>
      </c>
      <c r="CV38" s="5">
        <f t="shared" si="53"/>
        <v>863421.0842399999</v>
      </c>
      <c r="CW38" s="36">
        <f t="shared" si="54"/>
        <v>27886.761487199998</v>
      </c>
      <c r="CX38" s="5"/>
      <c r="CY38" s="36">
        <f t="shared" si="90"/>
        <v>197.88000000000002</v>
      </c>
      <c r="CZ38" s="36">
        <f t="shared" si="55"/>
        <v>8.07432</v>
      </c>
      <c r="DA38" s="5">
        <f t="shared" si="56"/>
        <v>205.95432000000002</v>
      </c>
      <c r="DB38" s="36">
        <f t="shared" si="57"/>
        <v>6.651909600000001</v>
      </c>
      <c r="DC38" s="5"/>
      <c r="DD38" s="36">
        <f>C38*$DE$7</f>
        <v>1424.9299999999998</v>
      </c>
      <c r="DE38" s="36">
        <f t="shared" si="58"/>
        <v>58.14302</v>
      </c>
      <c r="DF38" s="5">
        <f t="shared" si="59"/>
        <v>1483.0730199999998</v>
      </c>
      <c r="DG38" s="36">
        <f t="shared" si="60"/>
        <v>47.9002706</v>
      </c>
      <c r="DH38" s="5"/>
      <c r="DI38" s="36">
        <f>C38*$DJ$7</f>
        <v>197893.58</v>
      </c>
      <c r="DJ38" s="36">
        <f t="shared" si="61"/>
        <v>8074.87412</v>
      </c>
      <c r="DK38" s="5">
        <f t="shared" si="62"/>
        <v>205968.45411999998</v>
      </c>
      <c r="DL38" s="36">
        <f t="shared" si="63"/>
        <v>6652.3661036</v>
      </c>
      <c r="DM38" s="5"/>
      <c r="DN38" s="36">
        <f>C38*$DO$7</f>
        <v>388.00000000000006</v>
      </c>
      <c r="DO38" s="36">
        <f t="shared" si="64"/>
        <v>15.832</v>
      </c>
      <c r="DP38" s="5">
        <f t="shared" si="65"/>
        <v>403.83200000000005</v>
      </c>
      <c r="DQ38" s="36">
        <f t="shared" si="66"/>
        <v>13.04296</v>
      </c>
      <c r="DR38" s="5"/>
      <c r="DS38" s="36">
        <f>C38*$DT$7</f>
        <v>1811883.3699999999</v>
      </c>
      <c r="DT38" s="36">
        <f t="shared" si="67"/>
        <v>73932.31318</v>
      </c>
      <c r="DU38" s="5">
        <f t="shared" si="68"/>
        <v>1885815.68318</v>
      </c>
      <c r="DV38" s="36">
        <f t="shared" si="69"/>
        <v>60908.047215399994</v>
      </c>
      <c r="DW38" s="5"/>
      <c r="DX38" s="5">
        <f>C38*$DY$7</f>
        <v>13232.740000000002</v>
      </c>
      <c r="DY38" s="36">
        <f t="shared" si="70"/>
        <v>539.95036</v>
      </c>
      <c r="DZ38" s="36">
        <f t="shared" si="71"/>
        <v>13772.690360000002</v>
      </c>
      <c r="EA38" s="36">
        <f t="shared" si="72"/>
        <v>444.8301508</v>
      </c>
      <c r="EB38" s="5"/>
      <c r="EC38" s="5"/>
      <c r="ED38" s="36"/>
      <c r="EE38" s="36">
        <f t="shared" si="73"/>
        <v>0</v>
      </c>
      <c r="EF38" s="36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2.75">
      <c r="A39" s="37">
        <v>12328</v>
      </c>
      <c r="D39" s="3">
        <v>201800</v>
      </c>
      <c r="E39" s="35">
        <f t="shared" si="0"/>
        <v>201800</v>
      </c>
      <c r="F39" s="35">
        <v>326074</v>
      </c>
      <c r="H39" s="36"/>
      <c r="I39" s="36">
        <v>63766</v>
      </c>
      <c r="J39" s="36">
        <f t="shared" si="1"/>
        <v>63766</v>
      </c>
      <c r="K39" s="36">
        <f>'Academic Project '!K39</f>
        <v>103035.01460840002</v>
      </c>
      <c r="M39" s="36"/>
      <c r="N39" s="35">
        <f t="shared" si="2"/>
        <v>138033.96465999997</v>
      </c>
      <c r="O39" s="36">
        <f t="shared" si="3"/>
        <v>138033.96465999997</v>
      </c>
      <c r="P39" s="35">
        <f t="shared" si="2"/>
        <v>223039.0832138</v>
      </c>
      <c r="R39" s="36"/>
      <c r="S39" s="36">
        <f t="shared" si="4"/>
        <v>49373.63916</v>
      </c>
      <c r="T39" s="36">
        <f t="shared" si="5"/>
        <v>49373.63916</v>
      </c>
      <c r="U39" s="36">
        <f t="shared" si="6"/>
        <v>79779.2864988</v>
      </c>
      <c r="W39" s="36"/>
      <c r="X39" s="36">
        <f t="shared" si="7"/>
        <v>1148.82722</v>
      </c>
      <c r="Y39" s="36">
        <f t="shared" si="8"/>
        <v>1148.82722</v>
      </c>
      <c r="Z39" s="36">
        <f t="shared" si="9"/>
        <v>1856.3066746</v>
      </c>
      <c r="AB39" s="36"/>
      <c r="AC39" s="36">
        <f t="shared" si="10"/>
        <v>152.92404</v>
      </c>
      <c r="AD39" s="36">
        <f t="shared" si="11"/>
        <v>152.92404</v>
      </c>
      <c r="AE39" s="36">
        <f t="shared" si="12"/>
        <v>247.0988772</v>
      </c>
      <c r="AG39" s="36"/>
      <c r="AH39" s="36">
        <f t="shared" si="13"/>
        <v>4047.22008</v>
      </c>
      <c r="AI39" s="36">
        <f t="shared" si="14"/>
        <v>4047.22008</v>
      </c>
      <c r="AJ39" s="36">
        <f t="shared" si="15"/>
        <v>6539.6097144</v>
      </c>
      <c r="AL39" s="36"/>
      <c r="AM39" s="36">
        <f t="shared" si="16"/>
        <v>1592.202</v>
      </c>
      <c r="AN39" s="36">
        <f t="shared" si="17"/>
        <v>1592.202</v>
      </c>
      <c r="AO39" s="36">
        <f t="shared" si="18"/>
        <v>2572.7238599999996</v>
      </c>
      <c r="AQ39" s="36"/>
      <c r="AR39" s="36">
        <f t="shared" si="19"/>
        <v>578.94402</v>
      </c>
      <c r="AS39" s="36">
        <f t="shared" si="20"/>
        <v>578.94402</v>
      </c>
      <c r="AT39" s="36">
        <f t="shared" si="21"/>
        <v>935.4736986</v>
      </c>
      <c r="AV39" s="36"/>
      <c r="AW39" s="36">
        <f t="shared" si="22"/>
        <v>4207.57036</v>
      </c>
      <c r="AX39" s="36">
        <f t="shared" si="23"/>
        <v>4207.57036</v>
      </c>
      <c r="AY39" s="36">
        <f t="shared" si="24"/>
        <v>6798.7081148</v>
      </c>
      <c r="BA39" s="36"/>
      <c r="BB39" s="36">
        <f t="shared" si="25"/>
        <v>581.20418</v>
      </c>
      <c r="BC39" s="36">
        <f t="shared" si="26"/>
        <v>581.20418</v>
      </c>
      <c r="BD39" s="36">
        <f t="shared" si="27"/>
        <v>939.1257274</v>
      </c>
      <c r="BF39" s="36"/>
      <c r="BG39" s="36">
        <f t="shared" si="28"/>
        <v>466.3598</v>
      </c>
      <c r="BH39" s="36">
        <f t="shared" si="29"/>
        <v>466.3598</v>
      </c>
      <c r="BI39" s="36">
        <f t="shared" si="30"/>
        <v>753.5570140000001</v>
      </c>
      <c r="BK39" s="36"/>
      <c r="BL39" s="36">
        <f t="shared" si="31"/>
        <v>274.5489</v>
      </c>
      <c r="BM39" s="5">
        <f t="shared" si="32"/>
        <v>274.5489</v>
      </c>
      <c r="BN39" s="36">
        <f t="shared" si="33"/>
        <v>443.623677</v>
      </c>
      <c r="BP39" s="36"/>
      <c r="BQ39" s="36">
        <f t="shared" si="34"/>
        <v>13537.71264</v>
      </c>
      <c r="BR39" s="5">
        <f t="shared" si="35"/>
        <v>13537.71264</v>
      </c>
      <c r="BS39" s="36">
        <f t="shared" si="36"/>
        <v>21874.6090752</v>
      </c>
      <c r="BT39" s="5"/>
      <c r="BU39" s="36"/>
      <c r="BV39" s="36">
        <f t="shared" si="37"/>
        <v>143.1771</v>
      </c>
      <c r="BW39" s="5">
        <f t="shared" si="38"/>
        <v>143.1771</v>
      </c>
      <c r="BX39" s="36">
        <f t="shared" si="39"/>
        <v>231.349503</v>
      </c>
      <c r="BY39" s="5"/>
      <c r="BZ39" s="36"/>
      <c r="CA39" s="36">
        <f t="shared" si="40"/>
        <v>296.90834</v>
      </c>
      <c r="CB39" s="5">
        <f t="shared" si="41"/>
        <v>296.90834</v>
      </c>
      <c r="CC39" s="36">
        <f t="shared" si="42"/>
        <v>479.7526762</v>
      </c>
      <c r="CD39" s="5"/>
      <c r="CE39" s="36"/>
      <c r="CF39" s="36">
        <f t="shared" si="43"/>
        <v>139.32272</v>
      </c>
      <c r="CG39" s="5">
        <f t="shared" si="44"/>
        <v>139.32272</v>
      </c>
      <c r="CH39" s="36">
        <f t="shared" si="45"/>
        <v>225.1214896</v>
      </c>
      <c r="CI39" s="5"/>
      <c r="CJ39" s="36"/>
      <c r="CK39" s="36">
        <f t="shared" si="46"/>
        <v>1708.6406000000002</v>
      </c>
      <c r="CL39" s="5">
        <f t="shared" si="47"/>
        <v>1708.6406000000002</v>
      </c>
      <c r="CM39" s="36">
        <f t="shared" si="48"/>
        <v>2760.868558</v>
      </c>
      <c r="CN39" s="5"/>
      <c r="CO39" s="36"/>
      <c r="CP39" s="36">
        <f t="shared" si="49"/>
        <v>397.48546</v>
      </c>
      <c r="CQ39" s="5">
        <f t="shared" si="50"/>
        <v>397.48546</v>
      </c>
      <c r="CR39" s="36">
        <f t="shared" si="51"/>
        <v>642.2679578</v>
      </c>
      <c r="CS39" s="5"/>
      <c r="CT39" s="36"/>
      <c r="CU39" s="36">
        <f t="shared" si="52"/>
        <v>17258.50104</v>
      </c>
      <c r="CV39" s="5">
        <f t="shared" si="53"/>
        <v>17258.50104</v>
      </c>
      <c r="CW39" s="36">
        <f t="shared" si="54"/>
        <v>27886.761487199998</v>
      </c>
      <c r="CX39" s="5"/>
      <c r="CY39" s="36"/>
      <c r="CZ39" s="36">
        <f t="shared" si="55"/>
        <v>4.11672</v>
      </c>
      <c r="DA39" s="5">
        <f t="shared" si="56"/>
        <v>4.11672</v>
      </c>
      <c r="DB39" s="36">
        <f t="shared" si="57"/>
        <v>6.651909600000001</v>
      </c>
      <c r="DC39" s="5"/>
      <c r="DD39" s="36"/>
      <c r="DE39" s="36">
        <f t="shared" si="58"/>
        <v>29.64442</v>
      </c>
      <c r="DF39" s="5">
        <f t="shared" si="59"/>
        <v>29.64442</v>
      </c>
      <c r="DG39" s="36">
        <f t="shared" si="60"/>
        <v>47.9002706</v>
      </c>
      <c r="DH39" s="5"/>
      <c r="DI39" s="36"/>
      <c r="DJ39" s="36">
        <f t="shared" si="61"/>
        <v>4117.00252</v>
      </c>
      <c r="DK39" s="5">
        <f t="shared" si="62"/>
        <v>4117.00252</v>
      </c>
      <c r="DL39" s="36">
        <f t="shared" si="63"/>
        <v>6652.3661036</v>
      </c>
      <c r="DM39" s="5"/>
      <c r="DN39" s="36"/>
      <c r="DO39" s="36">
        <f t="shared" si="64"/>
        <v>8.072000000000001</v>
      </c>
      <c r="DP39" s="5">
        <f t="shared" si="65"/>
        <v>8.072000000000001</v>
      </c>
      <c r="DQ39" s="36">
        <f t="shared" si="66"/>
        <v>13.04296</v>
      </c>
      <c r="DR39" s="5"/>
      <c r="DS39" s="36"/>
      <c r="DT39" s="36">
        <f t="shared" si="67"/>
        <v>37694.64578</v>
      </c>
      <c r="DU39" s="5">
        <f t="shared" si="68"/>
        <v>37694.64578</v>
      </c>
      <c r="DV39" s="36">
        <f t="shared" si="69"/>
        <v>60908.047215399994</v>
      </c>
      <c r="DW39" s="5"/>
      <c r="DX39" s="5"/>
      <c r="DY39" s="36">
        <f t="shared" si="70"/>
        <v>275.29556</v>
      </c>
      <c r="DZ39" s="36">
        <f t="shared" si="71"/>
        <v>275.29556</v>
      </c>
      <c r="EA39" s="36">
        <f t="shared" si="72"/>
        <v>444.8301508</v>
      </c>
      <c r="EB39" s="5"/>
      <c r="EC39" s="5"/>
      <c r="ED39" s="36"/>
      <c r="EE39" s="36">
        <f t="shared" si="73"/>
        <v>0</v>
      </c>
      <c r="EF39" s="36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ht="12.75">
      <c r="A40" s="37">
        <v>12510</v>
      </c>
      <c r="C40" s="3">
        <v>10090000</v>
      </c>
      <c r="D40" s="3">
        <v>201800</v>
      </c>
      <c r="E40" s="35">
        <f t="shared" si="0"/>
        <v>10291800</v>
      </c>
      <c r="F40" s="35">
        <v>326074</v>
      </c>
      <c r="H40" s="36">
        <v>3188305</v>
      </c>
      <c r="I40" s="36">
        <v>63766</v>
      </c>
      <c r="J40" s="36">
        <f t="shared" si="1"/>
        <v>3252071</v>
      </c>
      <c r="K40" s="36">
        <f>'Academic Project '!K40</f>
        <v>103035.01460840002</v>
      </c>
      <c r="M40" s="36">
        <f>R40+W40+AB40+AG40+AL40+AQ40+AV40+BA40+BF40+BK40+BP40+BU40+BZ40+CE40+CJ40+CO40+CT40+CY40+DD40+DI40+DN40+DS40+DX40+EC40</f>
        <v>6901698.232999999</v>
      </c>
      <c r="N40" s="35">
        <f t="shared" si="2"/>
        <v>138033.96465999997</v>
      </c>
      <c r="O40" s="36">
        <f t="shared" si="3"/>
        <v>7039732.197659999</v>
      </c>
      <c r="P40" s="35">
        <f t="shared" si="2"/>
        <v>223039.0832138</v>
      </c>
      <c r="R40" s="36">
        <f>C40*$S$7</f>
        <v>2468681.958</v>
      </c>
      <c r="S40" s="36">
        <f t="shared" si="4"/>
        <v>49373.63916</v>
      </c>
      <c r="T40" s="36">
        <f t="shared" si="5"/>
        <v>2518055.59716</v>
      </c>
      <c r="U40" s="36">
        <f t="shared" si="6"/>
        <v>79779.2864988</v>
      </c>
      <c r="W40" s="36">
        <f t="shared" si="74"/>
        <v>57441.361</v>
      </c>
      <c r="X40" s="36">
        <f t="shared" si="7"/>
        <v>1148.82722</v>
      </c>
      <c r="Y40" s="36">
        <f t="shared" si="8"/>
        <v>58590.18822</v>
      </c>
      <c r="Z40" s="36">
        <f t="shared" si="9"/>
        <v>1856.3066746</v>
      </c>
      <c r="AB40" s="36">
        <f t="shared" si="75"/>
        <v>7646.202</v>
      </c>
      <c r="AC40" s="36">
        <f t="shared" si="10"/>
        <v>152.92404</v>
      </c>
      <c r="AD40" s="36">
        <f t="shared" si="11"/>
        <v>7799.12604</v>
      </c>
      <c r="AE40" s="36">
        <f t="shared" si="12"/>
        <v>247.0988772</v>
      </c>
      <c r="AG40" s="36">
        <f t="shared" si="76"/>
        <v>202361.004</v>
      </c>
      <c r="AH40" s="36">
        <f t="shared" si="13"/>
        <v>4047.22008</v>
      </c>
      <c r="AI40" s="36">
        <f t="shared" si="14"/>
        <v>206408.22407999999</v>
      </c>
      <c r="AJ40" s="36">
        <f t="shared" si="15"/>
        <v>6539.6097144</v>
      </c>
      <c r="AL40" s="36">
        <f t="shared" si="77"/>
        <v>79610.09999999999</v>
      </c>
      <c r="AM40" s="36">
        <f t="shared" si="16"/>
        <v>1592.202</v>
      </c>
      <c r="AN40" s="36">
        <f t="shared" si="17"/>
        <v>81202.302</v>
      </c>
      <c r="AO40" s="36">
        <f t="shared" si="18"/>
        <v>2572.7238599999996</v>
      </c>
      <c r="AQ40" s="36">
        <f t="shared" si="78"/>
        <v>28947.201</v>
      </c>
      <c r="AR40" s="36">
        <f t="shared" si="19"/>
        <v>578.94402</v>
      </c>
      <c r="AS40" s="36">
        <f t="shared" si="20"/>
        <v>29526.14502</v>
      </c>
      <c r="AT40" s="36">
        <f t="shared" si="21"/>
        <v>935.4736986</v>
      </c>
      <c r="AV40" s="36">
        <f t="shared" si="79"/>
        <v>210378.51799999998</v>
      </c>
      <c r="AW40" s="36">
        <f t="shared" si="22"/>
        <v>4207.57036</v>
      </c>
      <c r="AX40" s="36">
        <f t="shared" si="23"/>
        <v>214586.08836</v>
      </c>
      <c r="AY40" s="36">
        <f t="shared" si="24"/>
        <v>6798.7081148</v>
      </c>
      <c r="BA40" s="36">
        <f t="shared" si="80"/>
        <v>29060.209</v>
      </c>
      <c r="BB40" s="36">
        <f t="shared" si="25"/>
        <v>581.20418</v>
      </c>
      <c r="BC40" s="36">
        <f t="shared" si="26"/>
        <v>29641.41318</v>
      </c>
      <c r="BD40" s="36">
        <f t="shared" si="27"/>
        <v>939.1257274</v>
      </c>
      <c r="BF40" s="36">
        <f t="shared" si="81"/>
        <v>23317.99</v>
      </c>
      <c r="BG40" s="36">
        <f t="shared" si="28"/>
        <v>466.3598</v>
      </c>
      <c r="BH40" s="36">
        <f t="shared" si="29"/>
        <v>23784.3498</v>
      </c>
      <c r="BI40" s="36">
        <f t="shared" si="30"/>
        <v>753.5570140000001</v>
      </c>
      <c r="BK40" s="36">
        <f t="shared" si="82"/>
        <v>13727.445</v>
      </c>
      <c r="BL40" s="36">
        <f t="shared" si="31"/>
        <v>274.5489</v>
      </c>
      <c r="BM40" s="5">
        <f t="shared" si="32"/>
        <v>14001.9939</v>
      </c>
      <c r="BN40" s="36">
        <f t="shared" si="33"/>
        <v>443.623677</v>
      </c>
      <c r="BP40" s="36">
        <f t="shared" si="83"/>
        <v>676885.632</v>
      </c>
      <c r="BQ40" s="36">
        <f t="shared" si="34"/>
        <v>13537.71264</v>
      </c>
      <c r="BR40" s="5">
        <f t="shared" si="35"/>
        <v>690423.34464</v>
      </c>
      <c r="BS40" s="36">
        <f t="shared" si="36"/>
        <v>21874.6090752</v>
      </c>
      <c r="BT40" s="5"/>
      <c r="BU40" s="36">
        <f t="shared" si="84"/>
        <v>7158.855</v>
      </c>
      <c r="BV40" s="36">
        <f t="shared" si="37"/>
        <v>143.1771</v>
      </c>
      <c r="BW40" s="5">
        <f t="shared" si="38"/>
        <v>7302.032099999999</v>
      </c>
      <c r="BX40" s="36">
        <f t="shared" si="39"/>
        <v>231.349503</v>
      </c>
      <c r="BY40" s="5"/>
      <c r="BZ40" s="36">
        <f t="shared" si="85"/>
        <v>14845.417000000001</v>
      </c>
      <c r="CA40" s="36">
        <f t="shared" si="40"/>
        <v>296.90834</v>
      </c>
      <c r="CB40" s="5">
        <f t="shared" si="41"/>
        <v>15142.325340000001</v>
      </c>
      <c r="CC40" s="36">
        <f t="shared" si="42"/>
        <v>479.7526762</v>
      </c>
      <c r="CD40" s="5"/>
      <c r="CE40" s="36">
        <f t="shared" si="86"/>
        <v>6966.1359999999995</v>
      </c>
      <c r="CF40" s="36">
        <f t="shared" si="43"/>
        <v>139.32272</v>
      </c>
      <c r="CG40" s="5">
        <f t="shared" si="44"/>
        <v>7105.45872</v>
      </c>
      <c r="CH40" s="36">
        <f t="shared" si="45"/>
        <v>225.1214896</v>
      </c>
      <c r="CI40" s="5"/>
      <c r="CJ40" s="36">
        <f t="shared" si="87"/>
        <v>85432.03</v>
      </c>
      <c r="CK40" s="36">
        <f t="shared" si="46"/>
        <v>1708.6406000000002</v>
      </c>
      <c r="CL40" s="5">
        <f t="shared" si="47"/>
        <v>87140.6706</v>
      </c>
      <c r="CM40" s="36">
        <f t="shared" si="48"/>
        <v>2760.868558</v>
      </c>
      <c r="CN40" s="5"/>
      <c r="CO40" s="36">
        <f t="shared" si="88"/>
        <v>19874.273</v>
      </c>
      <c r="CP40" s="36">
        <f t="shared" si="49"/>
        <v>397.48546</v>
      </c>
      <c r="CQ40" s="5">
        <f t="shared" si="50"/>
        <v>20271.75846</v>
      </c>
      <c r="CR40" s="36">
        <f t="shared" si="51"/>
        <v>642.2679578</v>
      </c>
      <c r="CS40" s="5"/>
      <c r="CT40" s="36">
        <f t="shared" si="89"/>
        <v>862925.0519999999</v>
      </c>
      <c r="CU40" s="36">
        <f t="shared" si="52"/>
        <v>17258.50104</v>
      </c>
      <c r="CV40" s="5">
        <f t="shared" si="53"/>
        <v>880183.5530399999</v>
      </c>
      <c r="CW40" s="36">
        <f t="shared" si="54"/>
        <v>27886.761487199998</v>
      </c>
      <c r="CX40" s="5"/>
      <c r="CY40" s="36">
        <f t="shared" si="90"/>
        <v>205.836</v>
      </c>
      <c r="CZ40" s="36">
        <f t="shared" si="55"/>
        <v>4.11672</v>
      </c>
      <c r="DA40" s="5">
        <f t="shared" si="56"/>
        <v>209.95272</v>
      </c>
      <c r="DB40" s="36">
        <f t="shared" si="57"/>
        <v>6.651909600000001</v>
      </c>
      <c r="DC40" s="5"/>
      <c r="DD40" s="36">
        <f>C40*$DE$7</f>
        <v>1482.221</v>
      </c>
      <c r="DE40" s="36">
        <f t="shared" si="58"/>
        <v>29.64442</v>
      </c>
      <c r="DF40" s="5">
        <f t="shared" si="59"/>
        <v>1511.86542</v>
      </c>
      <c r="DG40" s="36">
        <f t="shared" si="60"/>
        <v>47.9002706</v>
      </c>
      <c r="DH40" s="5"/>
      <c r="DI40" s="36">
        <f>C40*$DJ$7</f>
        <v>205850.126</v>
      </c>
      <c r="DJ40" s="36">
        <f t="shared" si="61"/>
        <v>4117.00252</v>
      </c>
      <c r="DK40" s="5">
        <f t="shared" si="62"/>
        <v>209967.12852</v>
      </c>
      <c r="DL40" s="36">
        <f t="shared" si="63"/>
        <v>6652.3661036</v>
      </c>
      <c r="DM40" s="5"/>
      <c r="DN40" s="36">
        <f>C40*$DO$7</f>
        <v>403.6</v>
      </c>
      <c r="DO40" s="36">
        <f t="shared" si="64"/>
        <v>8.072000000000001</v>
      </c>
      <c r="DP40" s="5">
        <f t="shared" si="65"/>
        <v>411.672</v>
      </c>
      <c r="DQ40" s="36">
        <f t="shared" si="66"/>
        <v>13.04296</v>
      </c>
      <c r="DR40" s="5"/>
      <c r="DS40" s="36">
        <f>C40*$DT$7</f>
        <v>1884732.2889999999</v>
      </c>
      <c r="DT40" s="36">
        <f t="shared" si="67"/>
        <v>37694.64578</v>
      </c>
      <c r="DU40" s="5">
        <f t="shared" si="68"/>
        <v>1922426.9347799998</v>
      </c>
      <c r="DV40" s="36">
        <f t="shared" si="69"/>
        <v>60908.047215399994</v>
      </c>
      <c r="DW40" s="5"/>
      <c r="DX40" s="5">
        <f>C40*$DY$7</f>
        <v>13764.778</v>
      </c>
      <c r="DY40" s="36">
        <f t="shared" si="70"/>
        <v>275.29556</v>
      </c>
      <c r="DZ40" s="36">
        <f t="shared" si="71"/>
        <v>14040.07356</v>
      </c>
      <c r="EA40" s="36">
        <f t="shared" si="72"/>
        <v>444.8301508</v>
      </c>
      <c r="EB40" s="5"/>
      <c r="EC40" s="5"/>
      <c r="ED40" s="36"/>
      <c r="EE40" s="36">
        <f t="shared" si="73"/>
        <v>0</v>
      </c>
      <c r="EF40" s="36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2:146" ht="12.75">
      <c r="B41" s="34"/>
      <c r="C41" s="35"/>
      <c r="D41" s="35"/>
      <c r="E41" s="35"/>
      <c r="F41" s="35"/>
      <c r="H41" s="36"/>
      <c r="I41" s="36"/>
      <c r="J41" s="36"/>
      <c r="K41" s="36"/>
      <c r="M41" s="36"/>
      <c r="N41" s="35"/>
      <c r="O41" s="5"/>
      <c r="P41" s="5"/>
      <c r="R41" s="36"/>
      <c r="S41" s="36"/>
      <c r="T41" s="5"/>
      <c r="U41" s="5"/>
      <c r="X41" s="36"/>
      <c r="Y41" s="36"/>
      <c r="BA41" s="36"/>
      <c r="BB41" s="36"/>
      <c r="BC41" s="5"/>
      <c r="BD41" s="5"/>
      <c r="BF41" s="36"/>
      <c r="BG41" s="36"/>
      <c r="BH41" s="5"/>
      <c r="BI41" s="5"/>
      <c r="BK41" s="36"/>
      <c r="BL41" s="36"/>
      <c r="BM41" s="5"/>
      <c r="BN41" s="5"/>
      <c r="BP41" s="36"/>
      <c r="BQ41" s="36"/>
      <c r="BR41" s="5"/>
      <c r="BS41" s="5"/>
      <c r="BT41" s="5"/>
      <c r="BU41" s="36"/>
      <c r="BV41" s="36"/>
      <c r="BW41" s="5"/>
      <c r="BX41" s="5"/>
      <c r="BY41" s="5"/>
      <c r="BZ41" s="36"/>
      <c r="CA41" s="36"/>
      <c r="CB41" s="5"/>
      <c r="CC41" s="5"/>
      <c r="CD41" s="5"/>
      <c r="CE41" s="36"/>
      <c r="CF41" s="36"/>
      <c r="CG41" s="5"/>
      <c r="CH41" s="5"/>
      <c r="CI41" s="5"/>
      <c r="CJ41" s="36"/>
      <c r="CK41" s="36"/>
      <c r="CL41" s="5"/>
      <c r="CM41" s="5"/>
      <c r="CN41" s="5"/>
      <c r="CO41" s="36"/>
      <c r="CP41" s="36"/>
      <c r="CQ41" s="5"/>
      <c r="CR41" s="5"/>
      <c r="CS41" s="5"/>
      <c r="CT41" s="36"/>
      <c r="CU41" s="36"/>
      <c r="CV41" s="5"/>
      <c r="CW41" s="5"/>
      <c r="CX41" s="5"/>
      <c r="CY41" s="36"/>
      <c r="CZ41" s="36"/>
      <c r="DA41" s="5"/>
      <c r="DB41" s="5"/>
      <c r="DC41" s="5"/>
      <c r="DD41" s="36"/>
      <c r="DE41" s="36"/>
      <c r="DF41" s="5"/>
      <c r="DG41" s="5"/>
      <c r="DH41" s="5"/>
      <c r="DI41" s="36"/>
      <c r="DJ41" s="36"/>
      <c r="DK41" s="5"/>
      <c r="DL41" s="5"/>
      <c r="DM41" s="5"/>
      <c r="DN41" s="36"/>
      <c r="DO41" s="36"/>
      <c r="DP41" s="5"/>
      <c r="DQ41" s="5"/>
      <c r="DR41" s="5"/>
      <c r="DS41" s="36"/>
      <c r="DT41" s="36"/>
      <c r="DU41" s="5"/>
      <c r="DV41" s="5"/>
      <c r="DW41" s="5"/>
      <c r="DX41" s="5"/>
      <c r="DY41" s="36"/>
      <c r="DZ41" s="36"/>
      <c r="EA41" s="5"/>
      <c r="EB41" s="5"/>
      <c r="EC41" s="5"/>
      <c r="ED41" s="36"/>
      <c r="EE41" s="36"/>
      <c r="EF41" s="36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ht="13.5" thickBot="1">
      <c r="A42" s="39" t="s">
        <v>11</v>
      </c>
      <c r="C42" s="40">
        <f>SUM(C9:C41)</f>
        <v>121150000</v>
      </c>
      <c r="D42" s="40">
        <f>SUM(D9:D41)</f>
        <v>46719300</v>
      </c>
      <c r="E42" s="40">
        <f>SUM(E9:E41)</f>
        <v>167869300</v>
      </c>
      <c r="F42" s="40">
        <f>SUM(F9:F41)</f>
        <v>10434368</v>
      </c>
      <c r="H42" s="40">
        <f>SUM(H9:H41)</f>
        <v>38281777</v>
      </c>
      <c r="I42" s="40">
        <f>SUM(I9:I41)</f>
        <v>14762672</v>
      </c>
      <c r="J42" s="40">
        <f>SUM(J9:J41)</f>
        <v>53044449</v>
      </c>
      <c r="K42" s="40">
        <f>SUM(K9:K41)</f>
        <v>3297120.467468799</v>
      </c>
      <c r="M42" s="40">
        <f>SUM(M9:M41)</f>
        <v>82868259.755</v>
      </c>
      <c r="N42" s="40">
        <f>SUM(N9:N41)</f>
        <v>31956641.25441</v>
      </c>
      <c r="O42" s="40">
        <f>SUM(O9:O41)</f>
        <v>114824901.00940998</v>
      </c>
      <c r="P42" s="40">
        <f>SUM(P9:P41)</f>
        <v>7137250.662841597</v>
      </c>
      <c r="R42" s="40">
        <f>SUM(R9:R41)</f>
        <v>29641310.130000003</v>
      </c>
      <c r="S42" s="40">
        <f>SUM(S9:S41)</f>
        <v>11430633.597660001</v>
      </c>
      <c r="T42" s="40">
        <f>SUM(T9:T41)</f>
        <v>41071943.72765999</v>
      </c>
      <c r="U42" s="40">
        <f>SUM(U9:U41)</f>
        <v>2552937.167961599</v>
      </c>
      <c r="W42" s="40">
        <f>SUM(W9:W41)</f>
        <v>689694.8350000001</v>
      </c>
      <c r="X42" s="40">
        <f>SUM(X9:X41)</f>
        <v>265968.30296999996</v>
      </c>
      <c r="Y42" s="40">
        <f>SUM(Y9:Y41)</f>
        <v>955663.1379699999</v>
      </c>
      <c r="Z42" s="40">
        <f>SUM(Z9:Z41)</f>
        <v>59401.813587199955</v>
      </c>
      <c r="AB42" s="40">
        <f>SUM(AB9:AB41)</f>
        <v>91807.47</v>
      </c>
      <c r="AC42" s="40">
        <f>SUM(AC9:AC41)</f>
        <v>35403.88554</v>
      </c>
      <c r="AD42" s="40">
        <f>SUM(AD9:AD41)</f>
        <v>127211.35554</v>
      </c>
      <c r="AE42" s="40">
        <f>SUM(AE9:AE41)</f>
        <v>7907.164070400001</v>
      </c>
      <c r="AG42" s="40">
        <f>SUM(AG9:AG41)</f>
        <v>2429735.9400000004</v>
      </c>
      <c r="AH42" s="40">
        <f>SUM(AH9:AH41)</f>
        <v>936983.5930799997</v>
      </c>
      <c r="AI42" s="40">
        <f>SUM(AI9:AI41)</f>
        <v>3366719.53308</v>
      </c>
      <c r="AJ42" s="40">
        <f>SUM(AJ9:AJ41)</f>
        <v>209267.5108607999</v>
      </c>
      <c r="AL42" s="40">
        <f>SUM(AL9:AL41)</f>
        <v>955873.4999999999</v>
      </c>
      <c r="AM42" s="40">
        <f>SUM(AM9:AM41)</f>
        <v>368615.27700000006</v>
      </c>
      <c r="AN42" s="40">
        <f>SUM(AN9:AN41)</f>
        <v>1324488.7769999998</v>
      </c>
      <c r="AO42" s="40">
        <f>SUM(AO9:AO41)</f>
        <v>82327.16351999996</v>
      </c>
      <c r="AQ42" s="40">
        <f>SUM(AQ9:AQ41)</f>
        <v>347567.23500000004</v>
      </c>
      <c r="AR42" s="40">
        <f>SUM(AR9:AR41)</f>
        <v>134032.99976999994</v>
      </c>
      <c r="AS42" s="40">
        <f>SUM(AS9:AS41)</f>
        <v>481600.2347700001</v>
      </c>
      <c r="AT42" s="40">
        <f>SUM(AT9:AT41)</f>
        <v>29935.15835519999</v>
      </c>
      <c r="AV42" s="40">
        <f>SUM(AV9:AV41)</f>
        <v>2526001.73</v>
      </c>
      <c r="AW42" s="40">
        <f>SUM(AW9:AW41)</f>
        <v>974106.7488599999</v>
      </c>
      <c r="AX42" s="40">
        <f>SUM(AX9:AX41)</f>
        <v>3500108.4788599997</v>
      </c>
      <c r="AY42" s="40">
        <f>SUM(AY9:AY41)</f>
        <v>217558.65967359982</v>
      </c>
      <c r="BA42" s="40">
        <f>SUM(BA9:BA41)</f>
        <v>348924.11499999993</v>
      </c>
      <c r="BB42" s="40">
        <f>SUM(BB9:BB41)</f>
        <v>134556.25592999998</v>
      </c>
      <c r="BC42" s="40">
        <f>SUM(BC9:BC41)</f>
        <v>483480.3709299999</v>
      </c>
      <c r="BD42" s="40">
        <f>SUM(BD9:BD41)</f>
        <v>30052.02327680002</v>
      </c>
      <c r="BF42" s="40">
        <f>SUM(BF9:BF41)</f>
        <v>279977.6500000001</v>
      </c>
      <c r="BG42" s="40">
        <f>SUM(BG9:BG41)</f>
        <v>107968.30230000005</v>
      </c>
      <c r="BH42" s="40">
        <f>SUM(BH9:BH41)</f>
        <v>387945.95229999995</v>
      </c>
      <c r="BI42" s="40">
        <f>SUM(BI9:BI41)</f>
        <v>24113.82444800002</v>
      </c>
      <c r="BK42" s="40">
        <f>SUM(BK9:BK41)</f>
        <v>164824.575</v>
      </c>
      <c r="BL42" s="40">
        <f>SUM(BL9:BL41)</f>
        <v>63561.607649999976</v>
      </c>
      <c r="BM42" s="40">
        <f>SUM(BM9:BM41)</f>
        <v>228386.18264999997</v>
      </c>
      <c r="BN42" s="40">
        <f>SUM(BN9:BN41)</f>
        <v>14195.95766399999</v>
      </c>
      <c r="BP42" s="40">
        <f>SUM(BP9:BP41)</f>
        <v>8127323.5200000005</v>
      </c>
      <c r="BQ42" s="40">
        <f>SUM(BQ9:BQ41)</f>
        <v>3134154.8966399995</v>
      </c>
      <c r="BR42" s="40">
        <f>SUM(BR9:BR41)</f>
        <v>11261478.41664</v>
      </c>
      <c r="BS42" s="40">
        <f>SUM(BS9:BS41)</f>
        <v>699987.4904064002</v>
      </c>
      <c r="BT42" s="5"/>
      <c r="BU42" s="40">
        <f>SUM(BU9:BU41)</f>
        <v>85955.92499999997</v>
      </c>
      <c r="BV42" s="40">
        <f>SUM(BV9:BV41)</f>
        <v>33147.34335</v>
      </c>
      <c r="BW42" s="40">
        <f>SUM(BW9:BW41)</f>
        <v>119103.26834999997</v>
      </c>
      <c r="BX42" s="40">
        <f>SUM(BX9:BX41)</f>
        <v>7403.1840960000045</v>
      </c>
      <c r="BY42" s="5"/>
      <c r="BZ42" s="40">
        <f>SUM(BZ9:BZ41)</f>
        <v>178247.995</v>
      </c>
      <c r="CA42" s="40">
        <f>SUM(CA9:CA41)</f>
        <v>68738.10609</v>
      </c>
      <c r="CB42" s="40">
        <f>SUM(CB9:CB41)</f>
        <v>246986.10108999998</v>
      </c>
      <c r="CC42" s="40">
        <f>SUM(CC9:CC41)</f>
        <v>15352.085638399994</v>
      </c>
      <c r="CD42" s="5"/>
      <c r="CE42" s="40">
        <f>SUM(CE9:CE41)</f>
        <v>83641.95999999999</v>
      </c>
      <c r="CF42" s="40">
        <f>SUM(CF9:CF41)</f>
        <v>32255.004719999997</v>
      </c>
      <c r="CG42" s="40">
        <f>SUM(CG9:CG41)</f>
        <v>115896.96472</v>
      </c>
      <c r="CH42" s="40">
        <f>SUM(CH9:CH41)</f>
        <v>7203.887667200002</v>
      </c>
      <c r="CI42" s="5"/>
      <c r="CJ42" s="40">
        <f>SUM(CJ9:CJ41)</f>
        <v>1025777.0500000002</v>
      </c>
      <c r="CK42" s="40">
        <f>SUM(CK9:CK41)</f>
        <v>395572.31309999997</v>
      </c>
      <c r="CL42" s="40">
        <f>SUM(CL9:CL41)</f>
        <v>1421349.3631</v>
      </c>
      <c r="CM42" s="40">
        <f>SUM(CM9:CM41)</f>
        <v>88347.79385600005</v>
      </c>
      <c r="CN42" s="5"/>
      <c r="CO42" s="40">
        <f>SUM(CO9:CO41)</f>
        <v>238629.15500000003</v>
      </c>
      <c r="CP42" s="40">
        <f>SUM(CP9:CP41)</f>
        <v>92023.00520999997</v>
      </c>
      <c r="CQ42" s="40">
        <f>SUM(CQ9:CQ41)</f>
        <v>330652.16021</v>
      </c>
      <c r="CR42" s="40">
        <f>SUM(CR9:CR41)</f>
        <v>20552.5746496</v>
      </c>
      <c r="CS42" s="5"/>
      <c r="CT42" s="40">
        <f>SUM(CT9:CT41)</f>
        <v>10361087.219999999</v>
      </c>
      <c r="CU42" s="40">
        <f>SUM(CU9:CU41)</f>
        <v>3995565.350040001</v>
      </c>
      <c r="CV42" s="40">
        <f>SUM(CV9:CV41)</f>
        <v>14356652.570040002</v>
      </c>
      <c r="CW42" s="40">
        <f>SUM(CW9:CW41)</f>
        <v>892376.3675904003</v>
      </c>
      <c r="CX42" s="5"/>
      <c r="CY42" s="40">
        <f>SUM(CY9:CY41)</f>
        <v>2471.46</v>
      </c>
      <c r="CZ42" s="40">
        <f>SUM(CZ9:CZ41)</f>
        <v>953.0737200000003</v>
      </c>
      <c r="DA42" s="40">
        <f>SUM(DA9:DA41)</f>
        <v>3424.5337200000004</v>
      </c>
      <c r="DB42" s="40">
        <f>SUM(DB9:DB41)</f>
        <v>212.8611072000001</v>
      </c>
      <c r="DC42" s="5"/>
      <c r="DD42" s="40">
        <f>SUM(DD9:DD41)</f>
        <v>17796.935</v>
      </c>
      <c r="DE42" s="40">
        <f>SUM(DE9:DE41)</f>
        <v>6863.06517</v>
      </c>
      <c r="DF42" s="40">
        <f>SUM(DF9:DF41)</f>
        <v>24660.00017</v>
      </c>
      <c r="DG42" s="40">
        <f>SUM(DG9:DG41)</f>
        <v>1532.8086592000009</v>
      </c>
      <c r="DH42" s="5"/>
      <c r="DI42" s="40">
        <f>SUM(DI9:DI41)</f>
        <v>2471629.61</v>
      </c>
      <c r="DJ42" s="40">
        <f>SUM(DJ9:DJ41)</f>
        <v>953139.1270200004</v>
      </c>
      <c r="DK42" s="40">
        <f>SUM(DK9:DK41)</f>
        <v>3424768.73702</v>
      </c>
      <c r="DL42" s="40">
        <f>SUM(DL9:DL41)</f>
        <v>212875.71531520013</v>
      </c>
      <c r="DM42" s="5"/>
      <c r="DN42" s="40">
        <f>SUM(DN9:DN41)</f>
        <v>4846.000000000001</v>
      </c>
      <c r="DO42" s="40">
        <f>SUM(DO9:DO41)</f>
        <v>1868.772</v>
      </c>
      <c r="DP42" s="40">
        <f>SUM(DP9:DP41)</f>
        <v>6714.772000000003</v>
      </c>
      <c r="DQ42" s="40">
        <f>SUM(DQ9:DQ41)</f>
        <v>417.37471999999985</v>
      </c>
      <c r="DR42" s="5"/>
      <c r="DS42" s="40">
        <f>SUM(DS9:DS41)</f>
        <v>22629862.915</v>
      </c>
      <c r="DT42" s="40">
        <f>SUM(DT9:DT41)</f>
        <v>8726796.157529999</v>
      </c>
      <c r="DU42" s="40">
        <f>SUM(DU9:DU41)</f>
        <v>31356659.072529994</v>
      </c>
      <c r="DV42" s="40">
        <f>SUM(DV9:DV41)</f>
        <v>1949057.5108928005</v>
      </c>
      <c r="DW42" s="5"/>
      <c r="DX42" s="40">
        <f>SUM(DX9:DX41)</f>
        <v>165272.83</v>
      </c>
      <c r="DY42" s="40">
        <f>SUM(DY9:DY41)</f>
        <v>63734.46906000001</v>
      </c>
      <c r="DZ42" s="40">
        <f>SUM(DZ9:DZ41)</f>
        <v>229007.29905999996</v>
      </c>
      <c r="EA42" s="40">
        <f>SUM(EA9:EA41)</f>
        <v>14234.56482560001</v>
      </c>
      <c r="EB42" s="5"/>
      <c r="EC42" s="40">
        <f>SUM(EC9:EC41)</f>
        <v>0</v>
      </c>
      <c r="ED42" s="40">
        <f>SUM(ED9:ED41)</f>
        <v>0</v>
      </c>
      <c r="EE42" s="40">
        <f>SUM(EE9:EE41)</f>
        <v>0</v>
      </c>
      <c r="EF42" s="40">
        <f>SUM(EF9:EF41)</f>
        <v>0</v>
      </c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8:146" ht="13.5" thickTop="1">
      <c r="R43" s="5"/>
      <c r="S43" s="5"/>
      <c r="T43" s="5"/>
      <c r="U43" s="5"/>
      <c r="BA43" s="5"/>
      <c r="BB43" s="5"/>
      <c r="BC43" s="5"/>
      <c r="BD43" s="5"/>
      <c r="BF43" s="5"/>
      <c r="BG43" s="5"/>
      <c r="BH43" s="5"/>
      <c r="BI43" s="5"/>
      <c r="BK43" s="5"/>
      <c r="BL43" s="5"/>
      <c r="BM43" s="5"/>
      <c r="BN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4:146" ht="12.75">
      <c r="N44" s="5"/>
      <c r="R44" s="5"/>
      <c r="S44" s="5"/>
      <c r="T44" s="5"/>
      <c r="U44" s="5"/>
      <c r="BA44" s="5"/>
      <c r="BB44" s="5"/>
      <c r="BC44" s="5"/>
      <c r="BD44" s="5"/>
      <c r="BF44" s="5"/>
      <c r="BG44" s="5"/>
      <c r="BH44" s="5"/>
      <c r="BI44" s="5"/>
      <c r="BK44" s="5"/>
      <c r="BL44" s="5"/>
      <c r="BM44" s="5"/>
      <c r="BN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6:146" ht="12.75">
      <c r="F45" s="3">
        <f>K42+P42</f>
        <v>10434371.130310396</v>
      </c>
      <c r="R45" s="5"/>
      <c r="S45" s="5"/>
      <c r="T45" s="5"/>
      <c r="U45" s="5"/>
      <c r="BA45" s="5"/>
      <c r="BB45" s="5"/>
      <c r="BC45" s="5"/>
      <c r="BD45" s="5"/>
      <c r="BF45" s="5"/>
      <c r="BG45" s="5"/>
      <c r="BH45" s="5"/>
      <c r="BI45" s="5"/>
      <c r="BK45" s="5"/>
      <c r="BL45" s="5"/>
      <c r="BM45" s="5"/>
      <c r="BN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8:146" ht="12.75">
      <c r="R46" s="5"/>
      <c r="S46" s="5"/>
      <c r="T46" s="5"/>
      <c r="U46" s="5"/>
      <c r="BA46" s="5"/>
      <c r="BB46" s="5"/>
      <c r="BC46" s="5"/>
      <c r="BD46" s="5"/>
      <c r="BF46" s="5"/>
      <c r="BG46" s="5"/>
      <c r="BH46" s="5"/>
      <c r="BI46" s="5"/>
      <c r="BK46" s="5"/>
      <c r="BL46" s="5"/>
      <c r="BM46" s="5"/>
      <c r="BN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6:146" ht="12.75">
      <c r="F47" s="3">
        <f>F42-F45</f>
        <v>-3.130310395732522</v>
      </c>
      <c r="R47" s="5"/>
      <c r="S47" s="5"/>
      <c r="T47" s="5"/>
      <c r="U47" s="5"/>
      <c r="BA47" s="5"/>
      <c r="BB47" s="5"/>
      <c r="BC47" s="5"/>
      <c r="BD47" s="5"/>
      <c r="BF47" s="5"/>
      <c r="BG47" s="5"/>
      <c r="BH47" s="5"/>
      <c r="BI47" s="5"/>
      <c r="BK47" s="5"/>
      <c r="BL47" s="5"/>
      <c r="BM47" s="5"/>
      <c r="BN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8:146" ht="12.75">
      <c r="R48" s="5"/>
      <c r="S48" s="5"/>
      <c r="T48" s="5"/>
      <c r="U48" s="5"/>
      <c r="BA48" s="5"/>
      <c r="BB48" s="5"/>
      <c r="BC48" s="5"/>
      <c r="BD48" s="5"/>
      <c r="BF48" s="5"/>
      <c r="BG48" s="5"/>
      <c r="BH48" s="5"/>
      <c r="BI48" s="5"/>
      <c r="BK48" s="5"/>
      <c r="BL48" s="5"/>
      <c r="BM48" s="5"/>
      <c r="BN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8:146" ht="12.75">
      <c r="R49" s="5"/>
      <c r="S49" s="5"/>
      <c r="T49" s="5"/>
      <c r="U49" s="5"/>
      <c r="BA49" s="5"/>
      <c r="BB49" s="5"/>
      <c r="BC49" s="5"/>
      <c r="BD49" s="5"/>
      <c r="BF49" s="5"/>
      <c r="BG49" s="5"/>
      <c r="BH49" s="5"/>
      <c r="BI49" s="5"/>
      <c r="BK49" s="5"/>
      <c r="BL49" s="5"/>
      <c r="BM49" s="5"/>
      <c r="BN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ht="12.75">
      <c r="A50"/>
      <c r="R50" s="5"/>
      <c r="S50" s="5"/>
      <c r="T50" s="5"/>
      <c r="U50" s="5"/>
      <c r="BA50" s="5"/>
      <c r="BB50" s="5"/>
      <c r="BC50" s="5"/>
      <c r="BD50" s="5"/>
      <c r="BF50" s="5"/>
      <c r="BG50" s="5"/>
      <c r="BH50" s="5"/>
      <c r="BI50" s="5"/>
      <c r="BK50" s="5"/>
      <c r="BL50" s="5"/>
      <c r="BM50" s="5"/>
      <c r="BN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R51" s="5"/>
      <c r="S51" s="5"/>
      <c r="T51" s="5"/>
      <c r="U51" s="5"/>
      <c r="BA51" s="5"/>
      <c r="BB51" s="5"/>
      <c r="BC51" s="5"/>
      <c r="BD51" s="5"/>
      <c r="BF51" s="5"/>
      <c r="BG51" s="5"/>
      <c r="BH51" s="5"/>
      <c r="BI51" s="5"/>
      <c r="BK51" s="5"/>
      <c r="BL51" s="5"/>
      <c r="BM51" s="5"/>
      <c r="BN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R52" s="5"/>
      <c r="S52" s="5"/>
      <c r="T52" s="5"/>
      <c r="U52" s="5"/>
      <c r="BA52" s="5"/>
      <c r="BB52" s="5"/>
      <c r="BC52" s="5"/>
      <c r="BD52" s="5"/>
      <c r="BF52" s="5"/>
      <c r="BG52" s="5"/>
      <c r="BH52" s="5"/>
      <c r="BI52" s="5"/>
      <c r="BK52" s="5"/>
      <c r="BL52" s="5"/>
      <c r="BM52" s="5"/>
      <c r="BN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R53" s="5"/>
      <c r="S53" s="5"/>
      <c r="T53" s="5"/>
      <c r="U53" s="5"/>
      <c r="BA53" s="5"/>
      <c r="BB53" s="5"/>
      <c r="BC53" s="5"/>
      <c r="BD53" s="5"/>
      <c r="BF53" s="5"/>
      <c r="BG53" s="5"/>
      <c r="BH53" s="5"/>
      <c r="BI53" s="5"/>
      <c r="BK53" s="5"/>
      <c r="BL53" s="5"/>
      <c r="BM53" s="5"/>
      <c r="BN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R54" s="5"/>
      <c r="S54" s="5"/>
      <c r="T54" s="5"/>
      <c r="U54" s="5"/>
      <c r="BA54" s="5"/>
      <c r="BB54" s="5"/>
      <c r="BC54" s="5"/>
      <c r="BD54" s="5"/>
      <c r="BF54" s="5"/>
      <c r="BG54" s="5"/>
      <c r="BH54" s="5"/>
      <c r="BI54" s="5"/>
      <c r="BK54" s="5"/>
      <c r="BL54" s="5"/>
      <c r="BM54" s="5"/>
      <c r="BN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H55"/>
      <c r="I55"/>
      <c r="J55"/>
      <c r="K55"/>
      <c r="R55" s="5"/>
      <c r="S55" s="5"/>
      <c r="T55" s="5"/>
      <c r="U55" s="5"/>
      <c r="BA55" s="5"/>
      <c r="BB55" s="5"/>
      <c r="BC55" s="5"/>
      <c r="BD55" s="5"/>
      <c r="BF55" s="5"/>
      <c r="BG55" s="5"/>
      <c r="BH55" s="5"/>
      <c r="BI55" s="5"/>
      <c r="BK55" s="5"/>
      <c r="BL55" s="5"/>
      <c r="BM55" s="5"/>
      <c r="BN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BA56" s="5"/>
      <c r="BB56" s="5"/>
      <c r="BC56" s="5"/>
      <c r="BD56" s="5"/>
      <c r="BF56" s="5"/>
      <c r="BG56" s="5"/>
      <c r="BH56" s="5"/>
      <c r="BI56" s="5"/>
      <c r="BK56" s="5"/>
      <c r="BL56" s="5"/>
      <c r="BM56" s="5"/>
      <c r="BN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BA57" s="5"/>
      <c r="BB57" s="5"/>
      <c r="BC57" s="5"/>
      <c r="BD57" s="5"/>
      <c r="BF57" s="5"/>
      <c r="BG57" s="5"/>
      <c r="BH57" s="5"/>
      <c r="BI57" s="5"/>
      <c r="BK57" s="5"/>
      <c r="BL57" s="5"/>
      <c r="BM57" s="5"/>
      <c r="BN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BA58" s="5"/>
      <c r="BB58" s="5"/>
      <c r="BC58" s="5"/>
      <c r="BD58" s="5"/>
      <c r="BF58" s="5"/>
      <c r="BG58" s="5"/>
      <c r="BH58" s="5"/>
      <c r="BI58" s="5"/>
      <c r="BK58" s="5"/>
      <c r="BL58" s="5"/>
      <c r="BM58" s="5"/>
      <c r="BN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BA59" s="5"/>
      <c r="BB59" s="5"/>
      <c r="BC59" s="5"/>
      <c r="BD59" s="5"/>
      <c r="BF59" s="5"/>
      <c r="BG59" s="5"/>
      <c r="BH59" s="5"/>
      <c r="BI59" s="5"/>
      <c r="BK59" s="5"/>
      <c r="BL59" s="5"/>
      <c r="BM59" s="5"/>
      <c r="BN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BA60" s="5"/>
      <c r="BB60" s="5"/>
      <c r="BC60" s="5"/>
      <c r="BD60" s="5"/>
      <c r="BF60" s="5"/>
      <c r="BG60" s="5"/>
      <c r="BH60" s="5"/>
      <c r="BI60" s="5"/>
      <c r="BK60" s="5"/>
      <c r="BL60" s="5"/>
      <c r="BM60" s="5"/>
      <c r="BN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BA61" s="5"/>
      <c r="BB61" s="5"/>
      <c r="BC61" s="5"/>
      <c r="BD61" s="5"/>
      <c r="BF61" s="5"/>
      <c r="BG61" s="5"/>
      <c r="BH61" s="5"/>
      <c r="BI61" s="5"/>
      <c r="BK61" s="5"/>
      <c r="BL61" s="5"/>
      <c r="BM61" s="5"/>
      <c r="BN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BA62" s="5"/>
      <c r="BB62" s="5"/>
      <c r="BC62" s="5"/>
      <c r="BD62" s="5"/>
      <c r="BF62" s="5"/>
      <c r="BG62" s="5"/>
      <c r="BH62" s="5"/>
      <c r="BI62" s="5"/>
      <c r="BK62" s="5"/>
      <c r="BL62" s="5"/>
      <c r="BM62" s="5"/>
      <c r="BN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BA63" s="5"/>
      <c r="BB63" s="5"/>
      <c r="BC63" s="5"/>
      <c r="BD63" s="5"/>
      <c r="BF63" s="5"/>
      <c r="BG63" s="5"/>
      <c r="BH63" s="5"/>
      <c r="BI63" s="5"/>
      <c r="BK63" s="5"/>
      <c r="BL63" s="5"/>
      <c r="BM63" s="5"/>
      <c r="BN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BA64" s="5"/>
      <c r="BB64" s="5"/>
      <c r="BC64" s="5"/>
      <c r="BD64" s="5"/>
      <c r="BF64" s="5"/>
      <c r="BG64" s="5"/>
      <c r="BH64" s="5"/>
      <c r="BI64" s="5"/>
      <c r="BK64" s="5"/>
      <c r="BL64" s="5"/>
      <c r="BM64" s="5"/>
      <c r="BN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BA65" s="5"/>
      <c r="BB65" s="5"/>
      <c r="BC65" s="5"/>
      <c r="BD65" s="5"/>
      <c r="BF65" s="5"/>
      <c r="BG65" s="5"/>
      <c r="BH65" s="5"/>
      <c r="BI65" s="5"/>
      <c r="BK65" s="5"/>
      <c r="BL65" s="5"/>
      <c r="BM65" s="5"/>
      <c r="BN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BA66" s="5"/>
      <c r="BB66" s="5"/>
      <c r="BC66" s="5"/>
      <c r="BD66" s="5"/>
      <c r="BF66" s="5"/>
      <c r="BG66" s="5"/>
      <c r="BH66" s="5"/>
      <c r="BI66" s="5"/>
      <c r="BK66" s="5"/>
      <c r="BL66" s="5"/>
      <c r="BM66" s="5"/>
      <c r="BN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BA67" s="5"/>
      <c r="BB67" s="5"/>
      <c r="BC67" s="5"/>
      <c r="BD67" s="5"/>
      <c r="BF67" s="5"/>
      <c r="BG67" s="5"/>
      <c r="BH67" s="5"/>
      <c r="BI67" s="5"/>
      <c r="BK67" s="5"/>
      <c r="BL67" s="5"/>
      <c r="BM67" s="5"/>
      <c r="BN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BA68" s="5"/>
      <c r="BB68" s="5"/>
      <c r="BC68" s="5"/>
      <c r="BD68" s="5"/>
      <c r="BF68" s="5"/>
      <c r="BG68" s="5"/>
      <c r="BH68" s="5"/>
      <c r="BI68" s="5"/>
      <c r="BK68" s="5"/>
      <c r="BL68" s="5"/>
      <c r="BM68" s="5"/>
      <c r="BN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BA69" s="5"/>
      <c r="BB69" s="5"/>
      <c r="BC69" s="5"/>
      <c r="BD69" s="5"/>
      <c r="BF69" s="5"/>
      <c r="BG69" s="5"/>
      <c r="BH69" s="5"/>
      <c r="BI69" s="5"/>
      <c r="BK69" s="5"/>
      <c r="BL69" s="5"/>
      <c r="BM69" s="5"/>
      <c r="BN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BA70" s="5"/>
      <c r="BB70" s="5"/>
      <c r="BC70" s="5"/>
      <c r="BD70" s="5"/>
      <c r="BF70" s="5"/>
      <c r="BG70" s="5"/>
      <c r="BH70" s="5"/>
      <c r="BI70" s="5"/>
      <c r="BK70" s="5"/>
      <c r="BL70" s="5"/>
      <c r="BM70" s="5"/>
      <c r="BN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BA71" s="5"/>
      <c r="BB71" s="5"/>
      <c r="BC71" s="5"/>
      <c r="BD71" s="5"/>
      <c r="BF71" s="5"/>
      <c r="BG71" s="5"/>
      <c r="BH71" s="5"/>
      <c r="BI71" s="5"/>
      <c r="BK71" s="5"/>
      <c r="BL71" s="5"/>
      <c r="BM71" s="5"/>
      <c r="BN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BA72" s="5"/>
      <c r="BB72" s="5"/>
      <c r="BC72" s="5"/>
      <c r="BD72" s="5"/>
      <c r="BF72" s="5"/>
      <c r="BG72" s="5"/>
      <c r="BH72" s="5"/>
      <c r="BI72" s="5"/>
      <c r="BK72" s="5"/>
      <c r="BL72" s="5"/>
      <c r="BM72" s="5"/>
      <c r="BN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BA73" s="5"/>
      <c r="BB73" s="5"/>
      <c r="BC73" s="5"/>
      <c r="BD73" s="5"/>
      <c r="BF73" s="5"/>
      <c r="BG73" s="5"/>
      <c r="BH73" s="5"/>
      <c r="BI73" s="5"/>
      <c r="BK73" s="5"/>
      <c r="BL73" s="5"/>
      <c r="BM73" s="5"/>
      <c r="BN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BA74" s="5"/>
      <c r="BB74" s="5"/>
      <c r="BC74" s="5"/>
      <c r="BD74" s="5"/>
      <c r="BF74" s="5"/>
      <c r="BG74" s="5"/>
      <c r="BH74" s="5"/>
      <c r="BI74" s="5"/>
      <c r="BK74" s="5"/>
      <c r="BL74" s="5"/>
      <c r="BM74" s="5"/>
      <c r="BN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ht="12.75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BA75" s="5"/>
      <c r="BB75" s="5"/>
      <c r="BC75" s="5"/>
      <c r="BD75" s="5"/>
      <c r="BF75" s="5"/>
      <c r="BG75" s="5"/>
      <c r="BH75" s="5"/>
      <c r="BI75" s="5"/>
      <c r="BK75" s="5"/>
      <c r="BL75" s="5"/>
      <c r="BM75" s="5"/>
      <c r="BN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ht="12.75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BA76" s="5"/>
      <c r="BB76" s="5"/>
      <c r="BC76" s="5"/>
      <c r="BD76" s="5"/>
      <c r="BF76" s="5"/>
      <c r="BG76" s="5"/>
      <c r="BH76" s="5"/>
      <c r="BI76" s="5"/>
      <c r="BK76" s="5"/>
      <c r="BL76" s="5"/>
      <c r="BM76" s="5"/>
      <c r="BN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3:146" ht="12.75"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BA77" s="5"/>
      <c r="BB77" s="5"/>
      <c r="BC77" s="5"/>
      <c r="BD77" s="5"/>
      <c r="BF77" s="5"/>
      <c r="BG77" s="5"/>
      <c r="BH77" s="5"/>
      <c r="BI77" s="5"/>
      <c r="BK77" s="5"/>
      <c r="BL77" s="5"/>
      <c r="BM77" s="5"/>
      <c r="BN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3:146" ht="12.75"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BA78" s="5"/>
      <c r="BB78" s="5"/>
      <c r="BC78" s="5"/>
      <c r="BD78" s="5"/>
      <c r="BF78" s="5"/>
      <c r="BG78" s="5"/>
      <c r="BH78" s="5"/>
      <c r="BI78" s="5"/>
      <c r="BK78" s="5"/>
      <c r="BL78" s="5"/>
      <c r="BM78" s="5"/>
      <c r="BN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3:146" ht="12.75"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BA79" s="5"/>
      <c r="BB79" s="5"/>
      <c r="BC79" s="5"/>
      <c r="BD79" s="5"/>
      <c r="BF79" s="5"/>
      <c r="BG79" s="5"/>
      <c r="BH79" s="5"/>
      <c r="BI79" s="5"/>
      <c r="BK79" s="5"/>
      <c r="BL79" s="5"/>
      <c r="BM79" s="5"/>
      <c r="BN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3:146" ht="12.75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BA80" s="5"/>
      <c r="BB80" s="5"/>
      <c r="BC80" s="5"/>
      <c r="BD80" s="5"/>
      <c r="BF80" s="5"/>
      <c r="BG80" s="5"/>
      <c r="BH80" s="5"/>
      <c r="BI80" s="5"/>
      <c r="BK80" s="5"/>
      <c r="BL80" s="5"/>
      <c r="BM80" s="5"/>
      <c r="BN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3:146" ht="12.75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BA81" s="5"/>
      <c r="BB81" s="5"/>
      <c r="BC81" s="5"/>
      <c r="BD81" s="5"/>
      <c r="BF81" s="5"/>
      <c r="BG81" s="5"/>
      <c r="BH81" s="5"/>
      <c r="BI81" s="5"/>
      <c r="BK81" s="5"/>
      <c r="BL81" s="5"/>
      <c r="BM81" s="5"/>
      <c r="BN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3:146" ht="12.75">
      <c r="C82"/>
      <c r="D82"/>
      <c r="E82"/>
      <c r="F82"/>
      <c r="G82"/>
      <c r="L82"/>
      <c r="Q82"/>
      <c r="R82" s="5"/>
      <c r="S82" s="5"/>
      <c r="T82" s="5"/>
      <c r="U82" s="5"/>
      <c r="BA82" s="5"/>
      <c r="BB82" s="5"/>
      <c r="BC82" s="5"/>
      <c r="BD82" s="5"/>
      <c r="BF82" s="5"/>
      <c r="BG82" s="5"/>
      <c r="BH82" s="5"/>
      <c r="BI82" s="5"/>
      <c r="BK82" s="5"/>
      <c r="BL82" s="5"/>
      <c r="BM82" s="5"/>
      <c r="BN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8:146" ht="12.75">
      <c r="R83" s="5"/>
      <c r="S83" s="5"/>
      <c r="T83" s="5"/>
      <c r="U83" s="5"/>
      <c r="BA83" s="5"/>
      <c r="BB83" s="5"/>
      <c r="BC83" s="5"/>
      <c r="BD83" s="5"/>
      <c r="BF83" s="5"/>
      <c r="BG83" s="5"/>
      <c r="BH83" s="5"/>
      <c r="BI83" s="5"/>
      <c r="BK83" s="5"/>
      <c r="BL83" s="5"/>
      <c r="BM83" s="5"/>
      <c r="BN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BA84" s="5"/>
      <c r="BB84" s="5"/>
      <c r="BC84" s="5"/>
      <c r="BD84" s="5"/>
      <c r="BF84" s="5"/>
      <c r="BG84" s="5"/>
      <c r="BH84" s="5"/>
      <c r="BI84" s="5"/>
      <c r="BK84" s="5"/>
      <c r="BL84" s="5"/>
      <c r="BM84" s="5"/>
      <c r="BN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BA85" s="5"/>
      <c r="BB85" s="5"/>
      <c r="BC85" s="5"/>
      <c r="BD85" s="5"/>
      <c r="BF85" s="5"/>
      <c r="BG85" s="5"/>
      <c r="BH85" s="5"/>
      <c r="BI85" s="5"/>
      <c r="BK85" s="5"/>
      <c r="BL85" s="5"/>
      <c r="BM85" s="5"/>
      <c r="BN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BA86" s="5"/>
      <c r="BB86" s="5"/>
      <c r="BC86" s="5"/>
      <c r="BD86" s="5"/>
      <c r="BF86" s="5"/>
      <c r="BG86" s="5"/>
      <c r="BH86" s="5"/>
      <c r="BI86" s="5"/>
      <c r="BK86" s="5"/>
      <c r="BL86" s="5"/>
      <c r="BM86" s="5"/>
      <c r="BN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BA87" s="5"/>
      <c r="BB87" s="5"/>
      <c r="BC87" s="5"/>
      <c r="BD87" s="5"/>
      <c r="BF87" s="5"/>
      <c r="BG87" s="5"/>
      <c r="BH87" s="5"/>
      <c r="BI87" s="5"/>
      <c r="BK87" s="5"/>
      <c r="BL87" s="5"/>
      <c r="BM87" s="5"/>
      <c r="BN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BA88" s="5"/>
      <c r="BB88" s="5"/>
      <c r="BC88" s="5"/>
      <c r="BD88" s="5"/>
      <c r="BF88" s="5"/>
      <c r="BG88" s="5"/>
      <c r="BH88" s="5"/>
      <c r="BI88" s="5"/>
      <c r="BK88" s="5"/>
      <c r="BL88" s="5"/>
      <c r="BM88" s="5"/>
      <c r="BN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BA89" s="5"/>
      <c r="BB89" s="5"/>
      <c r="BC89" s="5"/>
      <c r="BD89" s="5"/>
      <c r="BF89" s="5"/>
      <c r="BG89" s="5"/>
      <c r="BH89" s="5"/>
      <c r="BI89" s="5"/>
      <c r="BK89" s="5"/>
      <c r="BL89" s="5"/>
      <c r="BM89" s="5"/>
      <c r="BN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BA90" s="5"/>
      <c r="BB90" s="5"/>
      <c r="BC90" s="5"/>
      <c r="BD90" s="5"/>
      <c r="BF90" s="5"/>
      <c r="BG90" s="5"/>
      <c r="BH90" s="5"/>
      <c r="BI90" s="5"/>
      <c r="BK90" s="5"/>
      <c r="BL90" s="5"/>
      <c r="BM90" s="5"/>
      <c r="BN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BA91" s="5"/>
      <c r="BB91" s="5"/>
      <c r="BC91" s="5"/>
      <c r="BD91" s="5"/>
      <c r="BF91" s="5"/>
      <c r="BG91" s="5"/>
      <c r="BH91" s="5"/>
      <c r="BI91" s="5"/>
      <c r="BK91" s="5"/>
      <c r="BL91" s="5"/>
      <c r="BM91" s="5"/>
      <c r="BN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BA92" s="5"/>
      <c r="BB92" s="5"/>
      <c r="BC92" s="5"/>
      <c r="BD92" s="5"/>
      <c r="BF92" s="5"/>
      <c r="BG92" s="5"/>
      <c r="BH92" s="5"/>
      <c r="BI92" s="5"/>
      <c r="BK92" s="5"/>
      <c r="BL92" s="5"/>
      <c r="BM92" s="5"/>
      <c r="BN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BA93" s="5"/>
      <c r="BB93" s="5"/>
      <c r="BC93" s="5"/>
      <c r="BD93" s="5"/>
      <c r="BF93" s="5"/>
      <c r="BG93" s="5"/>
      <c r="BH93" s="5"/>
      <c r="BI93" s="5"/>
      <c r="BK93" s="5"/>
      <c r="BL93" s="5"/>
      <c r="BM93" s="5"/>
      <c r="BN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BA94" s="5"/>
      <c r="BB94" s="5"/>
      <c r="BC94" s="5"/>
      <c r="BD94" s="5"/>
      <c r="BF94" s="5"/>
      <c r="BG94" s="5"/>
      <c r="BH94" s="5"/>
      <c r="BI94" s="5"/>
      <c r="BK94" s="5"/>
      <c r="BL94" s="5"/>
      <c r="BM94" s="5"/>
      <c r="BN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BA95" s="5"/>
      <c r="BB95" s="5"/>
      <c r="BC95" s="5"/>
      <c r="BD95" s="5"/>
      <c r="BF95" s="5"/>
      <c r="BG95" s="5"/>
      <c r="BH95" s="5"/>
      <c r="BI95" s="5"/>
      <c r="BK95" s="5"/>
      <c r="BL95" s="5"/>
      <c r="BM95" s="5"/>
      <c r="BN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BA96" s="5"/>
      <c r="BB96" s="5"/>
      <c r="BC96" s="5"/>
      <c r="BD96" s="5"/>
      <c r="BF96" s="5"/>
      <c r="BG96" s="5"/>
      <c r="BH96" s="5"/>
      <c r="BI96" s="5"/>
      <c r="BK96" s="5"/>
      <c r="BL96" s="5"/>
      <c r="BM96" s="5"/>
      <c r="BN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BA97" s="5"/>
      <c r="BB97" s="5"/>
      <c r="BC97" s="5"/>
      <c r="BD97" s="5"/>
      <c r="BF97" s="5"/>
      <c r="BG97" s="5"/>
      <c r="BH97" s="5"/>
      <c r="BI97" s="5"/>
      <c r="BK97" s="5"/>
      <c r="BL97" s="5"/>
      <c r="BM97" s="5"/>
      <c r="BN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BA98" s="5"/>
      <c r="BB98" s="5"/>
      <c r="BC98" s="5"/>
      <c r="BD98" s="5"/>
      <c r="BF98" s="5"/>
      <c r="BG98" s="5"/>
      <c r="BH98" s="5"/>
      <c r="BI98" s="5"/>
      <c r="BK98" s="5"/>
      <c r="BL98" s="5"/>
      <c r="BM98" s="5"/>
      <c r="BN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BA99" s="5"/>
      <c r="BB99" s="5"/>
      <c r="BC99" s="5"/>
      <c r="BD99" s="5"/>
      <c r="BF99" s="5"/>
      <c r="BG99" s="5"/>
      <c r="BH99" s="5"/>
      <c r="BI99" s="5"/>
      <c r="BK99" s="5"/>
      <c r="BL99" s="5"/>
      <c r="BM99" s="5"/>
      <c r="BN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BA100" s="5"/>
      <c r="BB100" s="5"/>
      <c r="BC100" s="5"/>
      <c r="BD100" s="5"/>
      <c r="BF100" s="5"/>
      <c r="BG100" s="5"/>
      <c r="BH100" s="5"/>
      <c r="BI100" s="5"/>
      <c r="BK100" s="5"/>
      <c r="BL100" s="5"/>
      <c r="BM100" s="5"/>
      <c r="BN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BA101" s="5"/>
      <c r="BB101" s="5"/>
      <c r="BC101" s="5"/>
      <c r="BD101" s="5"/>
      <c r="BF101" s="5"/>
      <c r="BG101" s="5"/>
      <c r="BH101" s="5"/>
      <c r="BI101" s="5"/>
      <c r="BK101" s="5"/>
      <c r="BL101" s="5"/>
      <c r="BM101" s="5"/>
      <c r="BN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BA102" s="5"/>
      <c r="BB102" s="5"/>
      <c r="BC102" s="5"/>
      <c r="BD102" s="5"/>
      <c r="BF102" s="5"/>
      <c r="BG102" s="5"/>
      <c r="BH102" s="5"/>
      <c r="BI102" s="5"/>
      <c r="BK102" s="5"/>
      <c r="BL102" s="5"/>
      <c r="BM102" s="5"/>
      <c r="BN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BA103" s="5"/>
      <c r="BB103" s="5"/>
      <c r="BC103" s="5"/>
      <c r="BD103" s="5"/>
      <c r="BF103" s="5"/>
      <c r="BG103" s="5"/>
      <c r="BH103" s="5"/>
      <c r="BI103" s="5"/>
      <c r="BK103" s="5"/>
      <c r="BL103" s="5"/>
      <c r="BM103" s="5"/>
      <c r="BN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BA104" s="5"/>
      <c r="BB104" s="5"/>
      <c r="BC104" s="5"/>
      <c r="BD104" s="5"/>
      <c r="BF104" s="5"/>
      <c r="BG104" s="5"/>
      <c r="BH104" s="5"/>
      <c r="BI104" s="5"/>
      <c r="BK104" s="5"/>
      <c r="BL104" s="5"/>
      <c r="BM104" s="5"/>
      <c r="BN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BA105" s="5"/>
      <c r="BB105" s="5"/>
      <c r="BC105" s="5"/>
      <c r="BD105" s="5"/>
      <c r="BF105" s="5"/>
      <c r="BG105" s="5"/>
      <c r="BH105" s="5"/>
      <c r="BI105" s="5"/>
      <c r="BK105" s="5"/>
      <c r="BL105" s="5"/>
      <c r="BM105" s="5"/>
      <c r="BN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BA106" s="5"/>
      <c r="BB106" s="5"/>
      <c r="BC106" s="5"/>
      <c r="BD106" s="5"/>
      <c r="BF106" s="5"/>
      <c r="BG106" s="5"/>
      <c r="BH106" s="5"/>
      <c r="BI106" s="5"/>
      <c r="BK106" s="5"/>
      <c r="BL106" s="5"/>
      <c r="BM106" s="5"/>
      <c r="BN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BA107" s="5"/>
      <c r="BB107" s="5"/>
      <c r="BC107" s="5"/>
      <c r="BD107" s="5"/>
      <c r="BF107" s="5"/>
      <c r="BG107" s="5"/>
      <c r="BH107" s="5"/>
      <c r="BI107" s="5"/>
      <c r="BK107" s="5"/>
      <c r="BL107" s="5"/>
      <c r="BM107" s="5"/>
      <c r="BN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BA108" s="5"/>
      <c r="BB108" s="5"/>
      <c r="BC108" s="5"/>
      <c r="BD108" s="5"/>
      <c r="BF108" s="5"/>
      <c r="BG108" s="5"/>
      <c r="BH108" s="5"/>
      <c r="BI108" s="5"/>
      <c r="BK108" s="5"/>
      <c r="BL108" s="5"/>
      <c r="BM108" s="5"/>
      <c r="BN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BA109" s="5"/>
      <c r="BB109" s="5"/>
      <c r="BC109" s="5"/>
      <c r="BD109" s="5"/>
      <c r="BF109" s="5"/>
      <c r="BG109" s="5"/>
      <c r="BH109" s="5"/>
      <c r="BI109" s="5"/>
      <c r="BK109" s="5"/>
      <c r="BL109" s="5"/>
      <c r="BM109" s="5"/>
      <c r="BN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BA110" s="5"/>
      <c r="BB110" s="5"/>
      <c r="BC110" s="5"/>
      <c r="BD110" s="5"/>
      <c r="BF110" s="5"/>
      <c r="BG110" s="5"/>
      <c r="BH110" s="5"/>
      <c r="BI110" s="5"/>
      <c r="BK110" s="5"/>
      <c r="BL110" s="5"/>
      <c r="BM110" s="5"/>
      <c r="BN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BA111" s="5"/>
      <c r="BB111" s="5"/>
      <c r="BC111" s="5"/>
      <c r="BD111" s="5"/>
      <c r="BF111" s="5"/>
      <c r="BG111" s="5"/>
      <c r="BH111" s="5"/>
      <c r="BI111" s="5"/>
      <c r="BK111" s="5"/>
      <c r="BL111" s="5"/>
      <c r="BM111" s="5"/>
      <c r="BN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BA112" s="5"/>
      <c r="BB112" s="5"/>
      <c r="BC112" s="5"/>
      <c r="BD112" s="5"/>
      <c r="BF112" s="5"/>
      <c r="BG112" s="5"/>
      <c r="BH112" s="5"/>
      <c r="BI112" s="5"/>
      <c r="BK112" s="5"/>
      <c r="BL112" s="5"/>
      <c r="BM112" s="5"/>
      <c r="BN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BA113" s="5"/>
      <c r="BB113" s="5"/>
      <c r="BC113" s="5"/>
      <c r="BD113" s="5"/>
      <c r="BF113" s="5"/>
      <c r="BG113" s="5"/>
      <c r="BH113" s="5"/>
      <c r="BI113" s="5"/>
      <c r="BK113" s="5"/>
      <c r="BL113" s="5"/>
      <c r="BM113" s="5"/>
      <c r="BN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BA114" s="5"/>
      <c r="BB114" s="5"/>
      <c r="BC114" s="5"/>
      <c r="BD114" s="5"/>
      <c r="BF114" s="5"/>
      <c r="BG114" s="5"/>
      <c r="BH114" s="5"/>
      <c r="BI114" s="5"/>
      <c r="BK114" s="5"/>
      <c r="BL114" s="5"/>
      <c r="BM114" s="5"/>
      <c r="BN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BA115" s="5"/>
      <c r="BB115" s="5"/>
      <c r="BC115" s="5"/>
      <c r="BD115" s="5"/>
      <c r="BF115" s="5"/>
      <c r="BG115" s="5"/>
      <c r="BH115" s="5"/>
      <c r="BI115" s="5"/>
      <c r="BK115" s="5"/>
      <c r="BL115" s="5"/>
      <c r="BM115" s="5"/>
      <c r="BN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BA116" s="5"/>
      <c r="BB116" s="5"/>
      <c r="BC116" s="5"/>
      <c r="BD116" s="5"/>
      <c r="BF116" s="5"/>
      <c r="BG116" s="5"/>
      <c r="BH116" s="5"/>
      <c r="BI116" s="5"/>
      <c r="BK116" s="5"/>
      <c r="BL116" s="5"/>
      <c r="BM116" s="5"/>
      <c r="BN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BA117" s="5"/>
      <c r="BB117" s="5"/>
      <c r="BC117" s="5"/>
      <c r="BD117" s="5"/>
      <c r="BF117" s="5"/>
      <c r="BG117" s="5"/>
      <c r="BH117" s="5"/>
      <c r="BI117" s="5"/>
      <c r="BK117" s="5"/>
      <c r="BL117" s="5"/>
      <c r="BM117" s="5"/>
      <c r="BN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BA118" s="5"/>
      <c r="BB118" s="5"/>
      <c r="BC118" s="5"/>
      <c r="BD118" s="5"/>
      <c r="BF118" s="5"/>
      <c r="BG118" s="5"/>
      <c r="BH118" s="5"/>
      <c r="BI118" s="5"/>
      <c r="BK118" s="5"/>
      <c r="BL118" s="5"/>
      <c r="BM118" s="5"/>
      <c r="BN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BA119" s="5"/>
      <c r="BB119" s="5"/>
      <c r="BC119" s="5"/>
      <c r="BD119" s="5"/>
      <c r="BF119" s="5"/>
      <c r="BG119" s="5"/>
      <c r="BH119" s="5"/>
      <c r="BI119" s="5"/>
      <c r="BK119" s="5"/>
      <c r="BL119" s="5"/>
      <c r="BM119" s="5"/>
      <c r="BN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BA120" s="5"/>
      <c r="BB120" s="5"/>
      <c r="BC120" s="5"/>
      <c r="BD120" s="5"/>
      <c r="BF120" s="5"/>
      <c r="BG120" s="5"/>
      <c r="BH120" s="5"/>
      <c r="BI120" s="5"/>
      <c r="BK120" s="5"/>
      <c r="BL120" s="5"/>
      <c r="BM120" s="5"/>
      <c r="BN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BA121" s="5"/>
      <c r="BB121" s="5"/>
      <c r="BC121" s="5"/>
      <c r="BD121" s="5"/>
      <c r="BF121" s="5"/>
      <c r="BG121" s="5"/>
      <c r="BH121" s="5"/>
      <c r="BI121" s="5"/>
      <c r="BK121" s="5"/>
      <c r="BL121" s="5"/>
      <c r="BM121" s="5"/>
      <c r="BN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BA122" s="5"/>
      <c r="BB122" s="5"/>
      <c r="BC122" s="5"/>
      <c r="BD122" s="5"/>
      <c r="BF122" s="5"/>
      <c r="BG122" s="5"/>
      <c r="BH122" s="5"/>
      <c r="BI122" s="5"/>
      <c r="BK122" s="5"/>
      <c r="BL122" s="5"/>
      <c r="BM122" s="5"/>
      <c r="BN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BA123" s="5"/>
      <c r="BB123" s="5"/>
      <c r="BC123" s="5"/>
      <c r="BD123" s="5"/>
      <c r="BF123" s="5"/>
      <c r="BG123" s="5"/>
      <c r="BH123" s="5"/>
      <c r="BI123" s="5"/>
      <c r="BK123" s="5"/>
      <c r="BL123" s="5"/>
      <c r="BM123" s="5"/>
      <c r="BN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BA124" s="5"/>
      <c r="BB124" s="5"/>
      <c r="BC124" s="5"/>
      <c r="BD124" s="5"/>
      <c r="BF124" s="5"/>
      <c r="BG124" s="5"/>
      <c r="BH124" s="5"/>
      <c r="BI124" s="5"/>
      <c r="BK124" s="5"/>
      <c r="BL124" s="5"/>
      <c r="BM124" s="5"/>
      <c r="BN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BA125" s="5"/>
      <c r="BB125" s="5"/>
      <c r="BC125" s="5"/>
      <c r="BD125" s="5"/>
      <c r="BF125" s="5"/>
      <c r="BG125" s="5"/>
      <c r="BH125" s="5"/>
      <c r="BI125" s="5"/>
      <c r="BK125" s="5"/>
      <c r="BL125" s="5"/>
      <c r="BM125" s="5"/>
      <c r="BN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BA126" s="5"/>
      <c r="BB126" s="5"/>
      <c r="BC126" s="5"/>
      <c r="BD126" s="5"/>
      <c r="BF126" s="5"/>
      <c r="BG126" s="5"/>
      <c r="BH126" s="5"/>
      <c r="BI126" s="5"/>
      <c r="BK126" s="5"/>
      <c r="BL126" s="5"/>
      <c r="BM126" s="5"/>
      <c r="BN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BA127" s="5"/>
      <c r="BB127" s="5"/>
      <c r="BC127" s="5"/>
      <c r="BD127" s="5"/>
      <c r="BF127" s="5"/>
      <c r="BG127" s="5"/>
      <c r="BH127" s="5"/>
      <c r="BI127" s="5"/>
      <c r="BK127" s="5"/>
      <c r="BL127" s="5"/>
      <c r="BM127" s="5"/>
      <c r="BN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BA128" s="5"/>
      <c r="BB128" s="5"/>
      <c r="BC128" s="5"/>
      <c r="BD128" s="5"/>
      <c r="BF128" s="5"/>
      <c r="BG128" s="5"/>
      <c r="BH128" s="5"/>
      <c r="BI128" s="5"/>
      <c r="BK128" s="5"/>
      <c r="BL128" s="5"/>
      <c r="BM128" s="5"/>
      <c r="BN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BA129" s="5"/>
      <c r="BB129" s="5"/>
      <c r="BC129" s="5"/>
      <c r="BD129" s="5"/>
      <c r="BF129" s="5"/>
      <c r="BG129" s="5"/>
      <c r="BH129" s="5"/>
      <c r="BI129" s="5"/>
      <c r="BK129" s="5"/>
      <c r="BL129" s="5"/>
      <c r="BM129" s="5"/>
      <c r="BN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BA130" s="5"/>
      <c r="BB130" s="5"/>
      <c r="BC130" s="5"/>
      <c r="BD130" s="5"/>
      <c r="BF130" s="5"/>
      <c r="BG130" s="5"/>
      <c r="BH130" s="5"/>
      <c r="BI130" s="5"/>
      <c r="BK130" s="5"/>
      <c r="BL130" s="5"/>
      <c r="BM130" s="5"/>
      <c r="BN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BA131" s="5"/>
      <c r="BB131" s="5"/>
      <c r="BC131" s="5"/>
      <c r="BD131" s="5"/>
      <c r="BF131" s="5"/>
      <c r="BG131" s="5"/>
      <c r="BH131" s="5"/>
      <c r="BI131" s="5"/>
      <c r="BK131" s="5"/>
      <c r="BL131" s="5"/>
      <c r="BM131" s="5"/>
      <c r="BN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BA132" s="5"/>
      <c r="BB132" s="5"/>
      <c r="BC132" s="5"/>
      <c r="BD132" s="5"/>
      <c r="BF132" s="5"/>
      <c r="BG132" s="5"/>
      <c r="BH132" s="5"/>
      <c r="BI132" s="5"/>
      <c r="BK132" s="5"/>
      <c r="BL132" s="5"/>
      <c r="BM132" s="5"/>
      <c r="BN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BA133" s="5"/>
      <c r="BB133" s="5"/>
      <c r="BC133" s="5"/>
      <c r="BD133" s="5"/>
      <c r="BF133" s="5"/>
      <c r="BG133" s="5"/>
      <c r="BH133" s="5"/>
      <c r="BI133" s="5"/>
      <c r="BK133" s="5"/>
      <c r="BL133" s="5"/>
      <c r="BM133" s="5"/>
      <c r="BN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BA134" s="5"/>
      <c r="BB134" s="5"/>
      <c r="BC134" s="5"/>
      <c r="BD134" s="5"/>
      <c r="BF134" s="5"/>
      <c r="BG134" s="5"/>
      <c r="BH134" s="5"/>
      <c r="BI134" s="5"/>
      <c r="BK134" s="5"/>
      <c r="BL134" s="5"/>
      <c r="BM134" s="5"/>
      <c r="BN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BA135" s="5"/>
      <c r="BB135" s="5"/>
      <c r="BC135" s="5"/>
      <c r="BD135" s="5"/>
      <c r="BF135" s="5"/>
      <c r="BG135" s="5"/>
      <c r="BH135" s="5"/>
      <c r="BI135" s="5"/>
      <c r="BK135" s="5"/>
      <c r="BL135" s="5"/>
      <c r="BM135" s="5"/>
      <c r="BN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BA136" s="5"/>
      <c r="BB136" s="5"/>
      <c r="BC136" s="5"/>
      <c r="BD136" s="5"/>
      <c r="BF136" s="5"/>
      <c r="BG136" s="5"/>
      <c r="BH136" s="5"/>
      <c r="BI136" s="5"/>
      <c r="BK136" s="5"/>
      <c r="BL136" s="5"/>
      <c r="BM136" s="5"/>
      <c r="BN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BA137" s="5"/>
      <c r="BB137" s="5"/>
      <c r="BC137" s="5"/>
      <c r="BD137" s="5"/>
      <c r="BF137" s="5"/>
      <c r="BG137" s="5"/>
      <c r="BH137" s="5"/>
      <c r="BI137" s="5"/>
      <c r="BK137" s="5"/>
      <c r="BL137" s="5"/>
      <c r="BM137" s="5"/>
      <c r="BN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BA138" s="5"/>
      <c r="BB138" s="5"/>
      <c r="BC138" s="5"/>
      <c r="BD138" s="5"/>
      <c r="BF138" s="5"/>
      <c r="BG138" s="5"/>
      <c r="BH138" s="5"/>
      <c r="BI138" s="5"/>
      <c r="BK138" s="5"/>
      <c r="BL138" s="5"/>
      <c r="BM138" s="5"/>
      <c r="BN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BA139" s="5"/>
      <c r="BB139" s="5"/>
      <c r="BC139" s="5"/>
      <c r="BD139" s="5"/>
      <c r="BF139" s="5"/>
      <c r="BG139" s="5"/>
      <c r="BH139" s="5"/>
      <c r="BI139" s="5"/>
      <c r="BK139" s="5"/>
      <c r="BL139" s="5"/>
      <c r="BM139" s="5"/>
      <c r="BN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BA140" s="5"/>
      <c r="BB140" s="5"/>
      <c r="BC140" s="5"/>
      <c r="BD140" s="5"/>
      <c r="BF140" s="5"/>
      <c r="BG140" s="5"/>
      <c r="BH140" s="5"/>
      <c r="BI140" s="5"/>
      <c r="BK140" s="5"/>
      <c r="BL140" s="5"/>
      <c r="BM140" s="5"/>
      <c r="BN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BA141" s="5"/>
      <c r="BB141" s="5"/>
      <c r="BC141" s="5"/>
      <c r="BD141" s="5"/>
      <c r="BF141" s="5"/>
      <c r="BG141" s="5"/>
      <c r="BH141" s="5"/>
      <c r="BI141" s="5"/>
      <c r="BK141" s="5"/>
      <c r="BL141" s="5"/>
      <c r="BM141" s="5"/>
      <c r="BN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BA142" s="5"/>
      <c r="BB142" s="5"/>
      <c r="BC142" s="5"/>
      <c r="BD142" s="5"/>
      <c r="BF142" s="5"/>
      <c r="BG142" s="5"/>
      <c r="BH142" s="5"/>
      <c r="BI142" s="5"/>
      <c r="BK142" s="5"/>
      <c r="BL142" s="5"/>
      <c r="BM142" s="5"/>
      <c r="BN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BA143" s="5"/>
      <c r="BB143" s="5"/>
      <c r="BC143" s="5"/>
      <c r="BD143" s="5"/>
      <c r="BF143" s="5"/>
      <c r="BG143" s="5"/>
      <c r="BH143" s="5"/>
      <c r="BI143" s="5"/>
      <c r="BK143" s="5"/>
      <c r="BL143" s="5"/>
      <c r="BM143" s="5"/>
      <c r="BN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BA144" s="5"/>
      <c r="BB144" s="5"/>
      <c r="BC144" s="5"/>
      <c r="BD144" s="5"/>
      <c r="BF144" s="5"/>
      <c r="BG144" s="5"/>
      <c r="BH144" s="5"/>
      <c r="BI144" s="5"/>
      <c r="BK144" s="5"/>
      <c r="BL144" s="5"/>
      <c r="BM144" s="5"/>
      <c r="BN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BA145" s="5"/>
      <c r="BB145" s="5"/>
      <c r="BC145" s="5"/>
      <c r="BD145" s="5"/>
      <c r="BF145" s="5"/>
      <c r="BG145" s="5"/>
      <c r="BH145" s="5"/>
      <c r="BI145" s="5"/>
      <c r="BK145" s="5"/>
      <c r="BL145" s="5"/>
      <c r="BM145" s="5"/>
      <c r="BN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BA146" s="5"/>
      <c r="BB146" s="5"/>
      <c r="BC146" s="5"/>
      <c r="BD146" s="5"/>
      <c r="BF146" s="5"/>
      <c r="BG146" s="5"/>
      <c r="BH146" s="5"/>
      <c r="BI146" s="5"/>
      <c r="BK146" s="5"/>
      <c r="BL146" s="5"/>
      <c r="BM146" s="5"/>
      <c r="BN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BA147" s="5"/>
      <c r="BB147" s="5"/>
      <c r="BC147" s="5"/>
      <c r="BD147" s="5"/>
      <c r="BF147" s="5"/>
      <c r="BG147" s="5"/>
      <c r="BH147" s="5"/>
      <c r="BI147" s="5"/>
      <c r="BK147" s="5"/>
      <c r="BL147" s="5"/>
      <c r="BM147" s="5"/>
      <c r="BN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BA148" s="5"/>
      <c r="BB148" s="5"/>
      <c r="BC148" s="5"/>
      <c r="BD148" s="5"/>
      <c r="BF148" s="5"/>
      <c r="BG148" s="5"/>
      <c r="BH148" s="5"/>
      <c r="BI148" s="5"/>
      <c r="BK148" s="5"/>
      <c r="BL148" s="5"/>
      <c r="BM148" s="5"/>
      <c r="BN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BA149" s="5"/>
      <c r="BB149" s="5"/>
      <c r="BC149" s="5"/>
      <c r="BD149" s="5"/>
      <c r="BF149" s="5"/>
      <c r="BG149" s="5"/>
      <c r="BH149" s="5"/>
      <c r="BI149" s="5"/>
      <c r="BK149" s="5"/>
      <c r="BL149" s="5"/>
      <c r="BM149" s="5"/>
      <c r="BN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BA150" s="5"/>
      <c r="BB150" s="5"/>
      <c r="BC150" s="5"/>
      <c r="BD150" s="5"/>
      <c r="BF150" s="5"/>
      <c r="BG150" s="5"/>
      <c r="BH150" s="5"/>
      <c r="BI150" s="5"/>
      <c r="BK150" s="5"/>
      <c r="BL150" s="5"/>
      <c r="BM150" s="5"/>
      <c r="BN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BA151" s="5"/>
      <c r="BB151" s="5"/>
      <c r="BC151" s="5"/>
      <c r="BD151" s="5"/>
      <c r="BF151" s="5"/>
      <c r="BG151" s="5"/>
      <c r="BH151" s="5"/>
      <c r="BI151" s="5"/>
      <c r="BK151" s="5"/>
      <c r="BL151" s="5"/>
      <c r="BM151" s="5"/>
      <c r="BN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BA152" s="5"/>
      <c r="BB152" s="5"/>
      <c r="BC152" s="5"/>
      <c r="BD152" s="5"/>
      <c r="BF152" s="5"/>
      <c r="BG152" s="5"/>
      <c r="BH152" s="5"/>
      <c r="BI152" s="5"/>
      <c r="BK152" s="5"/>
      <c r="BL152" s="5"/>
      <c r="BM152" s="5"/>
      <c r="BN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BA153" s="5"/>
      <c r="BB153" s="5"/>
      <c r="BC153" s="5"/>
      <c r="BD153" s="5"/>
      <c r="BF153" s="5"/>
      <c r="BG153" s="5"/>
      <c r="BH153" s="5"/>
      <c r="BI153" s="5"/>
      <c r="BK153" s="5"/>
      <c r="BL153" s="5"/>
      <c r="BM153" s="5"/>
      <c r="BN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BA154" s="5"/>
      <c r="BB154" s="5"/>
      <c r="BC154" s="5"/>
      <c r="BD154" s="5"/>
      <c r="BF154" s="5"/>
      <c r="BG154" s="5"/>
      <c r="BH154" s="5"/>
      <c r="BI154" s="5"/>
      <c r="BK154" s="5"/>
      <c r="BL154" s="5"/>
      <c r="BM154" s="5"/>
      <c r="BN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BA155" s="5"/>
      <c r="BB155" s="5"/>
      <c r="BC155" s="5"/>
      <c r="BD155" s="5"/>
      <c r="BF155" s="5"/>
      <c r="BG155" s="5"/>
      <c r="BH155" s="5"/>
      <c r="BI155" s="5"/>
      <c r="BK155" s="5"/>
      <c r="BL155" s="5"/>
      <c r="BM155" s="5"/>
      <c r="BN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BA156" s="5"/>
      <c r="BB156" s="5"/>
      <c r="BC156" s="5"/>
      <c r="BD156" s="5"/>
      <c r="BF156" s="5"/>
      <c r="BG156" s="5"/>
      <c r="BH156" s="5"/>
      <c r="BI156" s="5"/>
      <c r="BK156" s="5"/>
      <c r="BL156" s="5"/>
      <c r="BM156" s="5"/>
      <c r="BN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BA157" s="5"/>
      <c r="BB157" s="5"/>
      <c r="BC157" s="5"/>
      <c r="BD157" s="5"/>
      <c r="BF157" s="5"/>
      <c r="BG157" s="5"/>
      <c r="BH157" s="5"/>
      <c r="BI157" s="5"/>
      <c r="BK157" s="5"/>
      <c r="BL157" s="5"/>
      <c r="BM157" s="5"/>
      <c r="BN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BA158" s="5"/>
      <c r="BB158" s="5"/>
      <c r="BC158" s="5"/>
      <c r="BD158" s="5"/>
      <c r="BF158" s="5"/>
      <c r="BG158" s="5"/>
      <c r="BH158" s="5"/>
      <c r="BI158" s="5"/>
      <c r="BK158" s="5"/>
      <c r="BL158" s="5"/>
      <c r="BM158" s="5"/>
      <c r="BN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BA159" s="5"/>
      <c r="BB159" s="5"/>
      <c r="BC159" s="5"/>
      <c r="BD159" s="5"/>
      <c r="BF159" s="5"/>
      <c r="BG159" s="5"/>
      <c r="BH159" s="5"/>
      <c r="BI159" s="5"/>
      <c r="BK159" s="5"/>
      <c r="BL159" s="5"/>
      <c r="BM159" s="5"/>
      <c r="BN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BA160" s="5"/>
      <c r="BB160" s="5"/>
      <c r="BC160" s="5"/>
      <c r="BD160" s="5"/>
      <c r="BF160" s="5"/>
      <c r="BG160" s="5"/>
      <c r="BH160" s="5"/>
      <c r="BI160" s="5"/>
      <c r="BK160" s="5"/>
      <c r="BL160" s="5"/>
      <c r="BM160" s="5"/>
      <c r="BN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BA161" s="5"/>
      <c r="BB161" s="5"/>
      <c r="BC161" s="5"/>
      <c r="BD161" s="5"/>
      <c r="BF161" s="5"/>
      <c r="BG161" s="5"/>
      <c r="BH161" s="5"/>
      <c r="BI161" s="5"/>
      <c r="BK161" s="5"/>
      <c r="BL161" s="5"/>
      <c r="BM161" s="5"/>
      <c r="BN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BA162" s="5"/>
      <c r="BB162" s="5"/>
      <c r="BC162" s="5"/>
      <c r="BD162" s="5"/>
      <c r="BF162" s="5"/>
      <c r="BG162" s="5"/>
      <c r="BH162" s="5"/>
      <c r="BI162" s="5"/>
      <c r="BK162" s="5"/>
      <c r="BL162" s="5"/>
      <c r="BM162" s="5"/>
      <c r="BN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BA163" s="5"/>
      <c r="BB163" s="5"/>
      <c r="BC163" s="5"/>
      <c r="BD163" s="5"/>
      <c r="BF163" s="5"/>
      <c r="BG163" s="5"/>
      <c r="BH163" s="5"/>
      <c r="BI163" s="5"/>
      <c r="BK163" s="5"/>
      <c r="BL163" s="5"/>
      <c r="BM163" s="5"/>
      <c r="BN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BA164" s="5"/>
      <c r="BB164" s="5"/>
      <c r="BC164" s="5"/>
      <c r="BD164" s="5"/>
      <c r="BF164" s="5"/>
      <c r="BG164" s="5"/>
      <c r="BH164" s="5"/>
      <c r="BI164" s="5"/>
      <c r="BK164" s="5"/>
      <c r="BL164" s="5"/>
      <c r="BM164" s="5"/>
      <c r="BN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BA165" s="5"/>
      <c r="BB165" s="5"/>
      <c r="BC165" s="5"/>
      <c r="BD165" s="5"/>
      <c r="BF165" s="5"/>
      <c r="BG165" s="5"/>
      <c r="BH165" s="5"/>
      <c r="BI165" s="5"/>
      <c r="BK165" s="5"/>
      <c r="BL165" s="5"/>
      <c r="BM165" s="5"/>
      <c r="BN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BA166" s="5"/>
      <c r="BB166" s="5"/>
      <c r="BC166" s="5"/>
      <c r="BD166" s="5"/>
      <c r="BF166" s="5"/>
      <c r="BG166" s="5"/>
      <c r="BH166" s="5"/>
      <c r="BI166" s="5"/>
      <c r="BK166" s="5"/>
      <c r="BL166" s="5"/>
      <c r="BM166" s="5"/>
      <c r="BN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BA167" s="5"/>
      <c r="BB167" s="5"/>
      <c r="BC167" s="5"/>
      <c r="BD167" s="5"/>
      <c r="BF167" s="5"/>
      <c r="BG167" s="5"/>
      <c r="BH167" s="5"/>
      <c r="BI167" s="5"/>
      <c r="BK167" s="5"/>
      <c r="BL167" s="5"/>
      <c r="BM167" s="5"/>
      <c r="BN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BA168" s="5"/>
      <c r="BB168" s="5"/>
      <c r="BC168" s="5"/>
      <c r="BD168" s="5"/>
      <c r="BF168" s="5"/>
      <c r="BG168" s="5"/>
      <c r="BH168" s="5"/>
      <c r="BI168" s="5"/>
      <c r="BK168" s="5"/>
      <c r="BL168" s="5"/>
      <c r="BM168" s="5"/>
      <c r="BN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BA169" s="5"/>
      <c r="BB169" s="5"/>
      <c r="BC169" s="5"/>
      <c r="BD169" s="5"/>
      <c r="BF169" s="5"/>
      <c r="BG169" s="5"/>
      <c r="BH169" s="5"/>
      <c r="BI169" s="5"/>
      <c r="BK169" s="5"/>
      <c r="BL169" s="5"/>
      <c r="BM169" s="5"/>
      <c r="BN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BA170" s="5"/>
      <c r="BB170" s="5"/>
      <c r="BC170" s="5"/>
      <c r="BD170" s="5"/>
      <c r="BF170" s="5"/>
      <c r="BG170" s="5"/>
      <c r="BH170" s="5"/>
      <c r="BI170" s="5"/>
      <c r="BK170" s="5"/>
      <c r="BL170" s="5"/>
      <c r="BM170" s="5"/>
      <c r="BN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BA171" s="5"/>
      <c r="BB171" s="5"/>
      <c r="BC171" s="5"/>
      <c r="BD171" s="5"/>
      <c r="BF171" s="5"/>
      <c r="BG171" s="5"/>
      <c r="BH171" s="5"/>
      <c r="BI171" s="5"/>
      <c r="BK171" s="5"/>
      <c r="BL171" s="5"/>
      <c r="BM171" s="5"/>
      <c r="BN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BA172" s="5"/>
      <c r="BB172" s="5"/>
      <c r="BC172" s="5"/>
      <c r="BD172" s="5"/>
      <c r="BF172" s="5"/>
      <c r="BG172" s="5"/>
      <c r="BH172" s="5"/>
      <c r="BI172" s="5"/>
      <c r="BK172" s="5"/>
      <c r="BL172" s="5"/>
      <c r="BM172" s="5"/>
      <c r="BN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BA173" s="5"/>
      <c r="BB173" s="5"/>
      <c r="BC173" s="5"/>
      <c r="BD173" s="5"/>
      <c r="BF173" s="5"/>
      <c r="BG173" s="5"/>
      <c r="BH173" s="5"/>
      <c r="BI173" s="5"/>
      <c r="BK173" s="5"/>
      <c r="BL173" s="5"/>
      <c r="BM173" s="5"/>
      <c r="BN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BA174" s="5"/>
      <c r="BB174" s="5"/>
      <c r="BC174" s="5"/>
      <c r="BD174" s="5"/>
      <c r="BF174" s="5"/>
      <c r="BG174" s="5"/>
      <c r="BH174" s="5"/>
      <c r="BI174" s="5"/>
      <c r="BK174" s="5"/>
      <c r="BL174" s="5"/>
      <c r="BM174" s="5"/>
      <c r="BN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BA175" s="5"/>
      <c r="BB175" s="5"/>
      <c r="BC175" s="5"/>
      <c r="BD175" s="5"/>
      <c r="BF175" s="5"/>
      <c r="BG175" s="5"/>
      <c r="BH175" s="5"/>
      <c r="BI175" s="5"/>
      <c r="BK175" s="5"/>
      <c r="BL175" s="5"/>
      <c r="BM175" s="5"/>
      <c r="BN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BA176" s="5"/>
      <c r="BB176" s="5"/>
      <c r="BC176" s="5"/>
      <c r="BD176" s="5"/>
      <c r="BF176" s="5"/>
      <c r="BG176" s="5"/>
      <c r="BH176" s="5"/>
      <c r="BI176" s="5"/>
      <c r="BK176" s="5"/>
      <c r="BL176" s="5"/>
      <c r="BM176" s="5"/>
      <c r="BN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BA177" s="5"/>
      <c r="BB177" s="5"/>
      <c r="BC177" s="5"/>
      <c r="BD177" s="5"/>
      <c r="BF177" s="5"/>
      <c r="BG177" s="5"/>
      <c r="BH177" s="5"/>
      <c r="BI177" s="5"/>
      <c r="BK177" s="5"/>
      <c r="BL177" s="5"/>
      <c r="BM177" s="5"/>
      <c r="BN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BA178" s="5"/>
      <c r="BB178" s="5"/>
      <c r="BC178" s="5"/>
      <c r="BD178" s="5"/>
      <c r="BF178" s="5"/>
      <c r="BG178" s="5"/>
      <c r="BH178" s="5"/>
      <c r="BI178" s="5"/>
      <c r="BK178" s="5"/>
      <c r="BL178" s="5"/>
      <c r="BM178" s="5"/>
      <c r="BN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BA179" s="5"/>
      <c r="BB179" s="5"/>
      <c r="BC179" s="5"/>
      <c r="BD179" s="5"/>
      <c r="BF179" s="5"/>
      <c r="BG179" s="5"/>
      <c r="BH179" s="5"/>
      <c r="BI179" s="5"/>
      <c r="BK179" s="5"/>
      <c r="BL179" s="5"/>
      <c r="BM179" s="5"/>
      <c r="BN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BA180" s="5"/>
      <c r="BB180" s="5"/>
      <c r="BC180" s="5"/>
      <c r="BD180" s="5"/>
      <c r="BF180" s="5"/>
      <c r="BG180" s="5"/>
      <c r="BH180" s="5"/>
      <c r="BI180" s="5"/>
      <c r="BK180" s="5"/>
      <c r="BL180" s="5"/>
      <c r="BM180" s="5"/>
      <c r="BN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BA181" s="5"/>
      <c r="BB181" s="5"/>
      <c r="BC181" s="5"/>
      <c r="BD181" s="5"/>
      <c r="BF181" s="5"/>
      <c r="BG181" s="5"/>
      <c r="BH181" s="5"/>
      <c r="BI181" s="5"/>
      <c r="BK181" s="5"/>
      <c r="BL181" s="5"/>
      <c r="BM181" s="5"/>
      <c r="BN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BA182" s="5"/>
      <c r="BB182" s="5"/>
      <c r="BC182" s="5"/>
      <c r="BD182" s="5"/>
      <c r="BF182" s="5"/>
      <c r="BG182" s="5"/>
      <c r="BH182" s="5"/>
      <c r="BI182" s="5"/>
      <c r="BK182" s="5"/>
      <c r="BL182" s="5"/>
      <c r="BM182" s="5"/>
      <c r="BN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BA183" s="5"/>
      <c r="BB183" s="5"/>
      <c r="BC183" s="5"/>
      <c r="BD183" s="5"/>
      <c r="BF183" s="5"/>
      <c r="BG183" s="5"/>
      <c r="BH183" s="5"/>
      <c r="BI183" s="5"/>
      <c r="BK183" s="5"/>
      <c r="BL183" s="5"/>
      <c r="BM183" s="5"/>
      <c r="BN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BA184" s="5"/>
      <c r="BB184" s="5"/>
      <c r="BC184" s="5"/>
      <c r="BD184" s="5"/>
      <c r="BF184" s="5"/>
      <c r="BG184" s="5"/>
      <c r="BH184" s="5"/>
      <c r="BI184" s="5"/>
      <c r="BK184" s="5"/>
      <c r="BL184" s="5"/>
      <c r="BM184" s="5"/>
      <c r="BN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BA185" s="5"/>
      <c r="BB185" s="5"/>
      <c r="BC185" s="5"/>
      <c r="BD185" s="5"/>
      <c r="BF185" s="5"/>
      <c r="BG185" s="5"/>
      <c r="BH185" s="5"/>
      <c r="BI185" s="5"/>
      <c r="BK185" s="5"/>
      <c r="BL185" s="5"/>
      <c r="BM185" s="5"/>
      <c r="BN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BA186" s="5"/>
      <c r="BB186" s="5"/>
      <c r="BC186" s="5"/>
      <c r="BD186" s="5"/>
      <c r="BF186" s="5"/>
      <c r="BG186" s="5"/>
      <c r="BH186" s="5"/>
      <c r="BI186" s="5"/>
      <c r="BK186" s="5"/>
      <c r="BL186" s="5"/>
      <c r="BM186" s="5"/>
      <c r="BN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BA187" s="5"/>
      <c r="BB187" s="5"/>
      <c r="BC187" s="5"/>
      <c r="BD187" s="5"/>
      <c r="BF187" s="5"/>
      <c r="BG187" s="5"/>
      <c r="BH187" s="5"/>
      <c r="BI187" s="5"/>
      <c r="BK187" s="5"/>
      <c r="BL187" s="5"/>
      <c r="BM187" s="5"/>
      <c r="BN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BA188" s="5"/>
      <c r="BB188" s="5"/>
      <c r="BC188" s="5"/>
      <c r="BD188" s="5"/>
      <c r="BF188" s="5"/>
      <c r="BG188" s="5"/>
      <c r="BH188" s="5"/>
      <c r="BI188" s="5"/>
      <c r="BK188" s="5"/>
      <c r="BL188" s="5"/>
      <c r="BM188" s="5"/>
      <c r="BN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BA189" s="5"/>
      <c r="BB189" s="5"/>
      <c r="BC189" s="5"/>
      <c r="BD189" s="5"/>
      <c r="BF189" s="5"/>
      <c r="BG189" s="5"/>
      <c r="BH189" s="5"/>
      <c r="BI189" s="5"/>
      <c r="BK189" s="5"/>
      <c r="BL189" s="5"/>
      <c r="BM189" s="5"/>
      <c r="BN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BA190" s="5"/>
      <c r="BB190" s="5"/>
      <c r="BC190" s="5"/>
      <c r="BD190" s="5"/>
      <c r="BF190" s="5"/>
      <c r="BG190" s="5"/>
      <c r="BH190" s="5"/>
      <c r="BI190" s="5"/>
      <c r="BK190" s="5"/>
      <c r="BL190" s="5"/>
      <c r="BM190" s="5"/>
      <c r="BN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BA191" s="5"/>
      <c r="BB191" s="5"/>
      <c r="BC191" s="5"/>
      <c r="BD191" s="5"/>
      <c r="BF191" s="5"/>
      <c r="BG191" s="5"/>
      <c r="BH191" s="5"/>
      <c r="BI191" s="5"/>
      <c r="BK191" s="5"/>
      <c r="BL191" s="5"/>
      <c r="BM191" s="5"/>
      <c r="BN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BA192" s="5"/>
      <c r="BB192" s="5"/>
      <c r="BC192" s="5"/>
      <c r="BD192" s="5"/>
      <c r="BF192" s="5"/>
      <c r="BG192" s="5"/>
      <c r="BH192" s="5"/>
      <c r="BI192" s="5"/>
      <c r="BK192" s="5"/>
      <c r="BL192" s="5"/>
      <c r="BM192" s="5"/>
      <c r="BN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BA193" s="5"/>
      <c r="BB193" s="5"/>
      <c r="BC193" s="5"/>
      <c r="BD193" s="5"/>
      <c r="BF193" s="5"/>
      <c r="BG193" s="5"/>
      <c r="BH193" s="5"/>
      <c r="BI193" s="5"/>
      <c r="BK193" s="5"/>
      <c r="BL193" s="5"/>
      <c r="BM193" s="5"/>
      <c r="BN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BA194" s="5"/>
      <c r="BB194" s="5"/>
      <c r="BC194" s="5"/>
      <c r="BD194" s="5"/>
      <c r="BF194" s="5"/>
      <c r="BG194" s="5"/>
      <c r="BH194" s="5"/>
      <c r="BI194" s="5"/>
      <c r="BK194" s="5"/>
      <c r="BL194" s="5"/>
      <c r="BM194" s="5"/>
      <c r="BN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BA195" s="5"/>
      <c r="BB195" s="5"/>
      <c r="BC195" s="5"/>
      <c r="BD195" s="5"/>
      <c r="BF195" s="5"/>
      <c r="BG195" s="5"/>
      <c r="BH195" s="5"/>
      <c r="BI195" s="5"/>
      <c r="BK195" s="5"/>
      <c r="BL195" s="5"/>
      <c r="BM195" s="5"/>
      <c r="BN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BA196" s="5"/>
      <c r="BB196" s="5"/>
      <c r="BC196" s="5"/>
      <c r="BD196" s="5"/>
      <c r="BF196" s="5"/>
      <c r="BG196" s="5"/>
      <c r="BH196" s="5"/>
      <c r="BI196" s="5"/>
      <c r="BK196" s="5"/>
      <c r="BL196" s="5"/>
      <c r="BM196" s="5"/>
      <c r="BN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BA197" s="5"/>
      <c r="BB197" s="5"/>
      <c r="BC197" s="5"/>
      <c r="BD197" s="5"/>
      <c r="BF197" s="5"/>
      <c r="BG197" s="5"/>
      <c r="BH197" s="5"/>
      <c r="BI197" s="5"/>
      <c r="BK197" s="5"/>
      <c r="BL197" s="5"/>
      <c r="BM197" s="5"/>
      <c r="BN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BA198" s="5"/>
      <c r="BB198" s="5"/>
      <c r="BC198" s="5"/>
      <c r="BD198" s="5"/>
      <c r="BF198" s="5"/>
      <c r="BG198" s="5"/>
      <c r="BH198" s="5"/>
      <c r="BI198" s="5"/>
      <c r="BK198" s="5"/>
      <c r="BL198" s="5"/>
      <c r="BM198" s="5"/>
      <c r="BN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BA199" s="5"/>
      <c r="BB199" s="5"/>
      <c r="BC199" s="5"/>
      <c r="BD199" s="5"/>
      <c r="BF199" s="5"/>
      <c r="BG199" s="5"/>
      <c r="BH199" s="5"/>
      <c r="BI199" s="5"/>
      <c r="BK199" s="5"/>
      <c r="BL199" s="5"/>
      <c r="BM199" s="5"/>
      <c r="BN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BA200" s="5"/>
      <c r="BB200" s="5"/>
      <c r="BC200" s="5"/>
      <c r="BD200" s="5"/>
      <c r="BF200" s="5"/>
      <c r="BG200" s="5"/>
      <c r="BH200" s="5"/>
      <c r="BI200" s="5"/>
      <c r="BK200" s="5"/>
      <c r="BL200" s="5"/>
      <c r="BM200" s="5"/>
      <c r="BN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BA201" s="5"/>
      <c r="BB201" s="5"/>
      <c r="BC201" s="5"/>
      <c r="BD201" s="5"/>
      <c r="BF201" s="5"/>
      <c r="BG201" s="5"/>
      <c r="BH201" s="5"/>
      <c r="BI201" s="5"/>
      <c r="BK201" s="5"/>
      <c r="BL201" s="5"/>
      <c r="BM201" s="5"/>
      <c r="BN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BA202" s="5"/>
      <c r="BB202" s="5"/>
      <c r="BC202" s="5"/>
      <c r="BD202" s="5"/>
      <c r="BF202" s="5"/>
      <c r="BG202" s="5"/>
      <c r="BH202" s="5"/>
      <c r="BI202" s="5"/>
      <c r="BK202" s="5"/>
      <c r="BL202" s="5"/>
      <c r="BM202" s="5"/>
      <c r="BN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BA203" s="5"/>
      <c r="BB203" s="5"/>
      <c r="BC203" s="5"/>
      <c r="BD203" s="5"/>
      <c r="BF203" s="5"/>
      <c r="BG203" s="5"/>
      <c r="BH203" s="5"/>
      <c r="BI203" s="5"/>
      <c r="BK203" s="5"/>
      <c r="BL203" s="5"/>
      <c r="BM203" s="5"/>
      <c r="BN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BA204" s="5"/>
      <c r="BB204" s="5"/>
      <c r="BC204" s="5"/>
      <c r="BD204" s="5"/>
      <c r="BF204" s="5"/>
      <c r="BG204" s="5"/>
      <c r="BH204" s="5"/>
      <c r="BI204" s="5"/>
      <c r="BK204" s="5"/>
      <c r="BL204" s="5"/>
      <c r="BM204" s="5"/>
      <c r="BN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BA205" s="5"/>
      <c r="BB205" s="5"/>
      <c r="BC205" s="5"/>
      <c r="BD205" s="5"/>
      <c r="BF205" s="5"/>
      <c r="BG205" s="5"/>
      <c r="BH205" s="5"/>
      <c r="BI205" s="5"/>
      <c r="BK205" s="5"/>
      <c r="BL205" s="5"/>
      <c r="BM205" s="5"/>
      <c r="BN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BA206" s="5"/>
      <c r="BB206" s="5"/>
      <c r="BC206" s="5"/>
      <c r="BD206" s="5"/>
      <c r="BF206" s="5"/>
      <c r="BG206" s="5"/>
      <c r="BH206" s="5"/>
      <c r="BI206" s="5"/>
      <c r="BK206" s="5"/>
      <c r="BL206" s="5"/>
      <c r="BM206" s="5"/>
      <c r="BN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BA207" s="5"/>
      <c r="BB207" s="5"/>
      <c r="BC207" s="5"/>
      <c r="BD207" s="5"/>
      <c r="BF207" s="5"/>
      <c r="BG207" s="5"/>
      <c r="BH207" s="5"/>
      <c r="BI207" s="5"/>
      <c r="BK207" s="5"/>
      <c r="BL207" s="5"/>
      <c r="BM207" s="5"/>
      <c r="BN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BA208" s="5"/>
      <c r="BB208" s="5"/>
      <c r="BC208" s="5"/>
      <c r="BD208" s="5"/>
      <c r="BF208" s="5"/>
      <c r="BG208" s="5"/>
      <c r="BH208" s="5"/>
      <c r="BI208" s="5"/>
      <c r="BK208" s="5"/>
      <c r="BL208" s="5"/>
      <c r="BM208" s="5"/>
      <c r="BN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BA209" s="5"/>
      <c r="BB209" s="5"/>
      <c r="BC209" s="5"/>
      <c r="BD209" s="5"/>
      <c r="BF209" s="5"/>
      <c r="BG209" s="5"/>
      <c r="BH209" s="5"/>
      <c r="BI209" s="5"/>
      <c r="BK209" s="5"/>
      <c r="BL209" s="5"/>
      <c r="BM209" s="5"/>
      <c r="BN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BA210" s="5"/>
      <c r="BB210" s="5"/>
      <c r="BC210" s="5"/>
      <c r="BD210" s="5"/>
      <c r="BF210" s="5"/>
      <c r="BG210" s="5"/>
      <c r="BH210" s="5"/>
      <c r="BI210" s="5"/>
      <c r="BK210" s="5"/>
      <c r="BL210" s="5"/>
      <c r="BM210" s="5"/>
      <c r="BN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BA211" s="5"/>
      <c r="BB211" s="5"/>
      <c r="BC211" s="5"/>
      <c r="BD211" s="5"/>
      <c r="BF211" s="5"/>
      <c r="BG211" s="5"/>
      <c r="BH211" s="5"/>
      <c r="BI211" s="5"/>
      <c r="BK211" s="5"/>
      <c r="BL211" s="5"/>
      <c r="BM211" s="5"/>
      <c r="BN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BA212" s="5"/>
      <c r="BB212" s="5"/>
      <c r="BC212" s="5"/>
      <c r="BD212" s="5"/>
      <c r="BF212" s="5"/>
      <c r="BG212" s="5"/>
      <c r="BH212" s="5"/>
      <c r="BI212" s="5"/>
      <c r="BK212" s="5"/>
      <c r="BL212" s="5"/>
      <c r="BM212" s="5"/>
      <c r="BN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BA213" s="5"/>
      <c r="BB213" s="5"/>
      <c r="BC213" s="5"/>
      <c r="BD213" s="5"/>
      <c r="BF213" s="5"/>
      <c r="BG213" s="5"/>
      <c r="BH213" s="5"/>
      <c r="BI213" s="5"/>
      <c r="BK213" s="5"/>
      <c r="BL213" s="5"/>
      <c r="BM213" s="5"/>
      <c r="BN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BA214" s="5"/>
      <c r="BB214" s="5"/>
      <c r="BC214" s="5"/>
      <c r="BD214" s="5"/>
      <c r="BF214" s="5"/>
      <c r="BG214" s="5"/>
      <c r="BH214" s="5"/>
      <c r="BI214" s="5"/>
      <c r="BK214" s="5"/>
      <c r="BL214" s="5"/>
      <c r="BM214" s="5"/>
      <c r="BN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BA215" s="5"/>
      <c r="BB215" s="5"/>
      <c r="BC215" s="5"/>
      <c r="BD215" s="5"/>
      <c r="BF215" s="5"/>
      <c r="BG215" s="5"/>
      <c r="BH215" s="5"/>
      <c r="BI215" s="5"/>
      <c r="BK215" s="5"/>
      <c r="BL215" s="5"/>
      <c r="BM215" s="5"/>
      <c r="BN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BA216" s="5"/>
      <c r="BB216" s="5"/>
      <c r="BC216" s="5"/>
      <c r="BD216" s="5"/>
      <c r="BF216" s="5"/>
      <c r="BG216" s="5"/>
      <c r="BH216" s="5"/>
      <c r="BI216" s="5"/>
      <c r="BK216" s="5"/>
      <c r="BL216" s="5"/>
      <c r="BM216" s="5"/>
      <c r="BN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BA217" s="5"/>
      <c r="BB217" s="5"/>
      <c r="BC217" s="5"/>
      <c r="BD217" s="5"/>
      <c r="BF217" s="5"/>
      <c r="BG217" s="5"/>
      <c r="BH217" s="5"/>
      <c r="BI217" s="5"/>
      <c r="BK217" s="5"/>
      <c r="BL217" s="5"/>
      <c r="BM217" s="5"/>
      <c r="BN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BA218" s="5"/>
      <c r="BB218" s="5"/>
      <c r="BC218" s="5"/>
      <c r="BD218" s="5"/>
      <c r="BF218" s="5"/>
      <c r="BG218" s="5"/>
      <c r="BH218" s="5"/>
      <c r="BI218" s="5"/>
      <c r="BK218" s="5"/>
      <c r="BL218" s="5"/>
      <c r="BM218" s="5"/>
      <c r="BN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BA219" s="5"/>
      <c r="BB219" s="5"/>
      <c r="BC219" s="5"/>
      <c r="BD219" s="5"/>
      <c r="BF219" s="5"/>
      <c r="BG219" s="5"/>
      <c r="BH219" s="5"/>
      <c r="BI219" s="5"/>
      <c r="BK219" s="5"/>
      <c r="BL219" s="5"/>
      <c r="BM219" s="5"/>
      <c r="BN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BA220" s="5"/>
      <c r="BB220" s="5"/>
      <c r="BC220" s="5"/>
      <c r="BD220" s="5"/>
      <c r="BF220" s="5"/>
      <c r="BG220" s="5"/>
      <c r="BH220" s="5"/>
      <c r="BI220" s="5"/>
      <c r="BK220" s="5"/>
      <c r="BL220" s="5"/>
      <c r="BM220" s="5"/>
      <c r="BN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BA221" s="5"/>
      <c r="BB221" s="5"/>
      <c r="BC221" s="5"/>
      <c r="BD221" s="5"/>
      <c r="BF221" s="5"/>
      <c r="BG221" s="5"/>
      <c r="BH221" s="5"/>
      <c r="BI221" s="5"/>
      <c r="BK221" s="5"/>
      <c r="BL221" s="5"/>
      <c r="BM221" s="5"/>
      <c r="BN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BA222" s="5"/>
      <c r="BB222" s="5"/>
      <c r="BC222" s="5"/>
      <c r="BD222" s="5"/>
      <c r="BF222" s="5"/>
      <c r="BG222" s="5"/>
      <c r="BH222" s="5"/>
      <c r="BI222" s="5"/>
      <c r="BK222" s="5"/>
      <c r="BL222" s="5"/>
      <c r="BM222" s="5"/>
      <c r="BN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BA223" s="5"/>
      <c r="BB223" s="5"/>
      <c r="BC223" s="5"/>
      <c r="BD223" s="5"/>
      <c r="BF223" s="5"/>
      <c r="BG223" s="5"/>
      <c r="BH223" s="5"/>
      <c r="BI223" s="5"/>
      <c r="BK223" s="5"/>
      <c r="BL223" s="5"/>
      <c r="BM223" s="5"/>
      <c r="BN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BA224" s="5"/>
      <c r="BB224" s="5"/>
      <c r="BC224" s="5"/>
      <c r="BD224" s="5"/>
      <c r="BF224" s="5"/>
      <c r="BG224" s="5"/>
      <c r="BH224" s="5"/>
      <c r="BI224" s="5"/>
      <c r="BK224" s="5"/>
      <c r="BL224" s="5"/>
      <c r="BM224" s="5"/>
      <c r="BN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BA225" s="5"/>
      <c r="BB225" s="5"/>
      <c r="BC225" s="5"/>
      <c r="BD225" s="5"/>
      <c r="BF225" s="5"/>
      <c r="BG225" s="5"/>
      <c r="BH225" s="5"/>
      <c r="BI225" s="5"/>
      <c r="BK225" s="5"/>
      <c r="BL225" s="5"/>
      <c r="BM225" s="5"/>
      <c r="BN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BA226" s="5"/>
      <c r="BB226" s="5"/>
      <c r="BC226" s="5"/>
      <c r="BD226" s="5"/>
      <c r="BF226" s="5"/>
      <c r="BG226" s="5"/>
      <c r="BH226" s="5"/>
      <c r="BI226" s="5"/>
      <c r="BK226" s="5"/>
      <c r="BL226" s="5"/>
      <c r="BM226" s="5"/>
      <c r="BN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BA227" s="5"/>
      <c r="BB227" s="5"/>
      <c r="BC227" s="5"/>
      <c r="BD227" s="5"/>
      <c r="BF227" s="5"/>
      <c r="BG227" s="5"/>
      <c r="BH227" s="5"/>
      <c r="BI227" s="5"/>
      <c r="BK227" s="5"/>
      <c r="BL227" s="5"/>
      <c r="BM227" s="5"/>
      <c r="BN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BA228" s="5"/>
      <c r="BB228" s="5"/>
      <c r="BC228" s="5"/>
      <c r="BD228" s="5"/>
      <c r="BF228" s="5"/>
      <c r="BG228" s="5"/>
      <c r="BH228" s="5"/>
      <c r="BI228" s="5"/>
      <c r="BK228" s="5"/>
      <c r="BL228" s="5"/>
      <c r="BM228" s="5"/>
      <c r="BN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BA229" s="5"/>
      <c r="BB229" s="5"/>
      <c r="BC229" s="5"/>
      <c r="BD229" s="5"/>
      <c r="BF229" s="5"/>
      <c r="BG229" s="5"/>
      <c r="BH229" s="5"/>
      <c r="BI229" s="5"/>
      <c r="BK229" s="5"/>
      <c r="BL229" s="5"/>
      <c r="BM229" s="5"/>
      <c r="BN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BA230" s="5"/>
      <c r="BB230" s="5"/>
      <c r="BC230" s="5"/>
      <c r="BD230" s="5"/>
      <c r="BF230" s="5"/>
      <c r="BG230" s="5"/>
      <c r="BH230" s="5"/>
      <c r="BI230" s="5"/>
      <c r="BK230" s="5"/>
      <c r="BL230" s="5"/>
      <c r="BM230" s="5"/>
      <c r="BN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BA231" s="5"/>
      <c r="BB231" s="5"/>
      <c r="BC231" s="5"/>
      <c r="BD231" s="5"/>
      <c r="BF231" s="5"/>
      <c r="BG231" s="5"/>
      <c r="BH231" s="5"/>
      <c r="BI231" s="5"/>
      <c r="BK231" s="5"/>
      <c r="BL231" s="5"/>
      <c r="BM231" s="5"/>
      <c r="BN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BA232" s="5"/>
      <c r="BB232" s="5"/>
      <c r="BC232" s="5"/>
      <c r="BD232" s="5"/>
      <c r="BF232" s="5"/>
      <c r="BG232" s="5"/>
      <c r="BH232" s="5"/>
      <c r="BI232" s="5"/>
      <c r="BK232" s="5"/>
      <c r="BL232" s="5"/>
      <c r="BM232" s="5"/>
      <c r="BN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BA233" s="5"/>
      <c r="BB233" s="5"/>
      <c r="BC233" s="5"/>
      <c r="BD233" s="5"/>
      <c r="BF233" s="5"/>
      <c r="BG233" s="5"/>
      <c r="BH233" s="5"/>
      <c r="BI233" s="5"/>
      <c r="BK233" s="5"/>
      <c r="BL233" s="5"/>
      <c r="BM233" s="5"/>
      <c r="BN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BA234" s="5"/>
      <c r="BB234" s="5"/>
      <c r="BC234" s="5"/>
      <c r="BD234" s="5"/>
      <c r="BF234" s="5"/>
      <c r="BG234" s="5"/>
      <c r="BH234" s="5"/>
      <c r="BI234" s="5"/>
      <c r="BK234" s="5"/>
      <c r="BL234" s="5"/>
      <c r="BM234" s="5"/>
      <c r="BN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BA235" s="5"/>
      <c r="BB235" s="5"/>
      <c r="BC235" s="5"/>
      <c r="BD235" s="5"/>
      <c r="BF235" s="5"/>
      <c r="BG235" s="5"/>
      <c r="BH235" s="5"/>
      <c r="BI235" s="5"/>
      <c r="BK235" s="5"/>
      <c r="BL235" s="5"/>
      <c r="BM235" s="5"/>
      <c r="BN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BA236" s="5"/>
      <c r="BB236" s="5"/>
      <c r="BC236" s="5"/>
      <c r="BD236" s="5"/>
      <c r="BF236" s="5"/>
      <c r="BG236" s="5"/>
      <c r="BH236" s="5"/>
      <c r="BI236" s="5"/>
      <c r="BK236" s="5"/>
      <c r="BL236" s="5"/>
      <c r="BM236" s="5"/>
      <c r="BN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BA237" s="5"/>
      <c r="BB237" s="5"/>
      <c r="BC237" s="5"/>
      <c r="BD237" s="5"/>
      <c r="BF237" s="5"/>
      <c r="BG237" s="5"/>
      <c r="BH237" s="5"/>
      <c r="BI237" s="5"/>
      <c r="BK237" s="5"/>
      <c r="BL237" s="5"/>
      <c r="BM237" s="5"/>
      <c r="BN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BA238" s="5"/>
      <c r="BB238" s="5"/>
      <c r="BC238" s="5"/>
      <c r="BD238" s="5"/>
      <c r="BF238" s="5"/>
      <c r="BG238" s="5"/>
      <c r="BH238" s="5"/>
      <c r="BI238" s="5"/>
      <c r="BK238" s="5"/>
      <c r="BL238" s="5"/>
      <c r="BM238" s="5"/>
      <c r="BN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BA239" s="5"/>
      <c r="BB239" s="5"/>
      <c r="BC239" s="5"/>
      <c r="BD239" s="5"/>
      <c r="BF239" s="5"/>
      <c r="BG239" s="5"/>
      <c r="BH239" s="5"/>
      <c r="BI239" s="5"/>
      <c r="BK239" s="5"/>
      <c r="BL239" s="5"/>
      <c r="BM239" s="5"/>
      <c r="BN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BA240" s="5"/>
      <c r="BB240" s="5"/>
      <c r="BC240" s="5"/>
      <c r="BD240" s="5"/>
      <c r="BF240" s="5"/>
      <c r="BG240" s="5"/>
      <c r="BH240" s="5"/>
      <c r="BI240" s="5"/>
      <c r="BK240" s="5"/>
      <c r="BL240" s="5"/>
      <c r="BM240" s="5"/>
      <c r="BN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BA241" s="5"/>
      <c r="BB241" s="5"/>
      <c r="BC241" s="5"/>
      <c r="BD241" s="5"/>
      <c r="BF241" s="5"/>
      <c r="BG241" s="5"/>
      <c r="BH241" s="5"/>
      <c r="BI241" s="5"/>
      <c r="BK241" s="5"/>
      <c r="BL241" s="5"/>
      <c r="BM241" s="5"/>
      <c r="BN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BA242" s="5"/>
      <c r="BB242" s="5"/>
      <c r="BC242" s="5"/>
      <c r="BD242" s="5"/>
      <c r="BF242" s="5"/>
      <c r="BG242" s="5"/>
      <c r="BH242" s="5"/>
      <c r="BI242" s="5"/>
      <c r="BK242" s="5"/>
      <c r="BL242" s="5"/>
      <c r="BM242" s="5"/>
      <c r="BN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BA243" s="5"/>
      <c r="BB243" s="5"/>
      <c r="BC243" s="5"/>
      <c r="BD243" s="5"/>
      <c r="BF243" s="5"/>
      <c r="BG243" s="5"/>
      <c r="BH243" s="5"/>
      <c r="BI243" s="5"/>
      <c r="BK243" s="5"/>
      <c r="BL243" s="5"/>
      <c r="BM243" s="5"/>
      <c r="BN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BA244" s="5"/>
      <c r="BB244" s="5"/>
      <c r="BC244" s="5"/>
      <c r="BD244" s="5"/>
      <c r="BF244" s="5"/>
      <c r="BG244" s="5"/>
      <c r="BH244" s="5"/>
      <c r="BI244" s="5"/>
      <c r="BK244" s="5"/>
      <c r="BL244" s="5"/>
      <c r="BM244" s="5"/>
      <c r="BN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BA245" s="5"/>
      <c r="BB245" s="5"/>
      <c r="BC245" s="5"/>
      <c r="BD245" s="5"/>
      <c r="BF245" s="5"/>
      <c r="BG245" s="5"/>
      <c r="BH245" s="5"/>
      <c r="BI245" s="5"/>
      <c r="BK245" s="5"/>
      <c r="BL245" s="5"/>
      <c r="BM245" s="5"/>
      <c r="BN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BA246" s="5"/>
      <c r="BB246" s="5"/>
      <c r="BC246" s="5"/>
      <c r="BD246" s="5"/>
      <c r="BF246" s="5"/>
      <c r="BG246" s="5"/>
      <c r="BH246" s="5"/>
      <c r="BI246" s="5"/>
      <c r="BK246" s="5"/>
      <c r="BL246" s="5"/>
      <c r="BM246" s="5"/>
      <c r="BN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BA247" s="5"/>
      <c r="BB247" s="5"/>
      <c r="BC247" s="5"/>
      <c r="BD247" s="5"/>
      <c r="BF247" s="5"/>
      <c r="BG247" s="5"/>
      <c r="BH247" s="5"/>
      <c r="BI247" s="5"/>
      <c r="BK247" s="5"/>
      <c r="BL247" s="5"/>
      <c r="BM247" s="5"/>
      <c r="BN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BA248" s="5"/>
      <c r="BB248" s="5"/>
      <c r="BC248" s="5"/>
      <c r="BD248" s="5"/>
      <c r="BF248" s="5"/>
      <c r="BG248" s="5"/>
      <c r="BH248" s="5"/>
      <c r="BI248" s="5"/>
      <c r="BK248" s="5"/>
      <c r="BL248" s="5"/>
      <c r="BM248" s="5"/>
      <c r="BN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BA249" s="5"/>
      <c r="BB249" s="5"/>
      <c r="BC249" s="5"/>
      <c r="BD249" s="5"/>
      <c r="BF249" s="5"/>
      <c r="BG249" s="5"/>
      <c r="BH249" s="5"/>
      <c r="BI249" s="5"/>
      <c r="BK249" s="5"/>
      <c r="BL249" s="5"/>
      <c r="BM249" s="5"/>
      <c r="BN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BA250" s="5"/>
      <c r="BB250" s="5"/>
      <c r="BC250" s="5"/>
      <c r="BD250" s="5"/>
      <c r="BF250" s="5"/>
      <c r="BG250" s="5"/>
      <c r="BH250" s="5"/>
      <c r="BI250" s="5"/>
      <c r="BK250" s="5"/>
      <c r="BL250" s="5"/>
      <c r="BM250" s="5"/>
      <c r="BN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BA251" s="5"/>
      <c r="BB251" s="5"/>
      <c r="BC251" s="5"/>
      <c r="BD251" s="5"/>
      <c r="BF251" s="5"/>
      <c r="BG251" s="5"/>
      <c r="BH251" s="5"/>
      <c r="BI251" s="5"/>
      <c r="BK251" s="5"/>
      <c r="BL251" s="5"/>
      <c r="BM251" s="5"/>
      <c r="BN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BA252" s="5"/>
      <c r="BB252" s="5"/>
      <c r="BC252" s="5"/>
      <c r="BD252" s="5"/>
      <c r="BF252" s="5"/>
      <c r="BG252" s="5"/>
      <c r="BH252" s="5"/>
      <c r="BI252" s="5"/>
      <c r="BK252" s="5"/>
      <c r="BL252" s="5"/>
      <c r="BM252" s="5"/>
      <c r="BN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BA253" s="5"/>
      <c r="BB253" s="5"/>
      <c r="BC253" s="5"/>
      <c r="BD253" s="5"/>
      <c r="BF253" s="5"/>
      <c r="BG253" s="5"/>
      <c r="BH253" s="5"/>
      <c r="BI253" s="5"/>
      <c r="BK253" s="5"/>
      <c r="BL253" s="5"/>
      <c r="BM253" s="5"/>
      <c r="BN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BA254" s="5"/>
      <c r="BB254" s="5"/>
      <c r="BC254" s="5"/>
      <c r="BD254" s="5"/>
      <c r="BF254" s="5"/>
      <c r="BG254" s="5"/>
      <c r="BH254" s="5"/>
      <c r="BI254" s="5"/>
      <c r="BK254" s="5"/>
      <c r="BL254" s="5"/>
      <c r="BM254" s="5"/>
      <c r="BN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BA255" s="5"/>
      <c r="BB255" s="5"/>
      <c r="BC255" s="5"/>
      <c r="BD255" s="5"/>
      <c r="BF255" s="5"/>
      <c r="BG255" s="5"/>
      <c r="BH255" s="5"/>
      <c r="BI255" s="5"/>
      <c r="BK255" s="5"/>
      <c r="BL255" s="5"/>
      <c r="BM255" s="5"/>
      <c r="BN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BA256" s="5"/>
      <c r="BB256" s="5"/>
      <c r="BC256" s="5"/>
      <c r="BD256" s="5"/>
      <c r="BF256" s="5"/>
      <c r="BG256" s="5"/>
      <c r="BH256" s="5"/>
      <c r="BI256" s="5"/>
      <c r="BK256" s="5"/>
      <c r="BL256" s="5"/>
      <c r="BM256" s="5"/>
      <c r="BN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BA257" s="5"/>
      <c r="BB257" s="5"/>
      <c r="BC257" s="5"/>
      <c r="BD257" s="5"/>
      <c r="BF257" s="5"/>
      <c r="BG257" s="5"/>
      <c r="BH257" s="5"/>
      <c r="BI257" s="5"/>
      <c r="BK257" s="5"/>
      <c r="BL257" s="5"/>
      <c r="BM257" s="5"/>
      <c r="BN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BA258" s="5"/>
      <c r="BB258" s="5"/>
      <c r="BC258" s="5"/>
      <c r="BD258" s="5"/>
      <c r="BF258" s="5"/>
      <c r="BG258" s="5"/>
      <c r="BH258" s="5"/>
      <c r="BI258" s="5"/>
      <c r="BK258" s="5"/>
      <c r="BL258" s="5"/>
      <c r="BM258" s="5"/>
      <c r="BN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BA259" s="5"/>
      <c r="BB259" s="5"/>
      <c r="BC259" s="5"/>
      <c r="BD259" s="5"/>
      <c r="BF259" s="5"/>
      <c r="BG259" s="5"/>
      <c r="BH259" s="5"/>
      <c r="BI259" s="5"/>
      <c r="BK259" s="5"/>
      <c r="BL259" s="5"/>
      <c r="BM259" s="5"/>
      <c r="BN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BA260" s="5"/>
      <c r="BB260" s="5"/>
      <c r="BC260" s="5"/>
      <c r="BD260" s="5"/>
      <c r="BF260" s="5"/>
      <c r="BG260" s="5"/>
      <c r="BH260" s="5"/>
      <c r="BI260" s="5"/>
      <c r="BK260" s="5"/>
      <c r="BL260" s="5"/>
      <c r="BM260" s="5"/>
      <c r="BN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BA261" s="5"/>
      <c r="BB261" s="5"/>
      <c r="BC261" s="5"/>
      <c r="BD261" s="5"/>
      <c r="BF261" s="5"/>
      <c r="BG261" s="5"/>
      <c r="BH261" s="5"/>
      <c r="BI261" s="5"/>
      <c r="BK261" s="5"/>
      <c r="BL261" s="5"/>
      <c r="BM261" s="5"/>
      <c r="BN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BA262" s="5"/>
      <c r="BB262" s="5"/>
      <c r="BC262" s="5"/>
      <c r="BD262" s="5"/>
      <c r="BF262" s="5"/>
      <c r="BG262" s="5"/>
      <c r="BH262" s="5"/>
      <c r="BI262" s="5"/>
      <c r="BK262" s="5"/>
      <c r="BL262" s="5"/>
      <c r="BM262" s="5"/>
      <c r="BN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BA263" s="5"/>
      <c r="BB263" s="5"/>
      <c r="BC263" s="5"/>
      <c r="BD263" s="5"/>
      <c r="BF263" s="5"/>
      <c r="BG263" s="5"/>
      <c r="BH263" s="5"/>
      <c r="BI263" s="5"/>
      <c r="BK263" s="5"/>
      <c r="BL263" s="5"/>
      <c r="BM263" s="5"/>
      <c r="BN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BA264" s="5"/>
      <c r="BB264" s="5"/>
      <c r="BC264" s="5"/>
      <c r="BD264" s="5"/>
      <c r="BF264" s="5"/>
      <c r="BG264" s="5"/>
      <c r="BH264" s="5"/>
      <c r="BI264" s="5"/>
      <c r="BK264" s="5"/>
      <c r="BL264" s="5"/>
      <c r="BM264" s="5"/>
      <c r="BN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BA265" s="5"/>
      <c r="BB265" s="5"/>
      <c r="BC265" s="5"/>
      <c r="BD265" s="5"/>
      <c r="BF265" s="5"/>
      <c r="BG265" s="5"/>
      <c r="BH265" s="5"/>
      <c r="BI265" s="5"/>
      <c r="BK265" s="5"/>
      <c r="BL265" s="5"/>
      <c r="BM265" s="5"/>
      <c r="BN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BA266" s="5"/>
      <c r="BB266" s="5"/>
      <c r="BC266" s="5"/>
      <c r="BD266" s="5"/>
      <c r="BF266" s="5"/>
      <c r="BG266" s="5"/>
      <c r="BH266" s="5"/>
      <c r="BI266" s="5"/>
      <c r="BK266" s="5"/>
      <c r="BL266" s="5"/>
      <c r="BM266" s="5"/>
      <c r="BN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BA267" s="5"/>
      <c r="BB267" s="5"/>
      <c r="BC267" s="5"/>
      <c r="BD267" s="5"/>
      <c r="BF267" s="5"/>
      <c r="BG267" s="5"/>
      <c r="BH267" s="5"/>
      <c r="BI267" s="5"/>
      <c r="BK267" s="5"/>
      <c r="BL267" s="5"/>
      <c r="BM267" s="5"/>
      <c r="BN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BA268" s="5"/>
      <c r="BB268" s="5"/>
      <c r="BC268" s="5"/>
      <c r="BD268" s="5"/>
      <c r="BF268" s="5"/>
      <c r="BG268" s="5"/>
      <c r="BH268" s="5"/>
      <c r="BI268" s="5"/>
      <c r="BK268" s="5"/>
      <c r="BL268" s="5"/>
      <c r="BM268" s="5"/>
      <c r="BN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BA269" s="5"/>
      <c r="BB269" s="5"/>
      <c r="BC269" s="5"/>
      <c r="BD269" s="5"/>
      <c r="BF269" s="5"/>
      <c r="BG269" s="5"/>
      <c r="BH269" s="5"/>
      <c r="BI269" s="5"/>
      <c r="BK269" s="5"/>
      <c r="BL269" s="5"/>
      <c r="BM269" s="5"/>
      <c r="BN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BA270" s="5"/>
      <c r="BB270" s="5"/>
      <c r="BC270" s="5"/>
      <c r="BD270" s="5"/>
      <c r="BF270" s="5"/>
      <c r="BG270" s="5"/>
      <c r="BH270" s="5"/>
      <c r="BI270" s="5"/>
      <c r="BK270" s="5"/>
      <c r="BL270" s="5"/>
      <c r="BM270" s="5"/>
      <c r="BN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BA271" s="5"/>
      <c r="BB271" s="5"/>
      <c r="BC271" s="5"/>
      <c r="BD271" s="5"/>
      <c r="BF271" s="5"/>
      <c r="BG271" s="5"/>
      <c r="BH271" s="5"/>
      <c r="BI271" s="5"/>
      <c r="BK271" s="5"/>
      <c r="BL271" s="5"/>
      <c r="BM271" s="5"/>
      <c r="BN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BA272" s="5"/>
      <c r="BB272" s="5"/>
      <c r="BC272" s="5"/>
      <c r="BD272" s="5"/>
      <c r="BF272" s="5"/>
      <c r="BG272" s="5"/>
      <c r="BH272" s="5"/>
      <c r="BI272" s="5"/>
      <c r="BK272" s="5"/>
      <c r="BL272" s="5"/>
      <c r="BM272" s="5"/>
      <c r="BN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BA273" s="5"/>
      <c r="BB273" s="5"/>
      <c r="BC273" s="5"/>
      <c r="BD273" s="5"/>
      <c r="BF273" s="5"/>
      <c r="BG273" s="5"/>
      <c r="BH273" s="5"/>
      <c r="BI273" s="5"/>
      <c r="BK273" s="5"/>
      <c r="BL273" s="5"/>
      <c r="BM273" s="5"/>
      <c r="BN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BA274" s="5"/>
      <c r="BB274" s="5"/>
      <c r="BC274" s="5"/>
      <c r="BD274" s="5"/>
      <c r="BF274" s="5"/>
      <c r="BG274" s="5"/>
      <c r="BH274" s="5"/>
      <c r="BI274" s="5"/>
      <c r="BK274" s="5"/>
      <c r="BL274" s="5"/>
      <c r="BM274" s="5"/>
      <c r="BN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BA275" s="5"/>
      <c r="BB275" s="5"/>
      <c r="BC275" s="5"/>
      <c r="BD275" s="5"/>
      <c r="BF275" s="5"/>
      <c r="BG275" s="5"/>
      <c r="BH275" s="5"/>
      <c r="BI275" s="5"/>
      <c r="BK275" s="5"/>
      <c r="BL275" s="5"/>
      <c r="BM275" s="5"/>
      <c r="BN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BA276" s="5"/>
      <c r="BB276" s="5"/>
      <c r="BC276" s="5"/>
      <c r="BD276" s="5"/>
      <c r="BF276" s="5"/>
      <c r="BG276" s="5"/>
      <c r="BH276" s="5"/>
      <c r="BI276" s="5"/>
      <c r="BK276" s="5"/>
      <c r="BL276" s="5"/>
      <c r="BM276" s="5"/>
      <c r="BN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BA277" s="5"/>
      <c r="BB277" s="5"/>
      <c r="BC277" s="5"/>
      <c r="BD277" s="5"/>
      <c r="BF277" s="5"/>
      <c r="BG277" s="5"/>
      <c r="BH277" s="5"/>
      <c r="BI277" s="5"/>
      <c r="BK277" s="5"/>
      <c r="BL277" s="5"/>
      <c r="BM277" s="5"/>
      <c r="BN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BA278" s="5"/>
      <c r="BB278" s="5"/>
      <c r="BC278" s="5"/>
      <c r="BD278" s="5"/>
      <c r="BF278" s="5"/>
      <c r="BG278" s="5"/>
      <c r="BH278" s="5"/>
      <c r="BI278" s="5"/>
      <c r="BK278" s="5"/>
      <c r="BL278" s="5"/>
      <c r="BM278" s="5"/>
      <c r="BN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BA279" s="5"/>
      <c r="BB279" s="5"/>
      <c r="BC279" s="5"/>
      <c r="BD279" s="5"/>
      <c r="BF279" s="5"/>
      <c r="BG279" s="5"/>
      <c r="BH279" s="5"/>
      <c r="BI279" s="5"/>
      <c r="BK279" s="5"/>
      <c r="BL279" s="5"/>
      <c r="BM279" s="5"/>
      <c r="BN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BA280" s="5"/>
      <c r="BB280" s="5"/>
      <c r="BC280" s="5"/>
      <c r="BD280" s="5"/>
      <c r="BF280" s="5"/>
      <c r="BG280" s="5"/>
      <c r="BH280" s="5"/>
      <c r="BI280" s="5"/>
      <c r="BK280" s="5"/>
      <c r="BL280" s="5"/>
      <c r="BM280" s="5"/>
      <c r="BN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BA281" s="5"/>
      <c r="BB281" s="5"/>
      <c r="BC281" s="5"/>
      <c r="BD281" s="5"/>
      <c r="BF281" s="5"/>
      <c r="BG281" s="5"/>
      <c r="BH281" s="5"/>
      <c r="BI281" s="5"/>
      <c r="BK281" s="5"/>
      <c r="BL281" s="5"/>
      <c r="BM281" s="5"/>
      <c r="BN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BA282" s="5"/>
      <c r="BB282" s="5"/>
      <c r="BC282" s="5"/>
      <c r="BD282" s="5"/>
      <c r="BF282" s="5"/>
      <c r="BG282" s="5"/>
      <c r="BH282" s="5"/>
      <c r="BI282" s="5"/>
      <c r="BK282" s="5"/>
      <c r="BL282" s="5"/>
      <c r="BM282" s="5"/>
      <c r="BN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BA283" s="5"/>
      <c r="BB283" s="5"/>
      <c r="BC283" s="5"/>
      <c r="BD283" s="5"/>
      <c r="BF283" s="5"/>
      <c r="BG283" s="5"/>
      <c r="BH283" s="5"/>
      <c r="BI283" s="5"/>
      <c r="BK283" s="5"/>
      <c r="BL283" s="5"/>
      <c r="BM283" s="5"/>
      <c r="BN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BA284" s="5"/>
      <c r="BB284" s="5"/>
      <c r="BC284" s="5"/>
      <c r="BD284" s="5"/>
      <c r="BF284" s="5"/>
      <c r="BG284" s="5"/>
      <c r="BH284" s="5"/>
      <c r="BI284" s="5"/>
      <c r="BK284" s="5"/>
      <c r="BL284" s="5"/>
      <c r="BM284" s="5"/>
      <c r="BN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BA285" s="5"/>
      <c r="BB285" s="5"/>
      <c r="BC285" s="5"/>
      <c r="BD285" s="5"/>
      <c r="BF285" s="5"/>
      <c r="BG285" s="5"/>
      <c r="BH285" s="5"/>
      <c r="BI285" s="5"/>
      <c r="BK285" s="5"/>
      <c r="BL285" s="5"/>
      <c r="BM285" s="5"/>
      <c r="BN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BA286" s="5"/>
      <c r="BB286" s="5"/>
      <c r="BC286" s="5"/>
      <c r="BD286" s="5"/>
      <c r="BF286" s="5"/>
      <c r="BG286" s="5"/>
      <c r="BH286" s="5"/>
      <c r="BI286" s="5"/>
      <c r="BK286" s="5"/>
      <c r="BL286" s="5"/>
      <c r="BM286" s="5"/>
      <c r="BN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BA287" s="5"/>
      <c r="BB287" s="5"/>
      <c r="BC287" s="5"/>
      <c r="BD287" s="5"/>
      <c r="BF287" s="5"/>
      <c r="BG287" s="5"/>
      <c r="BH287" s="5"/>
      <c r="BI287" s="5"/>
      <c r="BK287" s="5"/>
      <c r="BL287" s="5"/>
      <c r="BM287" s="5"/>
      <c r="BN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BA288" s="5"/>
      <c r="BB288" s="5"/>
      <c r="BC288" s="5"/>
      <c r="BD288" s="5"/>
      <c r="BF288" s="5"/>
      <c r="BG288" s="5"/>
      <c r="BH288" s="5"/>
      <c r="BI288" s="5"/>
      <c r="BK288" s="5"/>
      <c r="BL288" s="5"/>
      <c r="BM288" s="5"/>
      <c r="BN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BA289" s="5"/>
      <c r="BB289" s="5"/>
      <c r="BC289" s="5"/>
      <c r="BD289" s="5"/>
      <c r="BF289" s="5"/>
      <c r="BG289" s="5"/>
      <c r="BH289" s="5"/>
      <c r="BI289" s="5"/>
      <c r="BK289" s="5"/>
      <c r="BL289" s="5"/>
      <c r="BM289" s="5"/>
      <c r="BN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BA290" s="5"/>
      <c r="BB290" s="5"/>
      <c r="BC290" s="5"/>
      <c r="BD290" s="5"/>
      <c r="BF290" s="5"/>
      <c r="BG290" s="5"/>
      <c r="BH290" s="5"/>
      <c r="BI290" s="5"/>
      <c r="BK290" s="5"/>
      <c r="BL290" s="5"/>
      <c r="BM290" s="5"/>
      <c r="BN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BA291" s="5"/>
      <c r="BB291" s="5"/>
      <c r="BC291" s="5"/>
      <c r="BD291" s="5"/>
      <c r="BF291" s="5"/>
      <c r="BG291" s="5"/>
      <c r="BH291" s="5"/>
      <c r="BI291" s="5"/>
      <c r="BK291" s="5"/>
      <c r="BL291" s="5"/>
      <c r="BM291" s="5"/>
      <c r="BN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BA292" s="5"/>
      <c r="BB292" s="5"/>
      <c r="BC292" s="5"/>
      <c r="BD292" s="5"/>
      <c r="BF292" s="5"/>
      <c r="BG292" s="5"/>
      <c r="BH292" s="5"/>
      <c r="BI292" s="5"/>
      <c r="BK292" s="5"/>
      <c r="BL292" s="5"/>
      <c r="BM292" s="5"/>
      <c r="BN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BA293" s="5"/>
      <c r="BB293" s="5"/>
      <c r="BC293" s="5"/>
      <c r="BD293" s="5"/>
      <c r="BF293" s="5"/>
      <c r="BG293" s="5"/>
      <c r="BH293" s="5"/>
      <c r="BI293" s="5"/>
      <c r="BK293" s="5"/>
      <c r="BL293" s="5"/>
      <c r="BM293" s="5"/>
      <c r="BN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BA294" s="5"/>
      <c r="BB294" s="5"/>
      <c r="BC294" s="5"/>
      <c r="BD294" s="5"/>
      <c r="BF294" s="5"/>
      <c r="BG294" s="5"/>
      <c r="BH294" s="5"/>
      <c r="BI294" s="5"/>
      <c r="BK294" s="5"/>
      <c r="BL294" s="5"/>
      <c r="BM294" s="5"/>
      <c r="BN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BA295" s="5"/>
      <c r="BB295" s="5"/>
      <c r="BC295" s="5"/>
      <c r="BD295" s="5"/>
      <c r="BF295" s="5"/>
      <c r="BG295" s="5"/>
      <c r="BH295" s="5"/>
      <c r="BI295" s="5"/>
      <c r="BK295" s="5"/>
      <c r="BL295" s="5"/>
      <c r="BM295" s="5"/>
      <c r="BN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BA296" s="5"/>
      <c r="BB296" s="5"/>
      <c r="BC296" s="5"/>
      <c r="BD296" s="5"/>
      <c r="BF296" s="5"/>
      <c r="BG296" s="5"/>
      <c r="BH296" s="5"/>
      <c r="BI296" s="5"/>
      <c r="BK296" s="5"/>
      <c r="BL296" s="5"/>
      <c r="BM296" s="5"/>
      <c r="BN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BA297" s="5"/>
      <c r="BB297" s="5"/>
      <c r="BC297" s="5"/>
      <c r="BD297" s="5"/>
      <c r="BF297" s="5"/>
      <c r="BG297" s="5"/>
      <c r="BH297" s="5"/>
      <c r="BI297" s="5"/>
      <c r="BK297" s="5"/>
      <c r="BL297" s="5"/>
      <c r="BM297" s="5"/>
      <c r="BN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BA298" s="5"/>
      <c r="BB298" s="5"/>
      <c r="BC298" s="5"/>
      <c r="BD298" s="5"/>
      <c r="BF298" s="5"/>
      <c r="BG298" s="5"/>
      <c r="BH298" s="5"/>
      <c r="BI298" s="5"/>
      <c r="BK298" s="5"/>
      <c r="BL298" s="5"/>
      <c r="BM298" s="5"/>
      <c r="BN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BA299" s="5"/>
      <c r="BB299" s="5"/>
      <c r="BC299" s="5"/>
      <c r="BD299" s="5"/>
      <c r="BF299" s="5"/>
      <c r="BG299" s="5"/>
      <c r="BH299" s="5"/>
      <c r="BI299" s="5"/>
      <c r="BK299" s="5"/>
      <c r="BL299" s="5"/>
      <c r="BM299" s="5"/>
      <c r="BN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BA300" s="5"/>
      <c r="BB300" s="5"/>
      <c r="BC300" s="5"/>
      <c r="BD300" s="5"/>
      <c r="BF300" s="5"/>
      <c r="BG300" s="5"/>
      <c r="BH300" s="5"/>
      <c r="BI300" s="5"/>
      <c r="BK300" s="5"/>
      <c r="BL300" s="5"/>
      <c r="BM300" s="5"/>
      <c r="BN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BA301" s="5"/>
      <c r="BB301" s="5"/>
      <c r="BC301" s="5"/>
      <c r="BD301" s="5"/>
      <c r="BF301" s="5"/>
      <c r="BG301" s="5"/>
      <c r="BH301" s="5"/>
      <c r="BI301" s="5"/>
      <c r="BK301" s="5"/>
      <c r="BL301" s="5"/>
      <c r="BM301" s="5"/>
      <c r="BN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BA302" s="5"/>
      <c r="BB302" s="5"/>
      <c r="BC302" s="5"/>
      <c r="BD302" s="5"/>
      <c r="BF302" s="5"/>
      <c r="BG302" s="5"/>
      <c r="BH302" s="5"/>
      <c r="BI302" s="5"/>
      <c r="BK302" s="5"/>
      <c r="BL302" s="5"/>
      <c r="BM302" s="5"/>
      <c r="BN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BA303" s="5"/>
      <c r="BB303" s="5"/>
      <c r="BC303" s="5"/>
      <c r="BD303" s="5"/>
      <c r="BF303" s="5"/>
      <c r="BG303" s="5"/>
      <c r="BH303" s="5"/>
      <c r="BI303" s="5"/>
      <c r="BK303" s="5"/>
      <c r="BL303" s="5"/>
      <c r="BM303" s="5"/>
      <c r="BN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BA304" s="5"/>
      <c r="BB304" s="5"/>
      <c r="BC304" s="5"/>
      <c r="BD304" s="5"/>
      <c r="BF304" s="5"/>
      <c r="BG304" s="5"/>
      <c r="BH304" s="5"/>
      <c r="BI304" s="5"/>
      <c r="BK304" s="5"/>
      <c r="BL304" s="5"/>
      <c r="BM304" s="5"/>
      <c r="BN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BA305" s="5"/>
      <c r="BB305" s="5"/>
      <c r="BC305" s="5"/>
      <c r="BD305" s="5"/>
      <c r="BF305" s="5"/>
      <c r="BG305" s="5"/>
      <c r="BH305" s="5"/>
      <c r="BI305" s="5"/>
      <c r="BK305" s="5"/>
      <c r="BL305" s="5"/>
      <c r="BM305" s="5"/>
      <c r="BN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BA306" s="5"/>
      <c r="BB306" s="5"/>
      <c r="BC306" s="5"/>
      <c r="BD306" s="5"/>
      <c r="BF306" s="5"/>
      <c r="BG306" s="5"/>
      <c r="BH306" s="5"/>
      <c r="BI306" s="5"/>
      <c r="BK306" s="5"/>
      <c r="BL306" s="5"/>
      <c r="BM306" s="5"/>
      <c r="BN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BA307" s="5"/>
      <c r="BB307" s="5"/>
      <c r="BC307" s="5"/>
      <c r="BD307" s="5"/>
      <c r="BF307" s="5"/>
      <c r="BG307" s="5"/>
      <c r="BH307" s="5"/>
      <c r="BI307" s="5"/>
      <c r="BK307" s="5"/>
      <c r="BL307" s="5"/>
      <c r="BM307" s="5"/>
      <c r="BN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BA308" s="5"/>
      <c r="BB308" s="5"/>
      <c r="BC308" s="5"/>
      <c r="BD308" s="5"/>
      <c r="BF308" s="5"/>
      <c r="BG308" s="5"/>
      <c r="BH308" s="5"/>
      <c r="BI308" s="5"/>
      <c r="BK308" s="5"/>
      <c r="BL308" s="5"/>
      <c r="BM308" s="5"/>
      <c r="BN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BA309" s="5"/>
      <c r="BB309" s="5"/>
      <c r="BC309" s="5"/>
      <c r="BD309" s="5"/>
      <c r="BF309" s="5"/>
      <c r="BG309" s="5"/>
      <c r="BH309" s="5"/>
      <c r="BI309" s="5"/>
      <c r="BK309" s="5"/>
      <c r="BL309" s="5"/>
      <c r="BM309" s="5"/>
      <c r="BN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BA310" s="5"/>
      <c r="BB310" s="5"/>
      <c r="BC310" s="5"/>
      <c r="BD310" s="5"/>
      <c r="BF310" s="5"/>
      <c r="BG310" s="5"/>
      <c r="BH310" s="5"/>
      <c r="BI310" s="5"/>
      <c r="BK310" s="5"/>
      <c r="BL310" s="5"/>
      <c r="BM310" s="5"/>
      <c r="BN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BA311" s="5"/>
      <c r="BB311" s="5"/>
      <c r="BC311" s="5"/>
      <c r="BD311" s="5"/>
      <c r="BF311" s="5"/>
      <c r="BG311" s="5"/>
      <c r="BH311" s="5"/>
      <c r="BI311" s="5"/>
      <c r="BK311" s="5"/>
      <c r="BL311" s="5"/>
      <c r="BM311" s="5"/>
      <c r="BN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BA312" s="5"/>
      <c r="BB312" s="5"/>
      <c r="BC312" s="5"/>
      <c r="BD312" s="5"/>
      <c r="BF312" s="5"/>
      <c r="BG312" s="5"/>
      <c r="BH312" s="5"/>
      <c r="BI312" s="5"/>
      <c r="BK312" s="5"/>
      <c r="BL312" s="5"/>
      <c r="BM312" s="5"/>
      <c r="BN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BA313" s="5"/>
      <c r="BB313" s="5"/>
      <c r="BC313" s="5"/>
      <c r="BD313" s="5"/>
      <c r="BF313" s="5"/>
      <c r="BG313" s="5"/>
      <c r="BH313" s="5"/>
      <c r="BI313" s="5"/>
      <c r="BK313" s="5"/>
      <c r="BL313" s="5"/>
      <c r="BM313" s="5"/>
      <c r="BN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BA314" s="5"/>
      <c r="BB314" s="5"/>
      <c r="BC314" s="5"/>
      <c r="BD314" s="5"/>
      <c r="BF314" s="5"/>
      <c r="BG314" s="5"/>
      <c r="BH314" s="5"/>
      <c r="BI314" s="5"/>
      <c r="BK314" s="5"/>
      <c r="BL314" s="5"/>
      <c r="BM314" s="5"/>
      <c r="BN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BA315" s="5"/>
      <c r="BB315" s="5"/>
      <c r="BC315" s="5"/>
      <c r="BD315" s="5"/>
      <c r="BF315" s="5"/>
      <c r="BG315" s="5"/>
      <c r="BH315" s="5"/>
      <c r="BI315" s="5"/>
      <c r="BK315" s="5"/>
      <c r="BL315" s="5"/>
      <c r="BM315" s="5"/>
      <c r="BN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BA316" s="5"/>
      <c r="BB316" s="5"/>
      <c r="BC316" s="5"/>
      <c r="BD316" s="5"/>
      <c r="BF316" s="5"/>
      <c r="BG316" s="5"/>
      <c r="BH316" s="5"/>
      <c r="BI316" s="5"/>
      <c r="BK316" s="5"/>
      <c r="BL316" s="5"/>
      <c r="BM316" s="5"/>
      <c r="BN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BA317" s="5"/>
      <c r="BB317" s="5"/>
      <c r="BC317" s="5"/>
      <c r="BD317" s="5"/>
      <c r="BF317" s="5"/>
      <c r="BG317" s="5"/>
      <c r="BH317" s="5"/>
      <c r="BI317" s="5"/>
      <c r="BK317" s="5"/>
      <c r="BL317" s="5"/>
      <c r="BM317" s="5"/>
      <c r="BN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BA318" s="5"/>
      <c r="BB318" s="5"/>
      <c r="BC318" s="5"/>
      <c r="BD318" s="5"/>
      <c r="BF318" s="5"/>
      <c r="BG318" s="5"/>
      <c r="BH318" s="5"/>
      <c r="BI318" s="5"/>
      <c r="BK318" s="5"/>
      <c r="BL318" s="5"/>
      <c r="BM318" s="5"/>
      <c r="BN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BA319" s="5"/>
      <c r="BB319" s="5"/>
      <c r="BC319" s="5"/>
      <c r="BD319" s="5"/>
      <c r="BF319" s="5"/>
      <c r="BG319" s="5"/>
      <c r="BH319" s="5"/>
      <c r="BI319" s="5"/>
      <c r="BK319" s="5"/>
      <c r="BL319" s="5"/>
      <c r="BM319" s="5"/>
      <c r="BN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BA320" s="5"/>
      <c r="BB320" s="5"/>
      <c r="BC320" s="5"/>
      <c r="BD320" s="5"/>
      <c r="BF320" s="5"/>
      <c r="BG320" s="5"/>
      <c r="BH320" s="5"/>
      <c r="BI320" s="5"/>
      <c r="BK320" s="5"/>
      <c r="BL320" s="5"/>
      <c r="BM320" s="5"/>
      <c r="BN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BA321" s="5"/>
      <c r="BB321" s="5"/>
      <c r="BC321" s="5"/>
      <c r="BD321" s="5"/>
      <c r="BF321" s="5"/>
      <c r="BG321" s="5"/>
      <c r="BH321" s="5"/>
      <c r="BI321" s="5"/>
      <c r="BK321" s="5"/>
      <c r="BL321" s="5"/>
      <c r="BM321" s="5"/>
      <c r="BN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BA322" s="5"/>
      <c r="BB322" s="5"/>
      <c r="BC322" s="5"/>
      <c r="BD322" s="5"/>
      <c r="BF322" s="5"/>
      <c r="BG322" s="5"/>
      <c r="BH322" s="5"/>
      <c r="BI322" s="5"/>
      <c r="BK322" s="5"/>
      <c r="BL322" s="5"/>
      <c r="BM322" s="5"/>
      <c r="BN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BA323" s="5"/>
      <c r="BB323" s="5"/>
      <c r="BC323" s="5"/>
      <c r="BD323" s="5"/>
      <c r="BF323" s="5"/>
      <c r="BG323" s="5"/>
      <c r="BH323" s="5"/>
      <c r="BI323" s="5"/>
      <c r="BK323" s="5"/>
      <c r="BL323" s="5"/>
      <c r="BM323" s="5"/>
      <c r="BN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BA324" s="5"/>
      <c r="BB324" s="5"/>
      <c r="BC324" s="5"/>
      <c r="BD324" s="5"/>
      <c r="BF324" s="5"/>
      <c r="BG324" s="5"/>
      <c r="BH324" s="5"/>
      <c r="BI324" s="5"/>
      <c r="BK324" s="5"/>
      <c r="BL324" s="5"/>
      <c r="BM324" s="5"/>
      <c r="BN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BA325" s="5"/>
      <c r="BB325" s="5"/>
      <c r="BC325" s="5"/>
      <c r="BD325" s="5"/>
      <c r="BF325" s="5"/>
      <c r="BG325" s="5"/>
      <c r="BH325" s="5"/>
      <c r="BI325" s="5"/>
      <c r="BK325" s="5"/>
      <c r="BL325" s="5"/>
      <c r="BM325" s="5"/>
      <c r="BN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BA326" s="5"/>
      <c r="BB326" s="5"/>
      <c r="BC326" s="5"/>
      <c r="BD326" s="5"/>
      <c r="BF326" s="5"/>
      <c r="BG326" s="5"/>
      <c r="BH326" s="5"/>
      <c r="BI326" s="5"/>
      <c r="BK326" s="5"/>
      <c r="BL326" s="5"/>
      <c r="BM326" s="5"/>
      <c r="BN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BA327" s="5"/>
      <c r="BB327" s="5"/>
      <c r="BC327" s="5"/>
      <c r="BD327" s="5"/>
      <c r="BF327" s="5"/>
      <c r="BG327" s="5"/>
      <c r="BH327" s="5"/>
      <c r="BI327" s="5"/>
      <c r="BK327" s="5"/>
      <c r="BL327" s="5"/>
      <c r="BM327" s="5"/>
      <c r="BN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BA328" s="5"/>
      <c r="BB328" s="5"/>
      <c r="BC328" s="5"/>
      <c r="BD328" s="5"/>
      <c r="BF328" s="5"/>
      <c r="BG328" s="5"/>
      <c r="BH328" s="5"/>
      <c r="BI328" s="5"/>
      <c r="BK328" s="5"/>
      <c r="BL328" s="5"/>
      <c r="BM328" s="5"/>
      <c r="BN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BA329" s="5"/>
      <c r="BB329" s="5"/>
      <c r="BC329" s="5"/>
      <c r="BD329" s="5"/>
      <c r="BF329" s="5"/>
      <c r="BG329" s="5"/>
      <c r="BH329" s="5"/>
      <c r="BI329" s="5"/>
      <c r="BK329" s="5"/>
      <c r="BL329" s="5"/>
      <c r="BM329" s="5"/>
      <c r="BN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BA330" s="5"/>
      <c r="BB330" s="5"/>
      <c r="BC330" s="5"/>
      <c r="BD330" s="5"/>
      <c r="BF330" s="5"/>
      <c r="BG330" s="5"/>
      <c r="BH330" s="5"/>
      <c r="BI330" s="5"/>
      <c r="BK330" s="5"/>
      <c r="BL330" s="5"/>
      <c r="BM330" s="5"/>
      <c r="BN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BA331" s="5"/>
      <c r="BB331" s="5"/>
      <c r="BC331" s="5"/>
      <c r="BD331" s="5"/>
      <c r="BF331" s="5"/>
      <c r="BG331" s="5"/>
      <c r="BH331" s="5"/>
      <c r="BI331" s="5"/>
      <c r="BK331" s="5"/>
      <c r="BL331" s="5"/>
      <c r="BM331" s="5"/>
      <c r="BN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BA332" s="5"/>
      <c r="BB332" s="5"/>
      <c r="BC332" s="5"/>
      <c r="BD332" s="5"/>
      <c r="BF332" s="5"/>
      <c r="BG332" s="5"/>
      <c r="BH332" s="5"/>
      <c r="BI332" s="5"/>
      <c r="BK332" s="5"/>
      <c r="BL332" s="5"/>
      <c r="BM332" s="5"/>
      <c r="BN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BA333" s="5"/>
      <c r="BB333" s="5"/>
      <c r="BC333" s="5"/>
      <c r="BD333" s="5"/>
      <c r="BF333" s="5"/>
      <c r="BG333" s="5"/>
      <c r="BH333" s="5"/>
      <c r="BI333" s="5"/>
      <c r="BK333" s="5"/>
      <c r="BL333" s="5"/>
      <c r="BM333" s="5"/>
      <c r="BN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BA334" s="5"/>
      <c r="BB334" s="5"/>
      <c r="BC334" s="5"/>
      <c r="BD334" s="5"/>
      <c r="BF334" s="5"/>
      <c r="BG334" s="5"/>
      <c r="BH334" s="5"/>
      <c r="BI334" s="5"/>
      <c r="BK334" s="5"/>
      <c r="BL334" s="5"/>
      <c r="BM334" s="5"/>
      <c r="BN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BA335" s="5"/>
      <c r="BB335" s="5"/>
      <c r="BC335" s="5"/>
      <c r="BD335" s="5"/>
      <c r="BF335" s="5"/>
      <c r="BG335" s="5"/>
      <c r="BH335" s="5"/>
      <c r="BI335" s="5"/>
      <c r="BK335" s="5"/>
      <c r="BL335" s="5"/>
      <c r="BM335" s="5"/>
      <c r="BN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BA336" s="5"/>
      <c r="BB336" s="5"/>
      <c r="BC336" s="5"/>
      <c r="BD336" s="5"/>
      <c r="BF336" s="5"/>
      <c r="BG336" s="5"/>
      <c r="BH336" s="5"/>
      <c r="BI336" s="5"/>
      <c r="BK336" s="5"/>
      <c r="BL336" s="5"/>
      <c r="BM336" s="5"/>
      <c r="BN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BA337" s="5"/>
      <c r="BB337" s="5"/>
      <c r="BC337" s="5"/>
      <c r="BD337" s="5"/>
      <c r="BF337" s="5"/>
      <c r="BG337" s="5"/>
      <c r="BH337" s="5"/>
      <c r="BI337" s="5"/>
      <c r="BK337" s="5"/>
      <c r="BL337" s="5"/>
      <c r="BM337" s="5"/>
      <c r="BN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BA338" s="5"/>
      <c r="BB338" s="5"/>
      <c r="BC338" s="5"/>
      <c r="BD338" s="5"/>
      <c r="BF338" s="5"/>
      <c r="BG338" s="5"/>
      <c r="BH338" s="5"/>
      <c r="BI338" s="5"/>
      <c r="BK338" s="5"/>
      <c r="BL338" s="5"/>
      <c r="BM338" s="5"/>
      <c r="BN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BA339" s="5"/>
      <c r="BB339" s="5"/>
      <c r="BC339" s="5"/>
      <c r="BD339" s="5"/>
      <c r="BF339" s="5"/>
      <c r="BG339" s="5"/>
      <c r="BH339" s="5"/>
      <c r="BI339" s="5"/>
      <c r="BK339" s="5"/>
      <c r="BL339" s="5"/>
      <c r="BM339" s="5"/>
      <c r="BN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BA340" s="5"/>
      <c r="BB340" s="5"/>
      <c r="BC340" s="5"/>
      <c r="BD340" s="5"/>
      <c r="BF340" s="5"/>
      <c r="BG340" s="5"/>
      <c r="BH340" s="5"/>
      <c r="BI340" s="5"/>
      <c r="BK340" s="5"/>
      <c r="BL340" s="5"/>
      <c r="BM340" s="5"/>
      <c r="BN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BA341" s="5"/>
      <c r="BB341" s="5"/>
      <c r="BC341" s="5"/>
      <c r="BD341" s="5"/>
      <c r="BF341" s="5"/>
      <c r="BG341" s="5"/>
      <c r="BH341" s="5"/>
      <c r="BI341" s="5"/>
      <c r="BK341" s="5"/>
      <c r="BL341" s="5"/>
      <c r="BM341" s="5"/>
      <c r="BN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BA342" s="5"/>
      <c r="BB342" s="5"/>
      <c r="BC342" s="5"/>
      <c r="BD342" s="5"/>
      <c r="BF342" s="5"/>
      <c r="BG342" s="5"/>
      <c r="BH342" s="5"/>
      <c r="BI342" s="5"/>
      <c r="BK342" s="5"/>
      <c r="BL342" s="5"/>
      <c r="BM342" s="5"/>
      <c r="BN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BA343" s="5"/>
      <c r="BB343" s="5"/>
      <c r="BC343" s="5"/>
      <c r="BD343" s="5"/>
      <c r="BF343" s="5"/>
      <c r="BG343" s="5"/>
      <c r="BH343" s="5"/>
      <c r="BI343" s="5"/>
      <c r="BK343" s="5"/>
      <c r="BL343" s="5"/>
      <c r="BM343" s="5"/>
      <c r="BN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BA344" s="5"/>
      <c r="BB344" s="5"/>
      <c r="BC344" s="5"/>
      <c r="BD344" s="5"/>
      <c r="BF344" s="5"/>
      <c r="BG344" s="5"/>
      <c r="BH344" s="5"/>
      <c r="BI344" s="5"/>
      <c r="BK344" s="5"/>
      <c r="BL344" s="5"/>
      <c r="BM344" s="5"/>
      <c r="BN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BA345" s="5"/>
      <c r="BB345" s="5"/>
      <c r="BC345" s="5"/>
      <c r="BD345" s="5"/>
      <c r="BF345" s="5"/>
      <c r="BG345" s="5"/>
      <c r="BH345" s="5"/>
      <c r="BI345" s="5"/>
      <c r="BK345" s="5"/>
      <c r="BL345" s="5"/>
      <c r="BM345" s="5"/>
      <c r="BN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BA346" s="5"/>
      <c r="BB346" s="5"/>
      <c r="BC346" s="5"/>
      <c r="BD346" s="5"/>
      <c r="BF346" s="5"/>
      <c r="BG346" s="5"/>
      <c r="BH346" s="5"/>
      <c r="BI346" s="5"/>
      <c r="BK346" s="5"/>
      <c r="BL346" s="5"/>
      <c r="BM346" s="5"/>
      <c r="BN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BA347" s="5"/>
      <c r="BB347" s="5"/>
      <c r="BC347" s="5"/>
      <c r="BD347" s="5"/>
      <c r="BF347" s="5"/>
      <c r="BG347" s="5"/>
      <c r="BH347" s="5"/>
      <c r="BI347" s="5"/>
      <c r="BK347" s="5"/>
      <c r="BL347" s="5"/>
      <c r="BM347" s="5"/>
      <c r="BN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BA348" s="5"/>
      <c r="BB348" s="5"/>
      <c r="BC348" s="5"/>
      <c r="BD348" s="5"/>
      <c r="BF348" s="5"/>
      <c r="BG348" s="5"/>
      <c r="BH348" s="5"/>
      <c r="BI348" s="5"/>
      <c r="BK348" s="5"/>
      <c r="BL348" s="5"/>
      <c r="BM348" s="5"/>
      <c r="BN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BA349" s="5"/>
      <c r="BB349" s="5"/>
      <c r="BC349" s="5"/>
      <c r="BD349" s="5"/>
      <c r="BF349" s="5"/>
      <c r="BG349" s="5"/>
      <c r="BH349" s="5"/>
      <c r="BI349" s="5"/>
      <c r="BK349" s="5"/>
      <c r="BL349" s="5"/>
      <c r="BM349" s="5"/>
      <c r="BN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BA350" s="5"/>
      <c r="BB350" s="5"/>
      <c r="BC350" s="5"/>
      <c r="BD350" s="5"/>
      <c r="BF350" s="5"/>
      <c r="BG350" s="5"/>
      <c r="BH350" s="5"/>
      <c r="BI350" s="5"/>
      <c r="BK350" s="5"/>
      <c r="BL350" s="5"/>
      <c r="BM350" s="5"/>
      <c r="BN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BA351" s="5"/>
      <c r="BB351" s="5"/>
      <c r="BC351" s="5"/>
      <c r="BD351" s="5"/>
      <c r="BF351" s="5"/>
      <c r="BG351" s="5"/>
      <c r="BH351" s="5"/>
      <c r="BI351" s="5"/>
      <c r="BK351" s="5"/>
      <c r="BL351" s="5"/>
      <c r="BM351" s="5"/>
      <c r="BN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BA352" s="5"/>
      <c r="BB352" s="5"/>
      <c r="BC352" s="5"/>
      <c r="BD352" s="5"/>
      <c r="BF352" s="5"/>
      <c r="BG352" s="5"/>
      <c r="BH352" s="5"/>
      <c r="BI352" s="5"/>
      <c r="BK352" s="5"/>
      <c r="BL352" s="5"/>
      <c r="BM352" s="5"/>
      <c r="BN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BA353" s="5"/>
      <c r="BB353" s="5"/>
      <c r="BC353" s="5"/>
      <c r="BD353" s="5"/>
      <c r="BF353" s="5"/>
      <c r="BG353" s="5"/>
      <c r="BH353" s="5"/>
      <c r="BI353" s="5"/>
      <c r="BK353" s="5"/>
      <c r="BL353" s="5"/>
      <c r="BM353" s="5"/>
      <c r="BN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BA354" s="5"/>
      <c r="BB354" s="5"/>
      <c r="BC354" s="5"/>
      <c r="BD354" s="5"/>
      <c r="BF354" s="5"/>
      <c r="BG354" s="5"/>
      <c r="BH354" s="5"/>
      <c r="BI354" s="5"/>
      <c r="BK354" s="5"/>
      <c r="BL354" s="5"/>
      <c r="BM354" s="5"/>
      <c r="BN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BA355" s="5"/>
      <c r="BB355" s="5"/>
      <c r="BC355" s="5"/>
      <c r="BD355" s="5"/>
      <c r="BF355" s="5"/>
      <c r="BG355" s="5"/>
      <c r="BH355" s="5"/>
      <c r="BI355" s="5"/>
      <c r="BK355" s="5"/>
      <c r="BL355" s="5"/>
      <c r="BM355" s="5"/>
      <c r="BN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BA356" s="5"/>
      <c r="BB356" s="5"/>
      <c r="BC356" s="5"/>
      <c r="BD356" s="5"/>
      <c r="BF356" s="5"/>
      <c r="BG356" s="5"/>
      <c r="BH356" s="5"/>
      <c r="BI356" s="5"/>
      <c r="BK356" s="5"/>
      <c r="BL356" s="5"/>
      <c r="BM356" s="5"/>
      <c r="BN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BA357" s="5"/>
      <c r="BB357" s="5"/>
      <c r="BC357" s="5"/>
      <c r="BD357" s="5"/>
      <c r="BF357" s="5"/>
      <c r="BG357" s="5"/>
      <c r="BH357" s="5"/>
      <c r="BI357" s="5"/>
      <c r="BK357" s="5"/>
      <c r="BL357" s="5"/>
      <c r="BM357" s="5"/>
      <c r="BN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BA358" s="5"/>
      <c r="BB358" s="5"/>
      <c r="BC358" s="5"/>
      <c r="BD358" s="5"/>
      <c r="BF358" s="5"/>
      <c r="BG358" s="5"/>
      <c r="BH358" s="5"/>
      <c r="BI358" s="5"/>
      <c r="BK358" s="5"/>
      <c r="BL358" s="5"/>
      <c r="BM358" s="5"/>
      <c r="BN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BA359" s="5"/>
      <c r="BB359" s="5"/>
      <c r="BC359" s="5"/>
      <c r="BD359" s="5"/>
      <c r="BF359" s="5"/>
      <c r="BG359" s="5"/>
      <c r="BH359" s="5"/>
      <c r="BI359" s="5"/>
      <c r="BK359" s="5"/>
      <c r="BL359" s="5"/>
      <c r="BM359" s="5"/>
      <c r="BN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BA360" s="5"/>
      <c r="BB360" s="5"/>
      <c r="BC360" s="5"/>
      <c r="BD360" s="5"/>
      <c r="BF360" s="5"/>
      <c r="BG360" s="5"/>
      <c r="BH360" s="5"/>
      <c r="BI360" s="5"/>
      <c r="BK360" s="5"/>
      <c r="BL360" s="5"/>
      <c r="BM360" s="5"/>
      <c r="BN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BA361" s="5"/>
      <c r="BB361" s="5"/>
      <c r="BC361" s="5"/>
      <c r="BD361" s="5"/>
      <c r="BF361" s="5"/>
      <c r="BG361" s="5"/>
      <c r="BH361" s="5"/>
      <c r="BI361" s="5"/>
      <c r="BK361" s="5"/>
      <c r="BL361" s="5"/>
      <c r="BM361" s="5"/>
      <c r="BN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BA362" s="5"/>
      <c r="BB362" s="5"/>
      <c r="BC362" s="5"/>
      <c r="BD362" s="5"/>
      <c r="BF362" s="5"/>
      <c r="BG362" s="5"/>
      <c r="BH362" s="5"/>
      <c r="BI362" s="5"/>
      <c r="BK362" s="5"/>
      <c r="BL362" s="5"/>
      <c r="BM362" s="5"/>
      <c r="BN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BA363" s="5"/>
      <c r="BB363" s="5"/>
      <c r="BC363" s="5"/>
      <c r="BD363" s="5"/>
      <c r="BF363" s="5"/>
      <c r="BG363" s="5"/>
      <c r="BH363" s="5"/>
      <c r="BI363" s="5"/>
      <c r="BK363" s="5"/>
      <c r="BL363" s="5"/>
      <c r="BM363" s="5"/>
      <c r="BN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BA364" s="5"/>
      <c r="BB364" s="5"/>
      <c r="BC364" s="5"/>
      <c r="BD364" s="5"/>
      <c r="BF364" s="5"/>
      <c r="BG364" s="5"/>
      <c r="BH364" s="5"/>
      <c r="BI364" s="5"/>
      <c r="BK364" s="5"/>
      <c r="BL364" s="5"/>
      <c r="BM364" s="5"/>
      <c r="BN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BA365" s="5"/>
      <c r="BB365" s="5"/>
      <c r="BC365" s="5"/>
      <c r="BD365" s="5"/>
      <c r="BF365" s="5"/>
      <c r="BG365" s="5"/>
      <c r="BH365" s="5"/>
      <c r="BI365" s="5"/>
      <c r="BK365" s="5"/>
      <c r="BL365" s="5"/>
      <c r="BM365" s="5"/>
      <c r="BN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BA366" s="5"/>
      <c r="BB366" s="5"/>
      <c r="BC366" s="5"/>
      <c r="BD366" s="5"/>
      <c r="BF366" s="5"/>
      <c r="BG366" s="5"/>
      <c r="BH366" s="5"/>
      <c r="BI366" s="5"/>
      <c r="BK366" s="5"/>
      <c r="BL366" s="5"/>
      <c r="BM366" s="5"/>
      <c r="BN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BA367" s="5"/>
      <c r="BB367" s="5"/>
      <c r="BC367" s="5"/>
      <c r="BD367" s="5"/>
      <c r="BF367" s="5"/>
      <c r="BG367" s="5"/>
      <c r="BH367" s="5"/>
      <c r="BI367" s="5"/>
      <c r="BK367" s="5"/>
      <c r="BL367" s="5"/>
      <c r="BM367" s="5"/>
      <c r="BN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BA368" s="5"/>
      <c r="BB368" s="5"/>
      <c r="BC368" s="5"/>
      <c r="BD368" s="5"/>
      <c r="BF368" s="5"/>
      <c r="BG368" s="5"/>
      <c r="BH368" s="5"/>
      <c r="BI368" s="5"/>
      <c r="BK368" s="5"/>
      <c r="BL368" s="5"/>
      <c r="BM368" s="5"/>
      <c r="BN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BA369" s="5"/>
      <c r="BB369" s="5"/>
      <c r="BC369" s="5"/>
      <c r="BD369" s="5"/>
      <c r="BF369" s="5"/>
      <c r="BG369" s="5"/>
      <c r="BH369" s="5"/>
      <c r="BI369" s="5"/>
      <c r="BK369" s="5"/>
      <c r="BL369" s="5"/>
      <c r="BM369" s="5"/>
      <c r="BN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BA370" s="5"/>
      <c r="BB370" s="5"/>
      <c r="BC370" s="5"/>
      <c r="BD370" s="5"/>
      <c r="BF370" s="5"/>
      <c r="BG370" s="5"/>
      <c r="BH370" s="5"/>
      <c r="BI370" s="5"/>
      <c r="BK370" s="5"/>
      <c r="BL370" s="5"/>
      <c r="BM370" s="5"/>
      <c r="BN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BA371" s="5"/>
      <c r="BB371" s="5"/>
      <c r="BC371" s="5"/>
      <c r="BD371" s="5"/>
      <c r="BF371" s="5"/>
      <c r="BG371" s="5"/>
      <c r="BH371" s="5"/>
      <c r="BI371" s="5"/>
      <c r="BK371" s="5"/>
      <c r="BL371" s="5"/>
      <c r="BM371" s="5"/>
      <c r="BN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BA372" s="5"/>
      <c r="BB372" s="5"/>
      <c r="BC372" s="5"/>
      <c r="BD372" s="5"/>
      <c r="BF372" s="5"/>
      <c r="BG372" s="5"/>
      <c r="BH372" s="5"/>
      <c r="BI372" s="5"/>
      <c r="BK372" s="5"/>
      <c r="BL372" s="5"/>
      <c r="BM372" s="5"/>
      <c r="BN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BA373" s="5"/>
      <c r="BB373" s="5"/>
      <c r="BC373" s="5"/>
      <c r="BD373" s="5"/>
      <c r="BF373" s="5"/>
      <c r="BG373" s="5"/>
      <c r="BH373" s="5"/>
      <c r="BI373" s="5"/>
      <c r="BK373" s="5"/>
      <c r="BL373" s="5"/>
      <c r="BM373" s="5"/>
      <c r="BN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BA374" s="5"/>
      <c r="BB374" s="5"/>
      <c r="BC374" s="5"/>
      <c r="BD374" s="5"/>
      <c r="BF374" s="5"/>
      <c r="BG374" s="5"/>
      <c r="BH374" s="5"/>
      <c r="BI374" s="5"/>
      <c r="BK374" s="5"/>
      <c r="BL374" s="5"/>
      <c r="BM374" s="5"/>
      <c r="BN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BA375" s="5"/>
      <c r="BB375" s="5"/>
      <c r="BC375" s="5"/>
      <c r="BD375" s="5"/>
      <c r="BF375" s="5"/>
      <c r="BG375" s="5"/>
      <c r="BH375" s="5"/>
      <c r="BI375" s="5"/>
      <c r="BK375" s="5"/>
      <c r="BL375" s="5"/>
      <c r="BM375" s="5"/>
      <c r="BN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BA376" s="5"/>
      <c r="BB376" s="5"/>
      <c r="BC376" s="5"/>
      <c r="BD376" s="5"/>
      <c r="BF376" s="5"/>
      <c r="BG376" s="5"/>
      <c r="BH376" s="5"/>
      <c r="BI376" s="5"/>
      <c r="BK376" s="5"/>
      <c r="BL376" s="5"/>
      <c r="BM376" s="5"/>
      <c r="BN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BA377" s="5"/>
      <c r="BB377" s="5"/>
      <c r="BC377" s="5"/>
      <c r="BD377" s="5"/>
      <c r="BF377" s="5"/>
      <c r="BG377" s="5"/>
      <c r="BH377" s="5"/>
      <c r="BI377" s="5"/>
      <c r="BK377" s="5"/>
      <c r="BL377" s="5"/>
      <c r="BM377" s="5"/>
      <c r="BN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BA378" s="5"/>
      <c r="BB378" s="5"/>
      <c r="BC378" s="5"/>
      <c r="BD378" s="5"/>
      <c r="BF378" s="5"/>
      <c r="BG378" s="5"/>
      <c r="BH378" s="5"/>
      <c r="BI378" s="5"/>
      <c r="BK378" s="5"/>
      <c r="BL378" s="5"/>
      <c r="BM378" s="5"/>
      <c r="BN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BA379" s="5"/>
      <c r="BB379" s="5"/>
      <c r="BC379" s="5"/>
      <c r="BD379" s="5"/>
      <c r="BF379" s="5"/>
      <c r="BG379" s="5"/>
      <c r="BH379" s="5"/>
      <c r="BI379" s="5"/>
      <c r="BK379" s="5"/>
      <c r="BL379" s="5"/>
      <c r="BM379" s="5"/>
      <c r="BN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BA380" s="5"/>
      <c r="BB380" s="5"/>
      <c r="BC380" s="5"/>
      <c r="BD380" s="5"/>
      <c r="BF380" s="5"/>
      <c r="BG380" s="5"/>
      <c r="BH380" s="5"/>
      <c r="BI380" s="5"/>
      <c r="BK380" s="5"/>
      <c r="BL380" s="5"/>
      <c r="BM380" s="5"/>
      <c r="BN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BA381" s="5"/>
      <c r="BB381" s="5"/>
      <c r="BC381" s="5"/>
      <c r="BD381" s="5"/>
      <c r="BF381" s="5"/>
      <c r="BG381" s="5"/>
      <c r="BH381" s="5"/>
      <c r="BI381" s="5"/>
      <c r="BK381" s="5"/>
      <c r="BL381" s="5"/>
      <c r="BM381" s="5"/>
      <c r="BN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BA382" s="5"/>
      <c r="BB382" s="5"/>
      <c r="BC382" s="5"/>
      <c r="BD382" s="5"/>
      <c r="BF382" s="5"/>
      <c r="BG382" s="5"/>
      <c r="BH382" s="5"/>
      <c r="BI382" s="5"/>
      <c r="BK382" s="5"/>
      <c r="BL382" s="5"/>
      <c r="BM382" s="5"/>
      <c r="BN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BA383" s="5"/>
      <c r="BB383" s="5"/>
      <c r="BC383" s="5"/>
      <c r="BD383" s="5"/>
      <c r="BF383" s="5"/>
      <c r="BG383" s="5"/>
      <c r="BH383" s="5"/>
      <c r="BI383" s="5"/>
      <c r="BK383" s="5"/>
      <c r="BL383" s="5"/>
      <c r="BM383" s="5"/>
      <c r="BN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BA384" s="5"/>
      <c r="BB384" s="5"/>
      <c r="BC384" s="5"/>
      <c r="BD384" s="5"/>
      <c r="BF384" s="5"/>
      <c r="BG384" s="5"/>
      <c r="BH384" s="5"/>
      <c r="BI384" s="5"/>
      <c r="BK384" s="5"/>
      <c r="BL384" s="5"/>
      <c r="BM384" s="5"/>
      <c r="BN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BA385" s="5"/>
      <c r="BB385" s="5"/>
      <c r="BC385" s="5"/>
      <c r="BD385" s="5"/>
      <c r="BF385" s="5"/>
      <c r="BG385" s="5"/>
      <c r="BH385" s="5"/>
      <c r="BI385" s="5"/>
      <c r="BK385" s="5"/>
      <c r="BL385" s="5"/>
      <c r="BM385" s="5"/>
      <c r="BN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BA386" s="5"/>
      <c r="BB386" s="5"/>
      <c r="BC386" s="5"/>
      <c r="BD386" s="5"/>
      <c r="BF386" s="5"/>
      <c r="BG386" s="5"/>
      <c r="BH386" s="5"/>
      <c r="BI386" s="5"/>
      <c r="BK386" s="5"/>
      <c r="BL386" s="5"/>
      <c r="BM386" s="5"/>
      <c r="BN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BA387" s="5"/>
      <c r="BB387" s="5"/>
      <c r="BC387" s="5"/>
      <c r="BD387" s="5"/>
      <c r="BF387" s="5"/>
      <c r="BG387" s="5"/>
      <c r="BH387" s="5"/>
      <c r="BI387" s="5"/>
      <c r="BK387" s="5"/>
      <c r="BL387" s="5"/>
      <c r="BM387" s="5"/>
      <c r="BN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BA388" s="5"/>
      <c r="BB388" s="5"/>
      <c r="BC388" s="5"/>
      <c r="BD388" s="5"/>
      <c r="BF388" s="5"/>
      <c r="BG388" s="5"/>
      <c r="BH388" s="5"/>
      <c r="BI388" s="5"/>
      <c r="BK388" s="5"/>
      <c r="BL388" s="5"/>
      <c r="BM388" s="5"/>
      <c r="BN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BA389" s="5"/>
      <c r="BB389" s="5"/>
      <c r="BC389" s="5"/>
      <c r="BD389" s="5"/>
      <c r="BF389" s="5"/>
      <c r="BG389" s="5"/>
      <c r="BH389" s="5"/>
      <c r="BI389" s="5"/>
      <c r="BK389" s="5"/>
      <c r="BL389" s="5"/>
      <c r="BM389" s="5"/>
      <c r="BN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BA390" s="5"/>
      <c r="BB390" s="5"/>
      <c r="BC390" s="5"/>
      <c r="BD390" s="5"/>
      <c r="BF390" s="5"/>
      <c r="BG390" s="5"/>
      <c r="BH390" s="5"/>
      <c r="BI390" s="5"/>
      <c r="BK390" s="5"/>
      <c r="BL390" s="5"/>
      <c r="BM390" s="5"/>
      <c r="BN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BA391" s="5"/>
      <c r="BB391" s="5"/>
      <c r="BC391" s="5"/>
      <c r="BD391" s="5"/>
      <c r="BF391" s="5"/>
      <c r="BG391" s="5"/>
      <c r="BH391" s="5"/>
      <c r="BI391" s="5"/>
      <c r="BK391" s="5"/>
      <c r="BL391" s="5"/>
      <c r="BM391" s="5"/>
      <c r="BN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BA392" s="5"/>
      <c r="BB392" s="5"/>
      <c r="BC392" s="5"/>
      <c r="BD392" s="5"/>
      <c r="BF392" s="5"/>
      <c r="BG392" s="5"/>
      <c r="BH392" s="5"/>
      <c r="BI392" s="5"/>
      <c r="BK392" s="5"/>
      <c r="BL392" s="5"/>
      <c r="BM392" s="5"/>
      <c r="BN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BA393" s="5"/>
      <c r="BB393" s="5"/>
      <c r="BC393" s="5"/>
      <c r="BD393" s="5"/>
      <c r="BF393" s="5"/>
      <c r="BG393" s="5"/>
      <c r="BH393" s="5"/>
      <c r="BI393" s="5"/>
      <c r="BK393" s="5"/>
      <c r="BL393" s="5"/>
      <c r="BM393" s="5"/>
      <c r="BN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BA394" s="5"/>
      <c r="BB394" s="5"/>
      <c r="BC394" s="5"/>
      <c r="BD394" s="5"/>
      <c r="BF394" s="5"/>
      <c r="BG394" s="5"/>
      <c r="BH394" s="5"/>
      <c r="BI394" s="5"/>
      <c r="BK394" s="5"/>
      <c r="BL394" s="5"/>
      <c r="BM394" s="5"/>
      <c r="BN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BA395" s="5"/>
      <c r="BB395" s="5"/>
      <c r="BC395" s="5"/>
      <c r="BD395" s="5"/>
      <c r="BF395" s="5"/>
      <c r="BG395" s="5"/>
      <c r="BH395" s="5"/>
      <c r="BI395" s="5"/>
      <c r="BK395" s="5"/>
      <c r="BL395" s="5"/>
      <c r="BM395" s="5"/>
      <c r="BN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BA396" s="5"/>
      <c r="BB396" s="5"/>
      <c r="BC396" s="5"/>
      <c r="BD396" s="5"/>
      <c r="BF396" s="5"/>
      <c r="BG396" s="5"/>
      <c r="BH396" s="5"/>
      <c r="BI396" s="5"/>
      <c r="BK396" s="5"/>
      <c r="BL396" s="5"/>
      <c r="BM396" s="5"/>
      <c r="BN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BA397" s="5"/>
      <c r="BB397" s="5"/>
      <c r="BC397" s="5"/>
      <c r="BD397" s="5"/>
      <c r="BF397" s="5"/>
      <c r="BG397" s="5"/>
      <c r="BH397" s="5"/>
      <c r="BI397" s="5"/>
      <c r="BK397" s="5"/>
      <c r="BL397" s="5"/>
      <c r="BM397" s="5"/>
      <c r="BN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BA398" s="5"/>
      <c r="BB398" s="5"/>
      <c r="BC398" s="5"/>
      <c r="BD398" s="5"/>
      <c r="BF398" s="5"/>
      <c r="BG398" s="5"/>
      <c r="BH398" s="5"/>
      <c r="BI398" s="5"/>
      <c r="BK398" s="5"/>
      <c r="BL398" s="5"/>
      <c r="BM398" s="5"/>
      <c r="BN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BA399" s="5"/>
      <c r="BB399" s="5"/>
      <c r="BC399" s="5"/>
      <c r="BD399" s="5"/>
      <c r="BF399" s="5"/>
      <c r="BG399" s="5"/>
      <c r="BH399" s="5"/>
      <c r="BI399" s="5"/>
      <c r="BK399" s="5"/>
      <c r="BL399" s="5"/>
      <c r="BM399" s="5"/>
      <c r="BN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BA400" s="5"/>
      <c r="BB400" s="5"/>
      <c r="BC400" s="5"/>
      <c r="BD400" s="5"/>
      <c r="BF400" s="5"/>
      <c r="BG400" s="5"/>
      <c r="BH400" s="5"/>
      <c r="BI400" s="5"/>
      <c r="BK400" s="5"/>
      <c r="BL400" s="5"/>
      <c r="BM400" s="5"/>
      <c r="BN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BA401" s="5"/>
      <c r="BB401" s="5"/>
      <c r="BC401" s="5"/>
      <c r="BD401" s="5"/>
      <c r="BF401" s="5"/>
      <c r="BG401" s="5"/>
      <c r="BH401" s="5"/>
      <c r="BI401" s="5"/>
      <c r="BK401" s="5"/>
      <c r="BL401" s="5"/>
      <c r="BM401" s="5"/>
      <c r="BN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BA402" s="5"/>
      <c r="BB402" s="5"/>
      <c r="BC402" s="5"/>
      <c r="BD402" s="5"/>
      <c r="BF402" s="5"/>
      <c r="BG402" s="5"/>
      <c r="BH402" s="5"/>
      <c r="BI402" s="5"/>
      <c r="BK402" s="5"/>
      <c r="BL402" s="5"/>
      <c r="BM402" s="5"/>
      <c r="BN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BA403" s="5"/>
      <c r="BB403" s="5"/>
      <c r="BC403" s="5"/>
      <c r="BD403" s="5"/>
      <c r="BF403" s="5"/>
      <c r="BG403" s="5"/>
      <c r="BH403" s="5"/>
      <c r="BI403" s="5"/>
      <c r="BK403" s="5"/>
      <c r="BL403" s="5"/>
      <c r="BM403" s="5"/>
      <c r="BN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BA404" s="5"/>
      <c r="BB404" s="5"/>
      <c r="BC404" s="5"/>
      <c r="BD404" s="5"/>
      <c r="BF404" s="5"/>
      <c r="BG404" s="5"/>
      <c r="BH404" s="5"/>
      <c r="BI404" s="5"/>
      <c r="BK404" s="5"/>
      <c r="BL404" s="5"/>
      <c r="BM404" s="5"/>
      <c r="BN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BA405" s="5"/>
      <c r="BB405" s="5"/>
      <c r="BC405" s="5"/>
      <c r="BD405" s="5"/>
      <c r="BF405" s="5"/>
      <c r="BG405" s="5"/>
      <c r="BH405" s="5"/>
      <c r="BI405" s="5"/>
      <c r="BK405" s="5"/>
      <c r="BL405" s="5"/>
      <c r="BM405" s="5"/>
      <c r="BN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BA406" s="5"/>
      <c r="BB406" s="5"/>
      <c r="BC406" s="5"/>
      <c r="BD406" s="5"/>
      <c r="BF406" s="5"/>
      <c r="BG406" s="5"/>
      <c r="BH406" s="5"/>
      <c r="BI406" s="5"/>
      <c r="BK406" s="5"/>
      <c r="BL406" s="5"/>
      <c r="BM406" s="5"/>
      <c r="BN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BA407" s="5"/>
      <c r="BB407" s="5"/>
      <c r="BC407" s="5"/>
      <c r="BD407" s="5"/>
      <c r="BF407" s="5"/>
      <c r="BG407" s="5"/>
      <c r="BH407" s="5"/>
      <c r="BI407" s="5"/>
      <c r="BK407" s="5"/>
      <c r="BL407" s="5"/>
      <c r="BM407" s="5"/>
      <c r="BN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BA408" s="5"/>
      <c r="BB408" s="5"/>
      <c r="BC408" s="5"/>
      <c r="BD408" s="5"/>
      <c r="BF408" s="5"/>
      <c r="BG408" s="5"/>
      <c r="BH408" s="5"/>
      <c r="BI408" s="5"/>
      <c r="BK408" s="5"/>
      <c r="BL408" s="5"/>
      <c r="BM408" s="5"/>
      <c r="BN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BA409" s="5"/>
      <c r="BB409" s="5"/>
      <c r="BC409" s="5"/>
      <c r="BD409" s="5"/>
      <c r="BF409" s="5"/>
      <c r="BG409" s="5"/>
      <c r="BH409" s="5"/>
      <c r="BI409" s="5"/>
      <c r="BK409" s="5"/>
      <c r="BL409" s="5"/>
      <c r="BM409" s="5"/>
      <c r="BN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BA410" s="5"/>
      <c r="BB410" s="5"/>
      <c r="BC410" s="5"/>
      <c r="BD410" s="5"/>
      <c r="BF410" s="5"/>
      <c r="BG410" s="5"/>
      <c r="BH410" s="5"/>
      <c r="BI410" s="5"/>
      <c r="BK410" s="5"/>
      <c r="BL410" s="5"/>
      <c r="BM410" s="5"/>
      <c r="BN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BA411" s="5"/>
      <c r="BB411" s="5"/>
      <c r="BC411" s="5"/>
      <c r="BD411" s="5"/>
      <c r="BF411" s="5"/>
      <c r="BG411" s="5"/>
      <c r="BH411" s="5"/>
      <c r="BI411" s="5"/>
      <c r="BK411" s="5"/>
      <c r="BL411" s="5"/>
      <c r="BM411" s="5"/>
      <c r="BN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BA412" s="5"/>
      <c r="BB412" s="5"/>
      <c r="BC412" s="5"/>
      <c r="BD412" s="5"/>
      <c r="BF412" s="5"/>
      <c r="BG412" s="5"/>
      <c r="BH412" s="5"/>
      <c r="BI412" s="5"/>
      <c r="BK412" s="5"/>
      <c r="BL412" s="5"/>
      <c r="BM412" s="5"/>
      <c r="BN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BA413" s="5"/>
      <c r="BB413" s="5"/>
      <c r="BC413" s="5"/>
      <c r="BD413" s="5"/>
      <c r="BF413" s="5"/>
      <c r="BG413" s="5"/>
      <c r="BH413" s="5"/>
      <c r="BI413" s="5"/>
      <c r="BK413" s="5"/>
      <c r="BL413" s="5"/>
      <c r="BM413" s="5"/>
      <c r="BN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BA414" s="5"/>
      <c r="BB414" s="5"/>
      <c r="BC414" s="5"/>
      <c r="BD414" s="5"/>
      <c r="BF414" s="5"/>
      <c r="BG414" s="5"/>
      <c r="BH414" s="5"/>
      <c r="BI414" s="5"/>
      <c r="BK414" s="5"/>
      <c r="BL414" s="5"/>
      <c r="BM414" s="5"/>
      <c r="BN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BA415" s="5"/>
      <c r="BB415" s="5"/>
      <c r="BC415" s="5"/>
      <c r="BD415" s="5"/>
      <c r="BF415" s="5"/>
      <c r="BG415" s="5"/>
      <c r="BH415" s="5"/>
      <c r="BI415" s="5"/>
      <c r="BK415" s="5"/>
      <c r="BL415" s="5"/>
      <c r="BM415" s="5"/>
      <c r="BN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BA416" s="5"/>
      <c r="BB416" s="5"/>
      <c r="BC416" s="5"/>
      <c r="BD416" s="5"/>
      <c r="BF416" s="5"/>
      <c r="BG416" s="5"/>
      <c r="BH416" s="5"/>
      <c r="BI416" s="5"/>
      <c r="BK416" s="5"/>
      <c r="BL416" s="5"/>
      <c r="BM416" s="5"/>
      <c r="BN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BA417" s="5"/>
      <c r="BB417" s="5"/>
      <c r="BC417" s="5"/>
      <c r="BD417" s="5"/>
      <c r="BF417" s="5"/>
      <c r="BG417" s="5"/>
      <c r="BH417" s="5"/>
      <c r="BI417" s="5"/>
      <c r="BK417" s="5"/>
      <c r="BL417" s="5"/>
      <c r="BM417" s="5"/>
      <c r="BN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BA418" s="5"/>
      <c r="BB418" s="5"/>
      <c r="BC418" s="5"/>
      <c r="BD418" s="5"/>
      <c r="BF418" s="5"/>
      <c r="BG418" s="5"/>
      <c r="BH418" s="5"/>
      <c r="BI418" s="5"/>
      <c r="BK418" s="5"/>
      <c r="BL418" s="5"/>
      <c r="BM418" s="5"/>
      <c r="BN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BA419" s="5"/>
      <c r="BB419" s="5"/>
      <c r="BC419" s="5"/>
      <c r="BD419" s="5"/>
      <c r="BF419" s="5"/>
      <c r="BG419" s="5"/>
      <c r="BH419" s="5"/>
      <c r="BI419" s="5"/>
      <c r="BK419" s="5"/>
      <c r="BL419" s="5"/>
      <c r="BM419" s="5"/>
      <c r="BN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BA420" s="5"/>
      <c r="BB420" s="5"/>
      <c r="BC420" s="5"/>
      <c r="BD420" s="5"/>
      <c r="BF420" s="5"/>
      <c r="BG420" s="5"/>
      <c r="BH420" s="5"/>
      <c r="BI420" s="5"/>
      <c r="BK420" s="5"/>
      <c r="BL420" s="5"/>
      <c r="BM420" s="5"/>
      <c r="BN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BA421" s="5"/>
      <c r="BB421" s="5"/>
      <c r="BC421" s="5"/>
      <c r="BD421" s="5"/>
      <c r="BF421" s="5"/>
      <c r="BG421" s="5"/>
      <c r="BH421" s="5"/>
      <c r="BI421" s="5"/>
      <c r="BK421" s="5"/>
      <c r="BL421" s="5"/>
      <c r="BM421" s="5"/>
      <c r="BN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BA422" s="5"/>
      <c r="BB422" s="5"/>
      <c r="BC422" s="5"/>
      <c r="BD422" s="5"/>
      <c r="BF422" s="5"/>
      <c r="BG422" s="5"/>
      <c r="BH422" s="5"/>
      <c r="BI422" s="5"/>
      <c r="BK422" s="5"/>
      <c r="BL422" s="5"/>
      <c r="BM422" s="5"/>
      <c r="BN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BA423" s="5"/>
      <c r="BB423" s="5"/>
      <c r="BC423" s="5"/>
      <c r="BD423" s="5"/>
      <c r="BF423" s="5"/>
      <c r="BG423" s="5"/>
      <c r="BH423" s="5"/>
      <c r="BI423" s="5"/>
      <c r="BK423" s="5"/>
      <c r="BL423" s="5"/>
      <c r="BM423" s="5"/>
      <c r="BN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BA424" s="5"/>
      <c r="BB424" s="5"/>
      <c r="BC424" s="5"/>
      <c r="BD424" s="5"/>
      <c r="BF424" s="5"/>
      <c r="BG424" s="5"/>
      <c r="BH424" s="5"/>
      <c r="BI424" s="5"/>
      <c r="BK424" s="5"/>
      <c r="BL424" s="5"/>
      <c r="BM424" s="5"/>
      <c r="BN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BA425" s="5"/>
      <c r="BB425" s="5"/>
      <c r="BC425" s="5"/>
      <c r="BD425" s="5"/>
      <c r="BF425" s="5"/>
      <c r="BG425" s="5"/>
      <c r="BH425" s="5"/>
      <c r="BI425" s="5"/>
      <c r="BK425" s="5"/>
      <c r="BL425" s="5"/>
      <c r="BM425" s="5"/>
      <c r="BN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BA426" s="5"/>
      <c r="BB426" s="5"/>
      <c r="BC426" s="5"/>
      <c r="BD426" s="5"/>
      <c r="BF426" s="5"/>
      <c r="BG426" s="5"/>
      <c r="BH426" s="5"/>
      <c r="BI426" s="5"/>
      <c r="BK426" s="5"/>
      <c r="BL426" s="5"/>
      <c r="BM426" s="5"/>
      <c r="BN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BA427" s="5"/>
      <c r="BB427" s="5"/>
      <c r="BC427" s="5"/>
      <c r="BD427" s="5"/>
      <c r="BF427" s="5"/>
      <c r="BG427" s="5"/>
      <c r="BH427" s="5"/>
      <c r="BI427" s="5"/>
      <c r="BK427" s="5"/>
      <c r="BL427" s="5"/>
      <c r="BM427" s="5"/>
      <c r="BN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BA428" s="5"/>
      <c r="BB428" s="5"/>
      <c r="BC428" s="5"/>
      <c r="BD428" s="5"/>
      <c r="BF428" s="5"/>
      <c r="BG428" s="5"/>
      <c r="BH428" s="5"/>
      <c r="BI428" s="5"/>
      <c r="BK428" s="5"/>
      <c r="BL428" s="5"/>
      <c r="BM428" s="5"/>
      <c r="BN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BA429" s="5"/>
      <c r="BB429" s="5"/>
      <c r="BC429" s="5"/>
      <c r="BD429" s="5"/>
      <c r="BF429" s="5"/>
      <c r="BG429" s="5"/>
      <c r="BH429" s="5"/>
      <c r="BI429" s="5"/>
      <c r="BK429" s="5"/>
      <c r="BL429" s="5"/>
      <c r="BM429" s="5"/>
      <c r="BN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BA430" s="5"/>
      <c r="BB430" s="5"/>
      <c r="BC430" s="5"/>
      <c r="BD430" s="5"/>
      <c r="BF430" s="5"/>
      <c r="BG430" s="5"/>
      <c r="BH430" s="5"/>
      <c r="BI430" s="5"/>
      <c r="BK430" s="5"/>
      <c r="BL430" s="5"/>
      <c r="BM430" s="5"/>
      <c r="BN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BA431" s="5"/>
      <c r="BB431" s="5"/>
      <c r="BC431" s="5"/>
      <c r="BD431" s="5"/>
      <c r="BF431" s="5"/>
      <c r="BG431" s="5"/>
      <c r="BH431" s="5"/>
      <c r="BI431" s="5"/>
      <c r="BK431" s="5"/>
      <c r="BL431" s="5"/>
      <c r="BM431" s="5"/>
      <c r="BN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BA432" s="5"/>
      <c r="BB432" s="5"/>
      <c r="BC432" s="5"/>
      <c r="BD432" s="5"/>
      <c r="BF432" s="5"/>
      <c r="BG432" s="5"/>
      <c r="BH432" s="5"/>
      <c r="BI432" s="5"/>
      <c r="BK432" s="5"/>
      <c r="BL432" s="5"/>
      <c r="BM432" s="5"/>
      <c r="BN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BA433" s="5"/>
      <c r="BB433" s="5"/>
      <c r="BC433" s="5"/>
      <c r="BD433" s="5"/>
      <c r="BF433" s="5"/>
      <c r="BG433" s="5"/>
      <c r="BH433" s="5"/>
      <c r="BI433" s="5"/>
      <c r="BK433" s="5"/>
      <c r="BL433" s="5"/>
      <c r="BM433" s="5"/>
      <c r="BN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BA434" s="5"/>
      <c r="BB434" s="5"/>
      <c r="BC434" s="5"/>
      <c r="BD434" s="5"/>
      <c r="BF434" s="5"/>
      <c r="BG434" s="5"/>
      <c r="BH434" s="5"/>
      <c r="BI434" s="5"/>
      <c r="BK434" s="5"/>
      <c r="BL434" s="5"/>
      <c r="BM434" s="5"/>
      <c r="BN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BA435" s="5"/>
      <c r="BB435" s="5"/>
      <c r="BC435" s="5"/>
      <c r="BD435" s="5"/>
      <c r="BF435" s="5"/>
      <c r="BG435" s="5"/>
      <c r="BH435" s="5"/>
      <c r="BI435" s="5"/>
      <c r="BK435" s="5"/>
      <c r="BL435" s="5"/>
      <c r="BM435" s="5"/>
      <c r="BN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BA436" s="5"/>
      <c r="BB436" s="5"/>
      <c r="BC436" s="5"/>
      <c r="BD436" s="5"/>
      <c r="BF436" s="5"/>
      <c r="BG436" s="5"/>
      <c r="BH436" s="5"/>
      <c r="BI436" s="5"/>
      <c r="BK436" s="5"/>
      <c r="BL436" s="5"/>
      <c r="BM436" s="5"/>
      <c r="BN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BA437" s="5"/>
      <c r="BB437" s="5"/>
      <c r="BC437" s="5"/>
      <c r="BD437" s="5"/>
      <c r="BF437" s="5"/>
      <c r="BG437" s="5"/>
      <c r="BH437" s="5"/>
      <c r="BI437" s="5"/>
      <c r="BK437" s="5"/>
      <c r="BL437" s="5"/>
      <c r="BM437" s="5"/>
      <c r="BN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BA438" s="5"/>
      <c r="BB438" s="5"/>
      <c r="BC438" s="5"/>
      <c r="BD438" s="5"/>
      <c r="BF438" s="5"/>
      <c r="BG438" s="5"/>
      <c r="BH438" s="5"/>
      <c r="BI438" s="5"/>
      <c r="BK438" s="5"/>
      <c r="BL438" s="5"/>
      <c r="BM438" s="5"/>
      <c r="BN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BA439" s="5"/>
      <c r="BB439" s="5"/>
      <c r="BC439" s="5"/>
      <c r="BD439" s="5"/>
      <c r="BF439" s="5"/>
      <c r="BG439" s="5"/>
      <c r="BH439" s="5"/>
      <c r="BI439" s="5"/>
      <c r="BK439" s="5"/>
      <c r="BL439" s="5"/>
      <c r="BM439" s="5"/>
      <c r="BN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BA440" s="5"/>
      <c r="BB440" s="5"/>
      <c r="BC440" s="5"/>
      <c r="BD440" s="5"/>
      <c r="BF440" s="5"/>
      <c r="BG440" s="5"/>
      <c r="BH440" s="5"/>
      <c r="BI440" s="5"/>
      <c r="BK440" s="5"/>
      <c r="BL440" s="5"/>
      <c r="BM440" s="5"/>
      <c r="BN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BA441" s="5"/>
      <c r="BB441" s="5"/>
      <c r="BC441" s="5"/>
      <c r="BD441" s="5"/>
      <c r="BF441" s="5"/>
      <c r="BG441" s="5"/>
      <c r="BH441" s="5"/>
      <c r="BI441" s="5"/>
      <c r="BK441" s="5"/>
      <c r="BL441" s="5"/>
      <c r="BM441" s="5"/>
      <c r="BN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BA442" s="5"/>
      <c r="BB442" s="5"/>
      <c r="BC442" s="5"/>
      <c r="BD442" s="5"/>
      <c r="BF442" s="5"/>
      <c r="BG442" s="5"/>
      <c r="BH442" s="5"/>
      <c r="BI442" s="5"/>
      <c r="BK442" s="5"/>
      <c r="BL442" s="5"/>
      <c r="BM442" s="5"/>
      <c r="BN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BA443" s="5"/>
      <c r="BB443" s="5"/>
      <c r="BC443" s="5"/>
      <c r="BD443" s="5"/>
      <c r="BF443" s="5"/>
      <c r="BG443" s="5"/>
      <c r="BH443" s="5"/>
      <c r="BI443" s="5"/>
      <c r="BK443" s="5"/>
      <c r="BL443" s="5"/>
      <c r="BM443" s="5"/>
      <c r="BN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BA444" s="5"/>
      <c r="BB444" s="5"/>
      <c r="BC444" s="5"/>
      <c r="BD444" s="5"/>
      <c r="BF444" s="5"/>
      <c r="BG444" s="5"/>
      <c r="BH444" s="5"/>
      <c r="BI444" s="5"/>
      <c r="BK444" s="5"/>
      <c r="BL444" s="5"/>
      <c r="BM444" s="5"/>
      <c r="BN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BA445" s="5"/>
      <c r="BB445" s="5"/>
      <c r="BC445" s="5"/>
      <c r="BD445" s="5"/>
      <c r="BF445" s="5"/>
      <c r="BG445" s="5"/>
      <c r="BH445" s="5"/>
      <c r="BI445" s="5"/>
      <c r="BK445" s="5"/>
      <c r="BL445" s="5"/>
      <c r="BM445" s="5"/>
      <c r="BN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BA446" s="5"/>
      <c r="BB446" s="5"/>
      <c r="BC446" s="5"/>
      <c r="BD446" s="5"/>
      <c r="BF446" s="5"/>
      <c r="BG446" s="5"/>
      <c r="BH446" s="5"/>
      <c r="BI446" s="5"/>
      <c r="BK446" s="5"/>
      <c r="BL446" s="5"/>
      <c r="BM446" s="5"/>
      <c r="BN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BA447" s="5"/>
      <c r="BB447" s="5"/>
      <c r="BC447" s="5"/>
      <c r="BD447" s="5"/>
      <c r="BF447" s="5"/>
      <c r="BG447" s="5"/>
      <c r="BH447" s="5"/>
      <c r="BI447" s="5"/>
      <c r="BK447" s="5"/>
      <c r="BL447" s="5"/>
      <c r="BM447" s="5"/>
      <c r="BN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BA448" s="5"/>
      <c r="BB448" s="5"/>
      <c r="BC448" s="5"/>
      <c r="BD448" s="5"/>
      <c r="BF448" s="5"/>
      <c r="BG448" s="5"/>
      <c r="BH448" s="5"/>
      <c r="BI448" s="5"/>
      <c r="BK448" s="5"/>
      <c r="BL448" s="5"/>
      <c r="BM448" s="5"/>
      <c r="BN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BA449" s="5"/>
      <c r="BB449" s="5"/>
      <c r="BC449" s="5"/>
      <c r="BD449" s="5"/>
      <c r="BF449" s="5"/>
      <c r="BG449" s="5"/>
      <c r="BH449" s="5"/>
      <c r="BI449" s="5"/>
      <c r="BK449" s="5"/>
      <c r="BL449" s="5"/>
      <c r="BM449" s="5"/>
      <c r="BN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BA450" s="5"/>
      <c r="BB450" s="5"/>
      <c r="BC450" s="5"/>
      <c r="BD450" s="5"/>
      <c r="BF450" s="5"/>
      <c r="BG450" s="5"/>
      <c r="BH450" s="5"/>
      <c r="BI450" s="5"/>
      <c r="BK450" s="5"/>
      <c r="BL450" s="5"/>
      <c r="BM450" s="5"/>
      <c r="BN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BA451" s="5"/>
      <c r="BB451" s="5"/>
      <c r="BC451" s="5"/>
      <c r="BD451" s="5"/>
      <c r="BF451" s="5"/>
      <c r="BG451" s="5"/>
      <c r="BH451" s="5"/>
      <c r="BI451" s="5"/>
      <c r="BK451" s="5"/>
      <c r="BL451" s="5"/>
      <c r="BM451" s="5"/>
      <c r="BN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BA452" s="5"/>
      <c r="BB452" s="5"/>
      <c r="BC452" s="5"/>
      <c r="BD452" s="5"/>
      <c r="BF452" s="5"/>
      <c r="BG452" s="5"/>
      <c r="BH452" s="5"/>
      <c r="BI452" s="5"/>
      <c r="BK452" s="5"/>
      <c r="BL452" s="5"/>
      <c r="BM452" s="5"/>
      <c r="BN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BA453" s="5"/>
      <c r="BB453" s="5"/>
      <c r="BC453" s="5"/>
      <c r="BD453" s="5"/>
      <c r="BF453" s="5"/>
      <c r="BG453" s="5"/>
      <c r="BH453" s="5"/>
      <c r="BI453" s="5"/>
      <c r="BK453" s="5"/>
      <c r="BL453" s="5"/>
      <c r="BM453" s="5"/>
      <c r="BN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BA454" s="5"/>
      <c r="BB454" s="5"/>
      <c r="BC454" s="5"/>
      <c r="BD454" s="5"/>
      <c r="BF454" s="5"/>
      <c r="BG454" s="5"/>
      <c r="BH454" s="5"/>
      <c r="BI454" s="5"/>
      <c r="BK454" s="5"/>
      <c r="BL454" s="5"/>
      <c r="BM454" s="5"/>
      <c r="BN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BA455" s="5"/>
      <c r="BB455" s="5"/>
      <c r="BC455" s="5"/>
      <c r="BD455" s="5"/>
      <c r="BF455" s="5"/>
      <c r="BG455" s="5"/>
      <c r="BH455" s="5"/>
      <c r="BI455" s="5"/>
      <c r="BK455" s="5"/>
      <c r="BL455" s="5"/>
      <c r="BM455" s="5"/>
      <c r="BN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BA456" s="5"/>
      <c r="BB456" s="5"/>
      <c r="BC456" s="5"/>
      <c r="BD456" s="5"/>
      <c r="BF456" s="5"/>
      <c r="BG456" s="5"/>
      <c r="BH456" s="5"/>
      <c r="BI456" s="5"/>
      <c r="BK456" s="5"/>
      <c r="BL456" s="5"/>
      <c r="BM456" s="5"/>
      <c r="BN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BA457" s="5"/>
      <c r="BB457" s="5"/>
      <c r="BC457" s="5"/>
      <c r="BD457" s="5"/>
      <c r="BF457" s="5"/>
      <c r="BG457" s="5"/>
      <c r="BH457" s="5"/>
      <c r="BI457" s="5"/>
      <c r="BK457" s="5"/>
      <c r="BL457" s="5"/>
      <c r="BM457" s="5"/>
      <c r="BN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BA458" s="5"/>
      <c r="BB458" s="5"/>
      <c r="BC458" s="5"/>
      <c r="BD458" s="5"/>
      <c r="BF458" s="5"/>
      <c r="BG458" s="5"/>
      <c r="BH458" s="5"/>
      <c r="BI458" s="5"/>
      <c r="BK458" s="5"/>
      <c r="BL458" s="5"/>
      <c r="BM458" s="5"/>
      <c r="BN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BA459" s="5"/>
      <c r="BB459" s="5"/>
      <c r="BC459" s="5"/>
      <c r="BD459" s="5"/>
      <c r="BF459" s="5"/>
      <c r="BG459" s="5"/>
      <c r="BH459" s="5"/>
      <c r="BI459" s="5"/>
      <c r="BK459" s="5"/>
      <c r="BL459" s="5"/>
      <c r="BM459" s="5"/>
      <c r="BN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BA460" s="5"/>
      <c r="BB460" s="5"/>
      <c r="BC460" s="5"/>
      <c r="BD460" s="5"/>
      <c r="BF460" s="5"/>
      <c r="BG460" s="5"/>
      <c r="BH460" s="5"/>
      <c r="BI460" s="5"/>
      <c r="BK460" s="5"/>
      <c r="BL460" s="5"/>
      <c r="BM460" s="5"/>
      <c r="BN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BA461" s="5"/>
      <c r="BB461" s="5"/>
      <c r="BC461" s="5"/>
      <c r="BD461" s="5"/>
      <c r="BF461" s="5"/>
      <c r="BG461" s="5"/>
      <c r="BH461" s="5"/>
      <c r="BI461" s="5"/>
      <c r="BK461" s="5"/>
      <c r="BL461" s="5"/>
      <c r="BM461" s="5"/>
      <c r="BN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BA462" s="5"/>
      <c r="BB462" s="5"/>
      <c r="BC462" s="5"/>
      <c r="BD462" s="5"/>
      <c r="BF462" s="5"/>
      <c r="BG462" s="5"/>
      <c r="BH462" s="5"/>
      <c r="BI462" s="5"/>
      <c r="BK462" s="5"/>
      <c r="BL462" s="5"/>
      <c r="BM462" s="5"/>
      <c r="BN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BA463" s="5"/>
      <c r="BB463" s="5"/>
      <c r="BC463" s="5"/>
      <c r="BD463" s="5"/>
      <c r="BF463" s="5"/>
      <c r="BG463" s="5"/>
      <c r="BH463" s="5"/>
      <c r="BI463" s="5"/>
      <c r="BK463" s="5"/>
      <c r="BL463" s="5"/>
      <c r="BM463" s="5"/>
      <c r="BN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BA464" s="5"/>
      <c r="BB464" s="5"/>
      <c r="BC464" s="5"/>
      <c r="BD464" s="5"/>
      <c r="BF464" s="5"/>
      <c r="BG464" s="5"/>
      <c r="BH464" s="5"/>
      <c r="BI464" s="5"/>
      <c r="BK464" s="5"/>
      <c r="BL464" s="5"/>
      <c r="BM464" s="5"/>
      <c r="BN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BA465" s="5"/>
      <c r="BB465" s="5"/>
      <c r="BC465" s="5"/>
      <c r="BD465" s="5"/>
      <c r="BF465" s="5"/>
      <c r="BG465" s="5"/>
      <c r="BH465" s="5"/>
      <c r="BI465" s="5"/>
      <c r="BK465" s="5"/>
      <c r="BL465" s="5"/>
      <c r="BM465" s="5"/>
      <c r="BN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BA466" s="5"/>
      <c r="BB466" s="5"/>
      <c r="BC466" s="5"/>
      <c r="BD466" s="5"/>
      <c r="BF466" s="5"/>
      <c r="BG466" s="5"/>
      <c r="BH466" s="5"/>
      <c r="BI466" s="5"/>
      <c r="BK466" s="5"/>
      <c r="BL466" s="5"/>
      <c r="BM466" s="5"/>
      <c r="BN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BA467" s="5"/>
      <c r="BB467" s="5"/>
      <c r="BC467" s="5"/>
      <c r="BD467" s="5"/>
      <c r="BF467" s="5"/>
      <c r="BG467" s="5"/>
      <c r="BH467" s="5"/>
      <c r="BI467" s="5"/>
      <c r="BK467" s="5"/>
      <c r="BL467" s="5"/>
      <c r="BM467" s="5"/>
      <c r="BN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BA468" s="5"/>
      <c r="BB468" s="5"/>
      <c r="BC468" s="5"/>
      <c r="BD468" s="5"/>
      <c r="BF468" s="5"/>
      <c r="BG468" s="5"/>
      <c r="BH468" s="5"/>
      <c r="BI468" s="5"/>
      <c r="BK468" s="5"/>
      <c r="BL468" s="5"/>
      <c r="BM468" s="5"/>
      <c r="BN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BA469" s="5"/>
      <c r="BB469" s="5"/>
      <c r="BC469" s="5"/>
      <c r="BD469" s="5"/>
      <c r="BF469" s="5"/>
      <c r="BG469" s="5"/>
      <c r="BH469" s="5"/>
      <c r="BI469" s="5"/>
      <c r="BK469" s="5"/>
      <c r="BL469" s="5"/>
      <c r="BM469" s="5"/>
      <c r="BN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BA470" s="5"/>
      <c r="BB470" s="5"/>
      <c r="BC470" s="5"/>
      <c r="BD470" s="5"/>
      <c r="BF470" s="5"/>
      <c r="BG470" s="5"/>
      <c r="BH470" s="5"/>
      <c r="BI470" s="5"/>
      <c r="BK470" s="5"/>
      <c r="BL470" s="5"/>
      <c r="BM470" s="5"/>
      <c r="BN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BA471" s="5"/>
      <c r="BB471" s="5"/>
      <c r="BC471" s="5"/>
      <c r="BD471" s="5"/>
      <c r="BF471" s="5"/>
      <c r="BG471" s="5"/>
      <c r="BH471" s="5"/>
      <c r="BI471" s="5"/>
      <c r="BK471" s="5"/>
      <c r="BL471" s="5"/>
      <c r="BM471" s="5"/>
      <c r="BN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BA472" s="5"/>
      <c r="BB472" s="5"/>
      <c r="BC472" s="5"/>
      <c r="BD472" s="5"/>
      <c r="BF472" s="5"/>
      <c r="BG472" s="5"/>
      <c r="BH472" s="5"/>
      <c r="BI472" s="5"/>
      <c r="BK472" s="5"/>
      <c r="BL472" s="5"/>
      <c r="BM472" s="5"/>
      <c r="BN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BA473" s="5"/>
      <c r="BB473" s="5"/>
      <c r="BC473" s="5"/>
      <c r="BD473" s="5"/>
      <c r="BF473" s="5"/>
      <c r="BG473" s="5"/>
      <c r="BH473" s="5"/>
      <c r="BI473" s="5"/>
      <c r="BK473" s="5"/>
      <c r="BL473" s="5"/>
      <c r="BM473" s="5"/>
      <c r="BN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BA474" s="5"/>
      <c r="BB474" s="5"/>
      <c r="BC474" s="5"/>
      <c r="BD474" s="5"/>
      <c r="BF474" s="5"/>
      <c r="BG474" s="5"/>
      <c r="BH474" s="5"/>
      <c r="BI474" s="5"/>
      <c r="BK474" s="5"/>
      <c r="BL474" s="5"/>
      <c r="BM474" s="5"/>
      <c r="BN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BA475" s="5"/>
      <c r="BB475" s="5"/>
      <c r="BC475" s="5"/>
      <c r="BD475" s="5"/>
      <c r="BF475" s="5"/>
      <c r="BG475" s="5"/>
      <c r="BH475" s="5"/>
      <c r="BI475" s="5"/>
      <c r="BK475" s="5"/>
      <c r="BL475" s="5"/>
      <c r="BM475" s="5"/>
      <c r="BN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BA476" s="5"/>
      <c r="BB476" s="5"/>
      <c r="BC476" s="5"/>
      <c r="BD476" s="5"/>
      <c r="BF476" s="5"/>
      <c r="BG476" s="5"/>
      <c r="BH476" s="5"/>
      <c r="BI476" s="5"/>
      <c r="BK476" s="5"/>
      <c r="BL476" s="5"/>
      <c r="BM476" s="5"/>
      <c r="BN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BA477" s="5"/>
      <c r="BB477" s="5"/>
      <c r="BC477" s="5"/>
      <c r="BD477" s="5"/>
      <c r="BF477" s="5"/>
      <c r="BG477" s="5"/>
      <c r="BH477" s="5"/>
      <c r="BI477" s="5"/>
      <c r="BK477" s="5"/>
      <c r="BL477" s="5"/>
      <c r="BM477" s="5"/>
      <c r="BN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BA478" s="5"/>
      <c r="BB478" s="5"/>
      <c r="BC478" s="5"/>
      <c r="BD478" s="5"/>
      <c r="BF478" s="5"/>
      <c r="BG478" s="5"/>
      <c r="BH478" s="5"/>
      <c r="BI478" s="5"/>
      <c r="BK478" s="5"/>
      <c r="BL478" s="5"/>
      <c r="BM478" s="5"/>
      <c r="BN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BA479" s="5"/>
      <c r="BB479" s="5"/>
      <c r="BC479" s="5"/>
      <c r="BD479" s="5"/>
      <c r="BF479" s="5"/>
      <c r="BG479" s="5"/>
      <c r="BH479" s="5"/>
      <c r="BI479" s="5"/>
      <c r="BK479" s="5"/>
      <c r="BL479" s="5"/>
      <c r="BM479" s="5"/>
      <c r="BN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BA480" s="5"/>
      <c r="BB480" s="5"/>
      <c r="BC480" s="5"/>
      <c r="BD480" s="5"/>
      <c r="BF480" s="5"/>
      <c r="BG480" s="5"/>
      <c r="BH480" s="5"/>
      <c r="BI480" s="5"/>
      <c r="BK480" s="5"/>
      <c r="BL480" s="5"/>
      <c r="BM480" s="5"/>
      <c r="BN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BA481" s="5"/>
      <c r="BB481" s="5"/>
      <c r="BC481" s="5"/>
      <c r="BD481" s="5"/>
      <c r="BF481" s="5"/>
      <c r="BG481" s="5"/>
      <c r="BH481" s="5"/>
      <c r="BI481" s="5"/>
      <c r="BK481" s="5"/>
      <c r="BL481" s="5"/>
      <c r="BM481" s="5"/>
      <c r="BN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BA482" s="5"/>
      <c r="BB482" s="5"/>
      <c r="BC482" s="5"/>
      <c r="BD482" s="5"/>
      <c r="BF482" s="5"/>
      <c r="BG482" s="5"/>
      <c r="BH482" s="5"/>
      <c r="BI482" s="5"/>
      <c r="BK482" s="5"/>
      <c r="BL482" s="5"/>
      <c r="BM482" s="5"/>
      <c r="BN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BA483" s="5"/>
      <c r="BB483" s="5"/>
      <c r="BC483" s="5"/>
      <c r="BD483" s="5"/>
      <c r="BF483" s="5"/>
      <c r="BG483" s="5"/>
      <c r="BH483" s="5"/>
      <c r="BI483" s="5"/>
      <c r="BK483" s="5"/>
      <c r="BL483" s="5"/>
      <c r="BM483" s="5"/>
      <c r="BN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BA484" s="5"/>
      <c r="BB484" s="5"/>
      <c r="BC484" s="5"/>
      <c r="BD484" s="5"/>
      <c r="BF484" s="5"/>
      <c r="BG484" s="5"/>
      <c r="BH484" s="5"/>
      <c r="BI484" s="5"/>
      <c r="BK484" s="5"/>
      <c r="BL484" s="5"/>
      <c r="BM484" s="5"/>
      <c r="BN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BA485" s="5"/>
      <c r="BB485" s="5"/>
      <c r="BC485" s="5"/>
      <c r="BD485" s="5"/>
      <c r="BF485" s="5"/>
      <c r="BG485" s="5"/>
      <c r="BH485" s="5"/>
      <c r="BI485" s="5"/>
      <c r="BK485" s="5"/>
      <c r="BL485" s="5"/>
      <c r="BM485" s="5"/>
      <c r="BN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BA486" s="5"/>
      <c r="BB486" s="5"/>
      <c r="BC486" s="5"/>
      <c r="BD486" s="5"/>
      <c r="BF486" s="5"/>
      <c r="BG486" s="5"/>
      <c r="BH486" s="5"/>
      <c r="BI486" s="5"/>
      <c r="BK486" s="5"/>
      <c r="BL486" s="5"/>
      <c r="BM486" s="5"/>
      <c r="BN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BA487" s="5"/>
      <c r="BB487" s="5"/>
      <c r="BC487" s="5"/>
      <c r="BD487" s="5"/>
      <c r="BF487" s="5"/>
      <c r="BG487" s="5"/>
      <c r="BH487" s="5"/>
      <c r="BI487" s="5"/>
      <c r="BK487" s="5"/>
      <c r="BL487" s="5"/>
      <c r="BM487" s="5"/>
      <c r="BN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BA488" s="5"/>
      <c r="BB488" s="5"/>
      <c r="BC488" s="5"/>
      <c r="BD488" s="5"/>
      <c r="BF488" s="5"/>
      <c r="BG488" s="5"/>
      <c r="BH488" s="5"/>
      <c r="BI488" s="5"/>
      <c r="BK488" s="5"/>
      <c r="BL488" s="5"/>
      <c r="BM488" s="5"/>
      <c r="BN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BA489" s="5"/>
      <c r="BB489" s="5"/>
      <c r="BC489" s="5"/>
      <c r="BD489" s="5"/>
      <c r="BF489" s="5"/>
      <c r="BG489" s="5"/>
      <c r="BH489" s="5"/>
      <c r="BI489" s="5"/>
      <c r="BK489" s="5"/>
      <c r="BL489" s="5"/>
      <c r="BM489" s="5"/>
      <c r="BN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BA490" s="5"/>
      <c r="BB490" s="5"/>
      <c r="BC490" s="5"/>
      <c r="BD490" s="5"/>
      <c r="BF490" s="5"/>
      <c r="BG490" s="5"/>
      <c r="BH490" s="5"/>
      <c r="BI490" s="5"/>
      <c r="BK490" s="5"/>
      <c r="BL490" s="5"/>
      <c r="BM490" s="5"/>
      <c r="BN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BA491" s="5"/>
      <c r="BB491" s="5"/>
      <c r="BC491" s="5"/>
      <c r="BD491" s="5"/>
      <c r="BF491" s="5"/>
      <c r="BG491" s="5"/>
      <c r="BH491" s="5"/>
      <c r="BI491" s="5"/>
      <c r="BK491" s="5"/>
      <c r="BL491" s="5"/>
      <c r="BM491" s="5"/>
      <c r="BN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BA492" s="5"/>
      <c r="BB492" s="5"/>
      <c r="BC492" s="5"/>
      <c r="BD492" s="5"/>
      <c r="BF492" s="5"/>
      <c r="BG492" s="5"/>
      <c r="BH492" s="5"/>
      <c r="BI492" s="5"/>
      <c r="BK492" s="5"/>
      <c r="BL492" s="5"/>
      <c r="BM492" s="5"/>
      <c r="BN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BA493" s="5"/>
      <c r="BB493" s="5"/>
      <c r="BC493" s="5"/>
      <c r="BD493" s="5"/>
      <c r="BF493" s="5"/>
      <c r="BG493" s="5"/>
      <c r="BH493" s="5"/>
      <c r="BI493" s="5"/>
      <c r="BK493" s="5"/>
      <c r="BL493" s="5"/>
      <c r="BM493" s="5"/>
      <c r="BN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BA494" s="5"/>
      <c r="BB494" s="5"/>
      <c r="BC494" s="5"/>
      <c r="BD494" s="5"/>
      <c r="BF494" s="5"/>
      <c r="BG494" s="5"/>
      <c r="BH494" s="5"/>
      <c r="BI494" s="5"/>
      <c r="BK494" s="5"/>
      <c r="BL494" s="5"/>
      <c r="BM494" s="5"/>
      <c r="BN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BA495" s="5"/>
      <c r="BB495" s="5"/>
      <c r="BC495" s="5"/>
      <c r="BD495" s="5"/>
      <c r="BF495" s="5"/>
      <c r="BG495" s="5"/>
      <c r="BH495" s="5"/>
      <c r="BI495" s="5"/>
      <c r="BK495" s="5"/>
      <c r="BL495" s="5"/>
      <c r="BM495" s="5"/>
      <c r="BN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BA496" s="5"/>
      <c r="BB496" s="5"/>
      <c r="BC496" s="5"/>
      <c r="BD496" s="5"/>
      <c r="BF496" s="5"/>
      <c r="BG496" s="5"/>
      <c r="BH496" s="5"/>
      <c r="BI496" s="5"/>
      <c r="BK496" s="5"/>
      <c r="BL496" s="5"/>
      <c r="BM496" s="5"/>
      <c r="BN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BA497" s="5"/>
      <c r="BB497" s="5"/>
      <c r="BC497" s="5"/>
      <c r="BD497" s="5"/>
      <c r="BF497" s="5"/>
      <c r="BG497" s="5"/>
      <c r="BH497" s="5"/>
      <c r="BI497" s="5"/>
      <c r="BK497" s="5"/>
      <c r="BL497" s="5"/>
      <c r="BM497" s="5"/>
      <c r="BN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BA498" s="5"/>
      <c r="BB498" s="5"/>
      <c r="BC498" s="5"/>
      <c r="BD498" s="5"/>
      <c r="BF498" s="5"/>
      <c r="BG498" s="5"/>
      <c r="BH498" s="5"/>
      <c r="BI498" s="5"/>
      <c r="BK498" s="5"/>
      <c r="BL498" s="5"/>
      <c r="BM498" s="5"/>
      <c r="BN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BA499" s="5"/>
      <c r="BB499" s="5"/>
      <c r="BC499" s="5"/>
      <c r="BD499" s="5"/>
      <c r="BF499" s="5"/>
      <c r="BG499" s="5"/>
      <c r="BH499" s="5"/>
      <c r="BI499" s="5"/>
      <c r="BK499" s="5"/>
      <c r="BL499" s="5"/>
      <c r="BM499" s="5"/>
      <c r="BN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BA500" s="5"/>
      <c r="BB500" s="5"/>
      <c r="BC500" s="5"/>
      <c r="BD500" s="5"/>
      <c r="BF500" s="5"/>
      <c r="BG500" s="5"/>
      <c r="BH500" s="5"/>
      <c r="BI500" s="5"/>
      <c r="BK500" s="5"/>
      <c r="BL500" s="5"/>
      <c r="BM500" s="5"/>
      <c r="BN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BA501" s="5"/>
      <c r="BB501" s="5"/>
      <c r="BC501" s="5"/>
      <c r="BD501" s="5"/>
      <c r="BF501" s="5"/>
      <c r="BG501" s="5"/>
      <c r="BH501" s="5"/>
      <c r="BI501" s="5"/>
      <c r="BK501" s="5"/>
      <c r="BL501" s="5"/>
      <c r="BM501" s="5"/>
      <c r="BN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BA502" s="5"/>
      <c r="BB502" s="5"/>
      <c r="BC502" s="5"/>
      <c r="BD502" s="5"/>
      <c r="BF502" s="5"/>
      <c r="BG502" s="5"/>
      <c r="BH502" s="5"/>
      <c r="BI502" s="5"/>
      <c r="BK502" s="5"/>
      <c r="BL502" s="5"/>
      <c r="BM502" s="5"/>
      <c r="BN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BA503" s="5"/>
      <c r="BB503" s="5"/>
      <c r="BC503" s="5"/>
      <c r="BD503" s="5"/>
      <c r="BF503" s="5"/>
      <c r="BG503" s="5"/>
      <c r="BH503" s="5"/>
      <c r="BI503" s="5"/>
      <c r="BK503" s="5"/>
      <c r="BL503" s="5"/>
      <c r="BM503" s="5"/>
      <c r="BN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BA504" s="5"/>
      <c r="BB504" s="5"/>
      <c r="BC504" s="5"/>
      <c r="BD504" s="5"/>
      <c r="BF504" s="5"/>
      <c r="BG504" s="5"/>
      <c r="BH504" s="5"/>
      <c r="BI504" s="5"/>
      <c r="BK504" s="5"/>
      <c r="BL504" s="5"/>
      <c r="BM504" s="5"/>
      <c r="BN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BA505" s="5"/>
      <c r="BB505" s="5"/>
      <c r="BC505" s="5"/>
      <c r="BD505" s="5"/>
      <c r="BF505" s="5"/>
      <c r="BG505" s="5"/>
      <c r="BH505" s="5"/>
      <c r="BI505" s="5"/>
      <c r="BK505" s="5"/>
      <c r="BL505" s="5"/>
      <c r="BM505" s="5"/>
      <c r="BN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BA506" s="5"/>
      <c r="BB506" s="5"/>
      <c r="BC506" s="5"/>
      <c r="BD506" s="5"/>
      <c r="BF506" s="5"/>
      <c r="BG506" s="5"/>
      <c r="BH506" s="5"/>
      <c r="BI506" s="5"/>
      <c r="BK506" s="5"/>
      <c r="BL506" s="5"/>
      <c r="BM506" s="5"/>
      <c r="BN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BA507" s="5"/>
      <c r="BB507" s="5"/>
      <c r="BC507" s="5"/>
      <c r="BD507" s="5"/>
      <c r="BF507" s="5"/>
      <c r="BG507" s="5"/>
      <c r="BH507" s="5"/>
      <c r="BI507" s="5"/>
      <c r="BK507" s="5"/>
      <c r="BL507" s="5"/>
      <c r="BM507" s="5"/>
      <c r="BN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BA508" s="5"/>
      <c r="BB508" s="5"/>
      <c r="BC508" s="5"/>
      <c r="BD508" s="5"/>
      <c r="BF508" s="5"/>
      <c r="BG508" s="5"/>
      <c r="BH508" s="5"/>
      <c r="BI508" s="5"/>
      <c r="BK508" s="5"/>
      <c r="BL508" s="5"/>
      <c r="BM508" s="5"/>
      <c r="BN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BA509" s="5"/>
      <c r="BB509" s="5"/>
      <c r="BC509" s="5"/>
      <c r="BD509" s="5"/>
      <c r="BF509" s="5"/>
      <c r="BG509" s="5"/>
      <c r="BH509" s="5"/>
      <c r="BI509" s="5"/>
      <c r="BK509" s="5"/>
      <c r="BL509" s="5"/>
      <c r="BM509" s="5"/>
      <c r="BN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BA510" s="5"/>
      <c r="BB510" s="5"/>
      <c r="BC510" s="5"/>
      <c r="BD510" s="5"/>
      <c r="BF510" s="5"/>
      <c r="BG510" s="5"/>
      <c r="BH510" s="5"/>
      <c r="BI510" s="5"/>
      <c r="BK510" s="5"/>
      <c r="BL510" s="5"/>
      <c r="BM510" s="5"/>
      <c r="BN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BA511" s="5"/>
      <c r="BB511" s="5"/>
      <c r="BC511" s="5"/>
      <c r="BD511" s="5"/>
      <c r="BF511" s="5"/>
      <c r="BG511" s="5"/>
      <c r="BH511" s="5"/>
      <c r="BI511" s="5"/>
      <c r="BK511" s="5"/>
      <c r="BL511" s="5"/>
      <c r="BM511" s="5"/>
      <c r="BN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BA512" s="5"/>
      <c r="BB512" s="5"/>
      <c r="BC512" s="5"/>
      <c r="BD512" s="5"/>
      <c r="BF512" s="5"/>
      <c r="BG512" s="5"/>
      <c r="BH512" s="5"/>
      <c r="BI512" s="5"/>
      <c r="BK512" s="5"/>
      <c r="BL512" s="5"/>
      <c r="BM512" s="5"/>
      <c r="BN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BA513" s="5"/>
      <c r="BB513" s="5"/>
      <c r="BC513" s="5"/>
      <c r="BD513" s="5"/>
      <c r="BF513" s="5"/>
      <c r="BG513" s="5"/>
      <c r="BH513" s="5"/>
      <c r="BI513" s="5"/>
      <c r="BK513" s="5"/>
      <c r="BL513" s="5"/>
      <c r="BM513" s="5"/>
      <c r="BN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BA514" s="5"/>
      <c r="BB514" s="5"/>
      <c r="BC514" s="5"/>
      <c r="BD514" s="5"/>
      <c r="BF514" s="5"/>
      <c r="BG514" s="5"/>
      <c r="BH514" s="5"/>
      <c r="BI514" s="5"/>
      <c r="BK514" s="5"/>
      <c r="BL514" s="5"/>
      <c r="BM514" s="5"/>
      <c r="BN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BA515" s="5"/>
      <c r="BB515" s="5"/>
      <c r="BC515" s="5"/>
      <c r="BD515" s="5"/>
      <c r="BF515" s="5"/>
      <c r="BG515" s="5"/>
      <c r="BH515" s="5"/>
      <c r="BI515" s="5"/>
      <c r="BK515" s="5"/>
      <c r="BL515" s="5"/>
      <c r="BM515" s="5"/>
      <c r="BN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BA516" s="5"/>
      <c r="BB516" s="5"/>
      <c r="BC516" s="5"/>
      <c r="BD516" s="5"/>
      <c r="BF516" s="5"/>
      <c r="BG516" s="5"/>
      <c r="BH516" s="5"/>
      <c r="BI516" s="5"/>
      <c r="BK516" s="5"/>
      <c r="BL516" s="5"/>
      <c r="BM516" s="5"/>
      <c r="BN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BA517" s="5"/>
      <c r="BB517" s="5"/>
      <c r="BC517" s="5"/>
      <c r="BD517" s="5"/>
      <c r="BF517" s="5"/>
      <c r="BG517" s="5"/>
      <c r="BH517" s="5"/>
      <c r="BI517" s="5"/>
      <c r="BK517" s="5"/>
      <c r="BL517" s="5"/>
      <c r="BM517" s="5"/>
      <c r="BN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BA518" s="5"/>
      <c r="BB518" s="5"/>
      <c r="BC518" s="5"/>
      <c r="BD518" s="5"/>
      <c r="BF518" s="5"/>
      <c r="BG518" s="5"/>
      <c r="BH518" s="5"/>
      <c r="BI518" s="5"/>
      <c r="BK518" s="5"/>
      <c r="BL518" s="5"/>
      <c r="BM518" s="5"/>
      <c r="BN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BA519" s="5"/>
      <c r="BB519" s="5"/>
      <c r="BC519" s="5"/>
      <c r="BD519" s="5"/>
      <c r="BF519" s="5"/>
      <c r="BG519" s="5"/>
      <c r="BH519" s="5"/>
      <c r="BI519" s="5"/>
      <c r="BK519" s="5"/>
      <c r="BL519" s="5"/>
      <c r="BM519" s="5"/>
      <c r="BN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BA520" s="5"/>
      <c r="BB520" s="5"/>
      <c r="BC520" s="5"/>
      <c r="BD520" s="5"/>
      <c r="BF520" s="5"/>
      <c r="BG520" s="5"/>
      <c r="BH520" s="5"/>
      <c r="BI520" s="5"/>
      <c r="BK520" s="5"/>
      <c r="BL520" s="5"/>
      <c r="BM520" s="5"/>
      <c r="BN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BA521" s="5"/>
      <c r="BB521" s="5"/>
      <c r="BC521" s="5"/>
      <c r="BD521" s="5"/>
      <c r="BF521" s="5"/>
      <c r="BG521" s="5"/>
      <c r="BH521" s="5"/>
      <c r="BI521" s="5"/>
      <c r="BK521" s="5"/>
      <c r="BL521" s="5"/>
      <c r="BM521" s="5"/>
      <c r="BN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BA522" s="5"/>
      <c r="BB522" s="5"/>
      <c r="BC522" s="5"/>
      <c r="BD522" s="5"/>
      <c r="BF522" s="5"/>
      <c r="BG522" s="5"/>
      <c r="BH522" s="5"/>
      <c r="BI522" s="5"/>
      <c r="BK522" s="5"/>
      <c r="BL522" s="5"/>
      <c r="BM522" s="5"/>
      <c r="BN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BA523" s="5"/>
      <c r="BB523" s="5"/>
      <c r="BC523" s="5"/>
      <c r="BD523" s="5"/>
      <c r="BF523" s="5"/>
      <c r="BG523" s="5"/>
      <c r="BH523" s="5"/>
      <c r="BI523" s="5"/>
      <c r="BK523" s="5"/>
      <c r="BL523" s="5"/>
      <c r="BM523" s="5"/>
      <c r="BN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BA524" s="5"/>
      <c r="BB524" s="5"/>
      <c r="BC524" s="5"/>
      <c r="BD524" s="5"/>
      <c r="BF524" s="5"/>
      <c r="BG524" s="5"/>
      <c r="BH524" s="5"/>
      <c r="BI524" s="5"/>
      <c r="BK524" s="5"/>
      <c r="BL524" s="5"/>
      <c r="BM524" s="5"/>
      <c r="BN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BA525" s="5"/>
      <c r="BB525" s="5"/>
      <c r="BC525" s="5"/>
      <c r="BD525" s="5"/>
      <c r="BF525" s="5"/>
      <c r="BG525" s="5"/>
      <c r="BH525" s="5"/>
      <c r="BI525" s="5"/>
      <c r="BK525" s="5"/>
      <c r="BL525" s="5"/>
      <c r="BM525" s="5"/>
      <c r="BN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BA526" s="5"/>
      <c r="BB526" s="5"/>
      <c r="BC526" s="5"/>
      <c r="BD526" s="5"/>
      <c r="BF526" s="5"/>
      <c r="BG526" s="5"/>
      <c r="BH526" s="5"/>
      <c r="BI526" s="5"/>
      <c r="BK526" s="5"/>
      <c r="BL526" s="5"/>
      <c r="BM526" s="5"/>
      <c r="BN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BA527" s="5"/>
      <c r="BB527" s="5"/>
      <c r="BC527" s="5"/>
      <c r="BD527" s="5"/>
      <c r="BF527" s="5"/>
      <c r="BG527" s="5"/>
      <c r="BH527" s="5"/>
      <c r="BI527" s="5"/>
      <c r="BK527" s="5"/>
      <c r="BL527" s="5"/>
      <c r="BM527" s="5"/>
      <c r="BN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BA528" s="5"/>
      <c r="BB528" s="5"/>
      <c r="BC528" s="5"/>
      <c r="BD528" s="5"/>
      <c r="BF528" s="5"/>
      <c r="BG528" s="5"/>
      <c r="BH528" s="5"/>
      <c r="BI528" s="5"/>
      <c r="BK528" s="5"/>
      <c r="BL528" s="5"/>
      <c r="BM528" s="5"/>
      <c r="BN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BA529" s="5"/>
      <c r="BB529" s="5"/>
      <c r="BC529" s="5"/>
      <c r="BD529" s="5"/>
      <c r="BF529" s="5"/>
      <c r="BG529" s="5"/>
      <c r="BH529" s="5"/>
      <c r="BI529" s="5"/>
      <c r="BK529" s="5"/>
      <c r="BL529" s="5"/>
      <c r="BM529" s="5"/>
      <c r="BN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BA530" s="5"/>
      <c r="BB530" s="5"/>
      <c r="BC530" s="5"/>
      <c r="BD530" s="5"/>
      <c r="BF530" s="5"/>
      <c r="BG530" s="5"/>
      <c r="BH530" s="5"/>
      <c r="BI530" s="5"/>
      <c r="BK530" s="5"/>
      <c r="BL530" s="5"/>
      <c r="BM530" s="5"/>
      <c r="BN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BA531" s="5"/>
      <c r="BB531" s="5"/>
      <c r="BC531" s="5"/>
      <c r="BD531" s="5"/>
      <c r="BF531" s="5"/>
      <c r="BG531" s="5"/>
      <c r="BH531" s="5"/>
      <c r="BI531" s="5"/>
      <c r="BK531" s="5"/>
      <c r="BL531" s="5"/>
      <c r="BM531" s="5"/>
      <c r="BN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BA532" s="5"/>
      <c r="BB532" s="5"/>
      <c r="BC532" s="5"/>
      <c r="BD532" s="5"/>
      <c r="BF532" s="5"/>
      <c r="BG532" s="5"/>
      <c r="BH532" s="5"/>
      <c r="BI532" s="5"/>
      <c r="BK532" s="5"/>
      <c r="BL532" s="5"/>
      <c r="BM532" s="5"/>
      <c r="BN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BA533" s="5"/>
      <c r="BB533" s="5"/>
      <c r="BC533" s="5"/>
      <c r="BD533" s="5"/>
      <c r="BF533" s="5"/>
      <c r="BG533" s="5"/>
      <c r="BH533" s="5"/>
      <c r="BI533" s="5"/>
      <c r="BK533" s="5"/>
      <c r="BL533" s="5"/>
      <c r="BM533" s="5"/>
      <c r="BN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BA534" s="5"/>
      <c r="BB534" s="5"/>
      <c r="BC534" s="5"/>
      <c r="BD534" s="5"/>
      <c r="BF534" s="5"/>
      <c r="BG534" s="5"/>
      <c r="BH534" s="5"/>
      <c r="BI534" s="5"/>
      <c r="BK534" s="5"/>
      <c r="BL534" s="5"/>
      <c r="BM534" s="5"/>
      <c r="BN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BA535" s="5"/>
      <c r="BB535" s="5"/>
      <c r="BC535" s="5"/>
      <c r="BD535" s="5"/>
      <c r="BF535" s="5"/>
      <c r="BG535" s="5"/>
      <c r="BH535" s="5"/>
      <c r="BI535" s="5"/>
      <c r="BK535" s="5"/>
      <c r="BL535" s="5"/>
      <c r="BM535" s="5"/>
      <c r="BN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BA536" s="5"/>
      <c r="BB536" s="5"/>
      <c r="BC536" s="5"/>
      <c r="BD536" s="5"/>
      <c r="BF536" s="5"/>
      <c r="BG536" s="5"/>
      <c r="BH536" s="5"/>
      <c r="BI536" s="5"/>
      <c r="BK536" s="5"/>
      <c r="BL536" s="5"/>
      <c r="BM536" s="5"/>
      <c r="BN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BA537" s="5"/>
      <c r="BB537" s="5"/>
      <c r="BC537" s="5"/>
      <c r="BD537" s="5"/>
      <c r="BF537" s="5"/>
      <c r="BG537" s="5"/>
      <c r="BH537" s="5"/>
      <c r="BI537" s="5"/>
      <c r="BK537" s="5"/>
      <c r="BL537" s="5"/>
      <c r="BM537" s="5"/>
      <c r="BN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BA538" s="5"/>
      <c r="BB538" s="5"/>
      <c r="BC538" s="5"/>
      <c r="BD538" s="5"/>
      <c r="BF538" s="5"/>
      <c r="BG538" s="5"/>
      <c r="BH538" s="5"/>
      <c r="BI538" s="5"/>
      <c r="BK538" s="5"/>
      <c r="BL538" s="5"/>
      <c r="BM538" s="5"/>
      <c r="BN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BA539" s="5"/>
      <c r="BB539" s="5"/>
      <c r="BC539" s="5"/>
      <c r="BD539" s="5"/>
      <c r="BF539" s="5"/>
      <c r="BG539" s="5"/>
      <c r="BH539" s="5"/>
      <c r="BI539" s="5"/>
      <c r="BK539" s="5"/>
      <c r="BL539" s="5"/>
      <c r="BM539" s="5"/>
      <c r="BN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BA540" s="5"/>
      <c r="BB540" s="5"/>
      <c r="BC540" s="5"/>
      <c r="BD540" s="5"/>
      <c r="BF540" s="5"/>
      <c r="BG540" s="5"/>
      <c r="BH540" s="5"/>
      <c r="BI540" s="5"/>
      <c r="BK540" s="5"/>
      <c r="BL540" s="5"/>
      <c r="BM540" s="5"/>
      <c r="BN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BA541" s="5"/>
      <c r="BB541" s="5"/>
      <c r="BC541" s="5"/>
      <c r="BD541" s="5"/>
      <c r="BF541" s="5"/>
      <c r="BG541" s="5"/>
      <c r="BH541" s="5"/>
      <c r="BI541" s="5"/>
      <c r="BK541" s="5"/>
      <c r="BL541" s="5"/>
      <c r="BM541" s="5"/>
      <c r="BN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BA542" s="5"/>
      <c r="BB542" s="5"/>
      <c r="BC542" s="5"/>
      <c r="BD542" s="5"/>
      <c r="BF542" s="5"/>
      <c r="BG542" s="5"/>
      <c r="BH542" s="5"/>
      <c r="BI542" s="5"/>
      <c r="BK542" s="5"/>
      <c r="BL542" s="5"/>
      <c r="BM542" s="5"/>
      <c r="BN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BA543" s="5"/>
      <c r="BB543" s="5"/>
      <c r="BC543" s="5"/>
      <c r="BD543" s="5"/>
      <c r="BF543" s="5"/>
      <c r="BG543" s="5"/>
      <c r="BH543" s="5"/>
      <c r="BI543" s="5"/>
      <c r="BK543" s="5"/>
      <c r="BL543" s="5"/>
      <c r="BM543" s="5"/>
      <c r="BN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BA544" s="5"/>
      <c r="BB544" s="5"/>
      <c r="BC544" s="5"/>
      <c r="BD544" s="5"/>
      <c r="BF544" s="5"/>
      <c r="BG544" s="5"/>
      <c r="BH544" s="5"/>
      <c r="BI544" s="5"/>
      <c r="BK544" s="5"/>
      <c r="BL544" s="5"/>
      <c r="BM544" s="5"/>
      <c r="BN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BA545" s="5"/>
      <c r="BB545" s="5"/>
      <c r="BC545" s="5"/>
      <c r="BD545" s="5"/>
      <c r="BF545" s="5"/>
      <c r="BG545" s="5"/>
      <c r="BH545" s="5"/>
      <c r="BI545" s="5"/>
      <c r="BK545" s="5"/>
      <c r="BL545" s="5"/>
      <c r="BM545" s="5"/>
      <c r="BN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BA546" s="5"/>
      <c r="BB546" s="5"/>
      <c r="BC546" s="5"/>
      <c r="BD546" s="5"/>
      <c r="BF546" s="5"/>
      <c r="BG546" s="5"/>
      <c r="BH546" s="5"/>
      <c r="BI546" s="5"/>
      <c r="BK546" s="5"/>
      <c r="BL546" s="5"/>
      <c r="BM546" s="5"/>
      <c r="BN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BA547" s="5"/>
      <c r="BB547" s="5"/>
      <c r="BC547" s="5"/>
      <c r="BD547" s="5"/>
      <c r="BF547" s="5"/>
      <c r="BG547" s="5"/>
      <c r="BH547" s="5"/>
      <c r="BI547" s="5"/>
      <c r="BK547" s="5"/>
      <c r="BL547" s="5"/>
      <c r="BM547" s="5"/>
      <c r="BN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BA548" s="5"/>
      <c r="BB548" s="5"/>
      <c r="BC548" s="5"/>
      <c r="BD548" s="5"/>
      <c r="BF548" s="5"/>
      <c r="BG548" s="5"/>
      <c r="BH548" s="5"/>
      <c r="BI548" s="5"/>
      <c r="BK548" s="5"/>
      <c r="BL548" s="5"/>
      <c r="BM548" s="5"/>
      <c r="BN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BA549" s="5"/>
      <c r="BB549" s="5"/>
      <c r="BC549" s="5"/>
      <c r="BD549" s="5"/>
      <c r="BF549" s="5"/>
      <c r="BG549" s="5"/>
      <c r="BH549" s="5"/>
      <c r="BI549" s="5"/>
      <c r="BK549" s="5"/>
      <c r="BL549" s="5"/>
      <c r="BM549" s="5"/>
      <c r="BN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BA550" s="5"/>
      <c r="BB550" s="5"/>
      <c r="BC550" s="5"/>
      <c r="BD550" s="5"/>
      <c r="BF550" s="5"/>
      <c r="BG550" s="5"/>
      <c r="BH550" s="5"/>
      <c r="BI550" s="5"/>
      <c r="BK550" s="5"/>
      <c r="BL550" s="5"/>
      <c r="BM550" s="5"/>
      <c r="BN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BA551" s="5"/>
      <c r="BB551" s="5"/>
      <c r="BC551" s="5"/>
      <c r="BD551" s="5"/>
      <c r="BF551" s="5"/>
      <c r="BG551" s="5"/>
      <c r="BH551" s="5"/>
      <c r="BI551" s="5"/>
      <c r="BK551" s="5"/>
      <c r="BL551" s="5"/>
      <c r="BM551" s="5"/>
      <c r="BN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BA552" s="5"/>
      <c r="BB552" s="5"/>
      <c r="BC552" s="5"/>
      <c r="BD552" s="5"/>
      <c r="BF552" s="5"/>
      <c r="BG552" s="5"/>
      <c r="BH552" s="5"/>
      <c r="BI552" s="5"/>
      <c r="BK552" s="5"/>
      <c r="BL552" s="5"/>
      <c r="BM552" s="5"/>
      <c r="BN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BA553" s="5"/>
      <c r="BB553" s="5"/>
      <c r="BC553" s="5"/>
      <c r="BD553" s="5"/>
      <c r="BF553" s="5"/>
      <c r="BG553" s="5"/>
      <c r="BH553" s="5"/>
      <c r="BI553" s="5"/>
      <c r="BK553" s="5"/>
      <c r="BL553" s="5"/>
      <c r="BM553" s="5"/>
      <c r="BN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BA554" s="5"/>
      <c r="BB554" s="5"/>
      <c r="BC554" s="5"/>
      <c r="BD554" s="5"/>
      <c r="BF554" s="5"/>
      <c r="BG554" s="5"/>
      <c r="BH554" s="5"/>
      <c r="BI554" s="5"/>
      <c r="BK554" s="5"/>
      <c r="BL554" s="5"/>
      <c r="BM554" s="5"/>
      <c r="BN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BA555" s="5"/>
      <c r="BB555" s="5"/>
      <c r="BC555" s="5"/>
      <c r="BD555" s="5"/>
      <c r="BF555" s="5"/>
      <c r="BG555" s="5"/>
      <c r="BH555" s="5"/>
      <c r="BI555" s="5"/>
      <c r="BK555" s="5"/>
      <c r="BL555" s="5"/>
      <c r="BM555" s="5"/>
      <c r="BN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BA556" s="5"/>
      <c r="BB556" s="5"/>
      <c r="BC556" s="5"/>
      <c r="BD556" s="5"/>
      <c r="BF556" s="5"/>
      <c r="BG556" s="5"/>
      <c r="BH556" s="5"/>
      <c r="BI556" s="5"/>
      <c r="BK556" s="5"/>
      <c r="BL556" s="5"/>
      <c r="BM556" s="5"/>
      <c r="BN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BA557" s="5"/>
      <c r="BB557" s="5"/>
      <c r="BC557" s="5"/>
      <c r="BD557" s="5"/>
      <c r="BF557" s="5"/>
      <c r="BG557" s="5"/>
      <c r="BH557" s="5"/>
      <c r="BI557" s="5"/>
      <c r="BK557" s="5"/>
      <c r="BL557" s="5"/>
      <c r="BM557" s="5"/>
      <c r="BN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BA558" s="5"/>
      <c r="BB558" s="5"/>
      <c r="BC558" s="5"/>
      <c r="BD558" s="5"/>
      <c r="BF558" s="5"/>
      <c r="BG558" s="5"/>
      <c r="BH558" s="5"/>
      <c r="BI558" s="5"/>
      <c r="BK558" s="5"/>
      <c r="BL558" s="5"/>
      <c r="BM558" s="5"/>
      <c r="BN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BA559" s="5"/>
      <c r="BB559" s="5"/>
      <c r="BC559" s="5"/>
      <c r="BD559" s="5"/>
      <c r="BF559" s="5"/>
      <c r="BG559" s="5"/>
      <c r="BH559" s="5"/>
      <c r="BI559" s="5"/>
      <c r="BK559" s="5"/>
      <c r="BL559" s="5"/>
      <c r="BM559" s="5"/>
      <c r="BN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BA560" s="5"/>
      <c r="BB560" s="5"/>
      <c r="BC560" s="5"/>
      <c r="BD560" s="5"/>
      <c r="BF560" s="5"/>
      <c r="BG560" s="5"/>
      <c r="BH560" s="5"/>
      <c r="BI560" s="5"/>
      <c r="BK560" s="5"/>
      <c r="BL560" s="5"/>
      <c r="BM560" s="5"/>
      <c r="BN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BA561" s="5"/>
      <c r="BB561" s="5"/>
      <c r="BC561" s="5"/>
      <c r="BD561" s="5"/>
      <c r="BF561" s="5"/>
      <c r="BG561" s="5"/>
      <c r="BH561" s="5"/>
      <c r="BI561" s="5"/>
      <c r="BK561" s="5"/>
      <c r="BL561" s="5"/>
      <c r="BM561" s="5"/>
      <c r="BN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BA562" s="5"/>
      <c r="BB562" s="5"/>
      <c r="BC562" s="5"/>
      <c r="BD562" s="5"/>
      <c r="BF562" s="5"/>
      <c r="BG562" s="5"/>
      <c r="BH562" s="5"/>
      <c r="BI562" s="5"/>
      <c r="BK562" s="5"/>
      <c r="BL562" s="5"/>
      <c r="BM562" s="5"/>
      <c r="BN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BA563" s="5"/>
      <c r="BB563" s="5"/>
      <c r="BC563" s="5"/>
      <c r="BD563" s="5"/>
      <c r="BF563" s="5"/>
      <c r="BG563" s="5"/>
      <c r="BH563" s="5"/>
      <c r="BI563" s="5"/>
      <c r="BK563" s="5"/>
      <c r="BL563" s="5"/>
      <c r="BM563" s="5"/>
      <c r="BN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BA564" s="5"/>
      <c r="BB564" s="5"/>
      <c r="BC564" s="5"/>
      <c r="BD564" s="5"/>
      <c r="BF564" s="5"/>
      <c r="BG564" s="5"/>
      <c r="BH564" s="5"/>
      <c r="BI564" s="5"/>
      <c r="BK564" s="5"/>
      <c r="BL564" s="5"/>
      <c r="BM564" s="5"/>
      <c r="BN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BA565" s="5"/>
      <c r="BB565" s="5"/>
      <c r="BC565" s="5"/>
      <c r="BD565" s="5"/>
      <c r="BF565" s="5"/>
      <c r="BG565" s="5"/>
      <c r="BH565" s="5"/>
      <c r="BI565" s="5"/>
      <c r="BK565" s="5"/>
      <c r="BL565" s="5"/>
      <c r="BM565" s="5"/>
      <c r="BN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BA566" s="5"/>
      <c r="BB566" s="5"/>
      <c r="BC566" s="5"/>
      <c r="BD566" s="5"/>
      <c r="BF566" s="5"/>
      <c r="BG566" s="5"/>
      <c r="BH566" s="5"/>
      <c r="BI566" s="5"/>
      <c r="BK566" s="5"/>
      <c r="BL566" s="5"/>
      <c r="BM566" s="5"/>
      <c r="BN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BA567" s="5"/>
      <c r="BB567" s="5"/>
      <c r="BC567" s="5"/>
      <c r="BD567" s="5"/>
      <c r="BF567" s="5"/>
      <c r="BG567" s="5"/>
      <c r="BH567" s="5"/>
      <c r="BI567" s="5"/>
      <c r="BK567" s="5"/>
      <c r="BL567" s="5"/>
      <c r="BM567" s="5"/>
      <c r="BN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BA568" s="5"/>
      <c r="BB568" s="5"/>
      <c r="BC568" s="5"/>
      <c r="BD568" s="5"/>
      <c r="BF568" s="5"/>
      <c r="BG568" s="5"/>
      <c r="BH568" s="5"/>
      <c r="BI568" s="5"/>
      <c r="BK568" s="5"/>
      <c r="BL568" s="5"/>
      <c r="BM568" s="5"/>
      <c r="BN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BA569" s="5"/>
      <c r="BB569" s="5"/>
      <c r="BC569" s="5"/>
      <c r="BD569" s="5"/>
      <c r="BF569" s="5"/>
      <c r="BG569" s="5"/>
      <c r="BH569" s="5"/>
      <c r="BI569" s="5"/>
      <c r="BK569" s="5"/>
      <c r="BL569" s="5"/>
      <c r="BM569" s="5"/>
      <c r="BN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8:146" ht="12.75">
      <c r="R570" s="5"/>
      <c r="S570" s="5"/>
      <c r="T570" s="5"/>
      <c r="U570" s="5"/>
      <c r="BA570" s="5"/>
      <c r="BB570" s="5"/>
      <c r="BC570" s="5"/>
      <c r="BD570" s="5"/>
      <c r="BF570" s="5"/>
      <c r="BG570" s="5"/>
      <c r="BH570" s="5"/>
      <c r="BI570" s="5"/>
      <c r="BK570" s="5"/>
      <c r="BL570" s="5"/>
      <c r="BM570" s="5"/>
      <c r="BN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8:146" ht="12.75">
      <c r="R571" s="5"/>
      <c r="S571" s="5"/>
      <c r="T571" s="5"/>
      <c r="U571" s="5"/>
      <c r="BA571" s="5"/>
      <c r="BB571" s="5"/>
      <c r="BC571" s="5"/>
      <c r="BD571" s="5"/>
      <c r="BF571" s="5"/>
      <c r="BG571" s="5"/>
      <c r="BH571" s="5"/>
      <c r="BI571" s="5"/>
      <c r="BK571" s="5"/>
      <c r="BL571" s="5"/>
      <c r="BM571" s="5"/>
      <c r="BN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8:146" ht="12.75">
      <c r="R572" s="5"/>
      <c r="S572" s="5"/>
      <c r="T572" s="5"/>
      <c r="U572" s="5"/>
      <c r="BA572" s="5"/>
      <c r="BB572" s="5"/>
      <c r="BC572" s="5"/>
      <c r="BD572" s="5"/>
      <c r="BF572" s="5"/>
      <c r="BG572" s="5"/>
      <c r="BH572" s="5"/>
      <c r="BI572" s="5"/>
      <c r="BK572" s="5"/>
      <c r="BL572" s="5"/>
      <c r="BM572" s="5"/>
      <c r="BN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82"/>
  <sheetViews>
    <sheetView zoomScale="130" zoomScaleNormal="13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2" sqref="K12"/>
    </sheetView>
  </sheetViews>
  <sheetFormatPr defaultColWidth="8.8515625" defaultRowHeight="12.75"/>
  <cols>
    <col min="1" max="1" width="9.7109375" style="37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2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  <col min="137" max="137" width="3.7109375" style="5" customWidth="1"/>
  </cols>
  <sheetData>
    <row r="1" spans="1:128" ht="12.75">
      <c r="A1" s="1"/>
      <c r="B1" s="2"/>
      <c r="D1" s="4"/>
      <c r="H1" s="4" t="s">
        <v>58</v>
      </c>
      <c r="W1" s="4" t="s">
        <v>58</v>
      </c>
      <c r="AL1" s="4" t="s">
        <v>58</v>
      </c>
      <c r="AQ1" s="4"/>
      <c r="BA1" s="4" t="s">
        <v>58</v>
      </c>
      <c r="BK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W2" s="4" t="s">
        <v>57</v>
      </c>
      <c r="AL2" s="4" t="s">
        <v>57</v>
      </c>
      <c r="AQ2" s="4"/>
      <c r="BA2" s="4" t="s">
        <v>57</v>
      </c>
      <c r="BK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W3" s="4" t="s">
        <v>119</v>
      </c>
      <c r="AL3" s="4" t="s">
        <v>119</v>
      </c>
      <c r="AQ3" s="4"/>
      <c r="BA3" s="4" t="s">
        <v>119</v>
      </c>
      <c r="BK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4" ht="12.75">
      <c r="A4" s="1"/>
      <c r="B4" s="2"/>
      <c r="C4" s="7"/>
      <c r="D4" s="4"/>
    </row>
    <row r="5" spans="1:137" ht="12.75">
      <c r="A5" s="9" t="s">
        <v>0</v>
      </c>
      <c r="C5" s="10" t="s">
        <v>120</v>
      </c>
      <c r="D5" s="11"/>
      <c r="E5" s="12"/>
      <c r="F5" s="12"/>
      <c r="H5" s="13" t="s">
        <v>127</v>
      </c>
      <c r="I5" s="16"/>
      <c r="J5" s="15"/>
      <c r="K5" s="12"/>
      <c r="M5" s="42" t="s">
        <v>12</v>
      </c>
      <c r="N5" s="14"/>
      <c r="O5" s="15"/>
      <c r="P5" s="12"/>
      <c r="R5" s="42" t="s">
        <v>75</v>
      </c>
      <c r="S5" s="14"/>
      <c r="T5" s="15"/>
      <c r="U5" s="12"/>
      <c r="W5" s="84" t="s">
        <v>124</v>
      </c>
      <c r="X5" s="82"/>
      <c r="Y5" s="83"/>
      <c r="Z5" s="12"/>
      <c r="AB5" s="42" t="s">
        <v>13</v>
      </c>
      <c r="AC5" s="14"/>
      <c r="AD5" s="15"/>
      <c r="AE5" s="12"/>
      <c r="AG5" s="42" t="s">
        <v>14</v>
      </c>
      <c r="AH5" s="14"/>
      <c r="AI5" s="15"/>
      <c r="AJ5" s="12"/>
      <c r="AL5" s="42" t="s">
        <v>172</v>
      </c>
      <c r="AM5" s="14"/>
      <c r="AN5" s="15"/>
      <c r="AO5" s="12"/>
      <c r="AQ5" s="42" t="s">
        <v>15</v>
      </c>
      <c r="AR5" s="14"/>
      <c r="AS5" s="15"/>
      <c r="AT5" s="12"/>
      <c r="AV5" s="13" t="s">
        <v>16</v>
      </c>
      <c r="AW5" s="14"/>
      <c r="AX5" s="15"/>
      <c r="AY5" s="12"/>
      <c r="BA5" s="79" t="s">
        <v>79</v>
      </c>
      <c r="BB5" s="80"/>
      <c r="BC5" s="81"/>
      <c r="BD5" s="12"/>
      <c r="BF5" s="87" t="s">
        <v>143</v>
      </c>
      <c r="BG5" s="85"/>
      <c r="BH5" s="86"/>
      <c r="BI5" s="12"/>
      <c r="BK5" s="87" t="s">
        <v>125</v>
      </c>
      <c r="BL5" s="85"/>
      <c r="BM5" s="86"/>
      <c r="BN5" s="12"/>
      <c r="BP5" s="13" t="s">
        <v>144</v>
      </c>
      <c r="BQ5" s="14"/>
      <c r="BR5" s="15"/>
      <c r="BS5" s="12"/>
      <c r="BU5" s="13" t="s">
        <v>59</v>
      </c>
      <c r="BV5" s="14"/>
      <c r="BW5" s="15"/>
      <c r="BX5" s="12"/>
      <c r="BZ5" s="13" t="s">
        <v>69</v>
      </c>
      <c r="CA5" s="14"/>
      <c r="CB5" s="15"/>
      <c r="CC5" s="12"/>
      <c r="CE5" s="13" t="s">
        <v>17</v>
      </c>
      <c r="CF5" s="14"/>
      <c r="CG5" s="15"/>
      <c r="CH5" s="12"/>
      <c r="CJ5" s="42" t="s">
        <v>64</v>
      </c>
      <c r="CK5" s="14"/>
      <c r="CL5" s="15"/>
      <c r="CM5" s="12"/>
      <c r="CO5" s="42" t="s">
        <v>18</v>
      </c>
      <c r="CP5" s="14"/>
      <c r="CQ5" s="15"/>
      <c r="CR5" s="12"/>
      <c r="CT5" s="88" t="s">
        <v>126</v>
      </c>
      <c r="CU5" s="14"/>
      <c r="CV5" s="15"/>
      <c r="CW5" s="12"/>
      <c r="CY5" s="42" t="s">
        <v>67</v>
      </c>
      <c r="CZ5" s="16"/>
      <c r="DA5" s="15"/>
      <c r="DB5" s="12"/>
      <c r="DD5" s="42" t="s">
        <v>19</v>
      </c>
      <c r="DE5" s="16"/>
      <c r="DF5" s="15"/>
      <c r="DG5" s="12"/>
      <c r="DI5" s="42" t="s">
        <v>153</v>
      </c>
      <c r="DJ5" s="16"/>
      <c r="DK5" s="15"/>
      <c r="DL5" s="12"/>
      <c r="DN5" s="13" t="s">
        <v>20</v>
      </c>
      <c r="DO5" s="16"/>
      <c r="DP5" s="15"/>
      <c r="DQ5" s="12"/>
      <c r="DS5" s="13" t="s">
        <v>21</v>
      </c>
      <c r="DT5" s="16"/>
      <c r="DU5" s="15"/>
      <c r="DV5" s="12"/>
      <c r="DX5" s="13" t="s">
        <v>60</v>
      </c>
      <c r="DY5" s="16"/>
      <c r="DZ5" s="15"/>
      <c r="EA5" s="12"/>
      <c r="EB5" s="43"/>
      <c r="EC5" s="13" t="s">
        <v>22</v>
      </c>
      <c r="ED5" s="16"/>
      <c r="EE5" s="15"/>
      <c r="EF5" s="12"/>
      <c r="EG5" s="44"/>
    </row>
    <row r="6" spans="1:137" ht="12.75">
      <c r="A6" s="22" t="s">
        <v>8</v>
      </c>
      <c r="B6" s="8"/>
      <c r="C6" s="42" t="s">
        <v>121</v>
      </c>
      <c r="D6" s="14"/>
      <c r="E6" s="41"/>
      <c r="F6" s="31" t="s">
        <v>170</v>
      </c>
      <c r="H6" s="23">
        <f>M6+R6+W6+AB6+AG6+AQ6+AV6+BA6+BK6+BU6+BZ6+CE6+CJ6+CO6+CT6+CY6+DD6+DN6+DS6+DX6+EC6+DI6</f>
        <v>0.1208423</v>
      </c>
      <c r="I6" s="24">
        <f>N6+S6+X6+AC6+AH6+AR6+AW6+BB6+BL6+BV6+CA6+CF6+CK6+CP6+CU6+CZ6+DE6+DO6+DT6+DY6+ED6+BG6+BQ6+DJ6</f>
        <v>0.18586210000000003</v>
      </c>
      <c r="J6" s="24">
        <f>O6+T6+Y6+AD6+AI6+AS6+AX6+BC6+BM6+BW6+CB6+CG6+CL6+CQ6+CV6+DA6+DF6+DP6+DU6+DZ6+EE6+BH6+BR6+DK6</f>
        <v>0.2843197</v>
      </c>
      <c r="K6" s="31" t="s">
        <v>170</v>
      </c>
      <c r="M6" s="45">
        <v>0.0030611</v>
      </c>
      <c r="N6" s="8">
        <v>0.0030611</v>
      </c>
      <c r="O6" s="25">
        <v>0.0030611</v>
      </c>
      <c r="P6" s="31" t="s">
        <v>170</v>
      </c>
      <c r="R6" s="45">
        <v>9.5E-05</v>
      </c>
      <c r="S6" s="8">
        <v>9.5E-05</v>
      </c>
      <c r="T6" s="25">
        <v>0.0002763</v>
      </c>
      <c r="U6" s="31" t="s">
        <v>170</v>
      </c>
      <c r="W6" s="45">
        <v>0.0006881</v>
      </c>
      <c r="X6" s="8">
        <v>0.0006881</v>
      </c>
      <c r="Y6" s="25">
        <v>0.0006881</v>
      </c>
      <c r="Z6" s="31" t="s">
        <v>170</v>
      </c>
      <c r="AB6" s="45">
        <v>0.007083</v>
      </c>
      <c r="AC6" s="8">
        <v>0.0088751</v>
      </c>
      <c r="AD6" s="25">
        <v>0.0101105</v>
      </c>
      <c r="AE6" s="31" t="s">
        <v>170</v>
      </c>
      <c r="AG6" s="45">
        <v>0.00379</v>
      </c>
      <c r="AH6" s="24">
        <v>0.0041862</v>
      </c>
      <c r="AI6" s="25">
        <v>0.005199</v>
      </c>
      <c r="AJ6" s="31" t="s">
        <v>170</v>
      </c>
      <c r="AL6" s="45">
        <v>0</v>
      </c>
      <c r="AM6" s="8">
        <v>0</v>
      </c>
      <c r="AN6" s="25">
        <v>0</v>
      </c>
      <c r="AO6" s="31" t="s">
        <v>170</v>
      </c>
      <c r="AQ6" s="45">
        <v>0.0002353</v>
      </c>
      <c r="AR6" s="8">
        <v>0.0002496</v>
      </c>
      <c r="AS6" s="25">
        <v>0.0003511</v>
      </c>
      <c r="AT6" s="31" t="s">
        <v>170</v>
      </c>
      <c r="AV6" s="45">
        <v>0.0017372</v>
      </c>
      <c r="AW6" s="8">
        <v>0.0157719</v>
      </c>
      <c r="AX6" s="25">
        <v>0.0300804</v>
      </c>
      <c r="AY6" s="31" t="s">
        <v>170</v>
      </c>
      <c r="BA6" s="45">
        <v>0.001809</v>
      </c>
      <c r="BB6" s="8">
        <v>0.0019723</v>
      </c>
      <c r="BC6" s="25">
        <v>0.0019723</v>
      </c>
      <c r="BD6" s="31" t="s">
        <v>170</v>
      </c>
      <c r="BF6" s="45">
        <v>0</v>
      </c>
      <c r="BG6" s="8">
        <v>0.0012653</v>
      </c>
      <c r="BH6" s="25">
        <v>0.002703</v>
      </c>
      <c r="BI6" s="31" t="s">
        <v>170</v>
      </c>
      <c r="BK6" s="45">
        <v>0.0009932</v>
      </c>
      <c r="BL6" s="8">
        <v>0.0029255</v>
      </c>
      <c r="BM6" s="25">
        <v>0.0214389</v>
      </c>
      <c r="BN6" s="31" t="s">
        <v>170</v>
      </c>
      <c r="BP6" s="45">
        <v>0</v>
      </c>
      <c r="BQ6" s="8">
        <v>0.0001786</v>
      </c>
      <c r="BR6" s="25">
        <v>0.0001786</v>
      </c>
      <c r="BS6" s="31" t="s">
        <v>170</v>
      </c>
      <c r="BU6" s="45">
        <v>3.3E-05</v>
      </c>
      <c r="BV6" s="8">
        <v>5.61E-05</v>
      </c>
      <c r="BW6" s="25">
        <v>6.07E-05</v>
      </c>
      <c r="BX6" s="31" t="s">
        <v>170</v>
      </c>
      <c r="BZ6" s="45">
        <v>0.0013499</v>
      </c>
      <c r="CA6" s="8">
        <v>0.0025191</v>
      </c>
      <c r="CB6" s="25">
        <v>0.0030525</v>
      </c>
      <c r="CC6" s="31" t="s">
        <v>170</v>
      </c>
      <c r="CE6" s="45">
        <v>0.0005776</v>
      </c>
      <c r="CF6" s="8">
        <v>0.0020217</v>
      </c>
      <c r="CG6" s="25">
        <v>0.0059222</v>
      </c>
      <c r="CH6" s="31" t="s">
        <v>170</v>
      </c>
      <c r="CJ6" s="45">
        <v>0.0001147</v>
      </c>
      <c r="CK6" s="8">
        <v>0.0001147</v>
      </c>
      <c r="CL6" s="25">
        <v>0.0003611</v>
      </c>
      <c r="CM6" s="31" t="s">
        <v>170</v>
      </c>
      <c r="CO6" s="45">
        <v>0.0018215</v>
      </c>
      <c r="CP6" s="8">
        <v>0.0035228</v>
      </c>
      <c r="CQ6" s="25">
        <v>0.0056614</v>
      </c>
      <c r="CR6" s="31" t="s">
        <v>170</v>
      </c>
      <c r="CT6" s="45">
        <v>0.0674034</v>
      </c>
      <c r="CU6" s="8">
        <v>0.0840529</v>
      </c>
      <c r="CV6" s="25">
        <v>0.1327259</v>
      </c>
      <c r="CW6" s="31" t="s">
        <v>170</v>
      </c>
      <c r="CY6" s="45">
        <v>0.0023086</v>
      </c>
      <c r="CZ6" s="24">
        <v>0.0027387</v>
      </c>
      <c r="DA6" s="25">
        <v>0.0027387</v>
      </c>
      <c r="DB6" s="31" t="s">
        <v>170</v>
      </c>
      <c r="DD6" s="45">
        <v>0.0010124</v>
      </c>
      <c r="DE6" s="24">
        <v>0.0017409</v>
      </c>
      <c r="DF6" s="25">
        <v>0.0025749</v>
      </c>
      <c r="DG6" s="31" t="s">
        <v>170</v>
      </c>
      <c r="DI6" s="45"/>
      <c r="DJ6" s="24"/>
      <c r="DK6" s="25">
        <v>0.0005694</v>
      </c>
      <c r="DL6" s="31" t="s">
        <v>170</v>
      </c>
      <c r="DN6" s="45">
        <v>0.0078738</v>
      </c>
      <c r="DO6" s="24">
        <v>0.0078873</v>
      </c>
      <c r="DP6" s="25">
        <v>0.0097204</v>
      </c>
      <c r="DQ6" s="31" t="s">
        <v>170</v>
      </c>
      <c r="DS6" s="45">
        <v>0.0177884</v>
      </c>
      <c r="DT6" s="24">
        <v>0.0384817</v>
      </c>
      <c r="DU6" s="25">
        <v>0.0410118</v>
      </c>
      <c r="DV6" s="31" t="s">
        <v>170</v>
      </c>
      <c r="DX6" s="45">
        <v>0.0002863</v>
      </c>
      <c r="DY6" s="24">
        <v>0.0002863</v>
      </c>
      <c r="DZ6" s="25">
        <v>0.0002863</v>
      </c>
      <c r="EA6" s="31" t="s">
        <v>170</v>
      </c>
      <c r="EB6" s="43"/>
      <c r="EC6" s="45">
        <v>0.0007808</v>
      </c>
      <c r="ED6" s="24">
        <v>0.0031712</v>
      </c>
      <c r="EE6" s="25">
        <v>0.0035751</v>
      </c>
      <c r="EF6" s="31" t="s">
        <v>170</v>
      </c>
      <c r="EG6" s="44"/>
    </row>
    <row r="7" spans="1:137" ht="12.75">
      <c r="A7" s="22"/>
      <c r="B7" s="8"/>
      <c r="C7" s="42"/>
      <c r="D7" s="14"/>
      <c r="E7" s="41"/>
      <c r="F7" s="31" t="s">
        <v>171</v>
      </c>
      <c r="H7" s="23"/>
      <c r="I7" s="24">
        <f>N7+S7+X7+AC7+AH7+AM7+AR7+AW7+BB7+BG7+BL7+BQ7+BV7+CA7+CF7+CK7+CP7+CU7+CZ7+DE7+DJ7+DO7+DT7+DY7+ED7</f>
        <v>0.31598659999999995</v>
      </c>
      <c r="J7" s="24"/>
      <c r="K7" s="31" t="s">
        <v>171</v>
      </c>
      <c r="M7" s="45"/>
      <c r="N7" s="24">
        <v>0.0029131</v>
      </c>
      <c r="O7" s="25"/>
      <c r="P7" s="31" t="s">
        <v>171</v>
      </c>
      <c r="R7" s="45"/>
      <c r="S7" s="24">
        <v>0.000263</v>
      </c>
      <c r="T7" s="25"/>
      <c r="U7" s="31" t="s">
        <v>171</v>
      </c>
      <c r="W7" s="45"/>
      <c r="X7" s="24">
        <v>0.0006548</v>
      </c>
      <c r="Y7" s="25"/>
      <c r="Z7" s="31" t="s">
        <v>171</v>
      </c>
      <c r="AB7" s="45"/>
      <c r="AC7" s="24">
        <v>0.0223492</v>
      </c>
      <c r="AD7" s="25"/>
      <c r="AE7" s="31" t="s">
        <v>171</v>
      </c>
      <c r="AG7" s="45"/>
      <c r="AH7" s="8">
        <v>0.0050863</v>
      </c>
      <c r="AI7" s="25"/>
      <c r="AJ7" s="31" t="s">
        <v>171</v>
      </c>
      <c r="AL7" s="45"/>
      <c r="AM7" s="24">
        <v>0.0018547</v>
      </c>
      <c r="AN7" s="25"/>
      <c r="AO7" s="31" t="s">
        <v>171</v>
      </c>
      <c r="AQ7" s="45"/>
      <c r="AR7" s="24">
        <v>0.0056264</v>
      </c>
      <c r="AS7" s="25"/>
      <c r="AT7" s="31" t="s">
        <v>171</v>
      </c>
      <c r="AV7" s="45"/>
      <c r="AW7" s="24">
        <v>0.0344314</v>
      </c>
      <c r="AX7" s="25"/>
      <c r="AY7" s="31" t="s">
        <v>171</v>
      </c>
      <c r="BA7" s="45"/>
      <c r="BB7" s="24">
        <v>0.001877</v>
      </c>
      <c r="BC7" s="25"/>
      <c r="BD7" s="31" t="s">
        <v>171</v>
      </c>
      <c r="BF7" s="45"/>
      <c r="BG7" s="24">
        <v>0.0025724</v>
      </c>
      <c r="BH7" s="25"/>
      <c r="BI7" s="31" t="s">
        <v>171</v>
      </c>
      <c r="BK7" s="45"/>
      <c r="BL7" s="24">
        <v>0.0238264</v>
      </c>
      <c r="BM7" s="25"/>
      <c r="BN7" s="31" t="s">
        <v>171</v>
      </c>
      <c r="BP7" s="45"/>
      <c r="BQ7" s="24">
        <v>0.00017</v>
      </c>
      <c r="BR7" s="25"/>
      <c r="BS7" s="31" t="s">
        <v>171</v>
      </c>
      <c r="BU7" s="45"/>
      <c r="BV7" s="24">
        <v>5.78E-05</v>
      </c>
      <c r="BW7" s="25"/>
      <c r="BX7" s="31" t="s">
        <v>171</v>
      </c>
      <c r="BZ7" s="45"/>
      <c r="CA7" s="24">
        <v>0.0032184</v>
      </c>
      <c r="CB7" s="25"/>
      <c r="CC7" s="31" t="s">
        <v>171</v>
      </c>
      <c r="CE7" s="45"/>
      <c r="CF7" s="24">
        <v>0.0093677</v>
      </c>
      <c r="CG7" s="25"/>
      <c r="CH7" s="31" t="s">
        <v>171</v>
      </c>
      <c r="CJ7" s="45"/>
      <c r="CK7" s="24">
        <v>0.0004755</v>
      </c>
      <c r="CL7" s="25"/>
      <c r="CM7" s="31" t="s">
        <v>171</v>
      </c>
      <c r="CO7" s="45"/>
      <c r="CP7" s="24">
        <v>0.0062811</v>
      </c>
      <c r="CQ7" s="25"/>
      <c r="CR7" s="31" t="s">
        <v>171</v>
      </c>
      <c r="CT7" s="45"/>
      <c r="CU7" s="24">
        <v>0.1348883</v>
      </c>
      <c r="CV7" s="25"/>
      <c r="CW7" s="31" t="s">
        <v>171</v>
      </c>
      <c r="CY7" s="45"/>
      <c r="CZ7" s="24">
        <v>0.0026269</v>
      </c>
      <c r="DA7" s="25"/>
      <c r="DB7" s="31" t="s">
        <v>171</v>
      </c>
      <c r="DD7" s="45"/>
      <c r="DE7" s="24">
        <v>0.0030078</v>
      </c>
      <c r="DF7" s="25"/>
      <c r="DG7" s="31" t="s">
        <v>171</v>
      </c>
      <c r="DI7" s="45"/>
      <c r="DJ7" s="24">
        <v>0.0007174</v>
      </c>
      <c r="DK7" s="25"/>
      <c r="DL7" s="31" t="s">
        <v>171</v>
      </c>
      <c r="DN7" s="45"/>
      <c r="DO7" s="24">
        <v>0.0103774</v>
      </c>
      <c r="DP7" s="25"/>
      <c r="DQ7" s="31" t="s">
        <v>171</v>
      </c>
      <c r="DS7" s="45"/>
      <c r="DT7" s="24">
        <v>0.0390292</v>
      </c>
      <c r="DU7" s="25"/>
      <c r="DV7" s="31" t="s">
        <v>171</v>
      </c>
      <c r="DX7" s="45"/>
      <c r="DY7" s="24">
        <v>0.0002725</v>
      </c>
      <c r="DZ7" s="25"/>
      <c r="EA7" s="31" t="s">
        <v>171</v>
      </c>
      <c r="EB7" s="43"/>
      <c r="EC7" s="45"/>
      <c r="ED7" s="24">
        <v>0.0040419</v>
      </c>
      <c r="EE7" s="25"/>
      <c r="EF7" s="31" t="s">
        <v>171</v>
      </c>
      <c r="EG7" s="44"/>
    </row>
    <row r="8" spans="1:137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1" t="s">
        <v>9</v>
      </c>
      <c r="S8" s="31" t="s">
        <v>10</v>
      </c>
      <c r="T8" s="31" t="s">
        <v>11</v>
      </c>
      <c r="U8" s="89"/>
      <c r="W8" s="31" t="s">
        <v>9</v>
      </c>
      <c r="X8" s="31" t="s">
        <v>10</v>
      </c>
      <c r="Y8" s="31" t="s">
        <v>11</v>
      </c>
      <c r="Z8" s="89"/>
      <c r="AB8" s="31" t="s">
        <v>9</v>
      </c>
      <c r="AC8" s="31" t="s">
        <v>10</v>
      </c>
      <c r="AD8" s="31" t="s">
        <v>11</v>
      </c>
      <c r="AE8" s="89"/>
      <c r="AG8" s="31" t="s">
        <v>9</v>
      </c>
      <c r="AH8" s="31" t="s">
        <v>10</v>
      </c>
      <c r="AI8" s="31" t="s">
        <v>11</v>
      </c>
      <c r="AJ8" s="89"/>
      <c r="AL8" s="31" t="s">
        <v>9</v>
      </c>
      <c r="AM8" s="31" t="s">
        <v>10</v>
      </c>
      <c r="AN8" s="31" t="s">
        <v>11</v>
      </c>
      <c r="AO8" s="89"/>
      <c r="AQ8" s="31" t="s">
        <v>9</v>
      </c>
      <c r="AR8" s="31" t="s">
        <v>10</v>
      </c>
      <c r="AS8" s="31" t="s">
        <v>11</v>
      </c>
      <c r="AT8" s="89"/>
      <c r="AV8" s="31" t="s">
        <v>9</v>
      </c>
      <c r="AW8" s="31" t="s">
        <v>10</v>
      </c>
      <c r="AX8" s="31" t="s">
        <v>11</v>
      </c>
      <c r="AY8" s="89"/>
      <c r="BA8" s="31" t="s">
        <v>9</v>
      </c>
      <c r="BB8" s="31" t="s">
        <v>10</v>
      </c>
      <c r="BC8" s="31" t="s">
        <v>11</v>
      </c>
      <c r="BD8" s="89"/>
      <c r="BF8" s="31" t="s">
        <v>9</v>
      </c>
      <c r="BG8" s="31" t="s">
        <v>10</v>
      </c>
      <c r="BH8" s="31" t="s">
        <v>11</v>
      </c>
      <c r="BI8" s="89"/>
      <c r="BK8" s="31" t="s">
        <v>9</v>
      </c>
      <c r="BL8" s="31" t="s">
        <v>10</v>
      </c>
      <c r="BM8" s="31" t="s">
        <v>11</v>
      </c>
      <c r="BN8" s="89"/>
      <c r="BP8" s="31" t="s">
        <v>9</v>
      </c>
      <c r="BQ8" s="31" t="s">
        <v>10</v>
      </c>
      <c r="BR8" s="31" t="s">
        <v>11</v>
      </c>
      <c r="BS8" s="89"/>
      <c r="BU8" s="31" t="s">
        <v>9</v>
      </c>
      <c r="BV8" s="31" t="s">
        <v>10</v>
      </c>
      <c r="BW8" s="31" t="s">
        <v>11</v>
      </c>
      <c r="BX8" s="89"/>
      <c r="BZ8" s="31" t="s">
        <v>9</v>
      </c>
      <c r="CA8" s="31" t="s">
        <v>10</v>
      </c>
      <c r="CB8" s="31" t="s">
        <v>11</v>
      </c>
      <c r="CC8" s="89"/>
      <c r="CE8" s="31" t="s">
        <v>9</v>
      </c>
      <c r="CF8" s="31" t="s">
        <v>10</v>
      </c>
      <c r="CG8" s="31" t="s">
        <v>11</v>
      </c>
      <c r="CH8" s="89"/>
      <c r="CJ8" s="31" t="s">
        <v>9</v>
      </c>
      <c r="CK8" s="31" t="s">
        <v>10</v>
      </c>
      <c r="CL8" s="31" t="s">
        <v>11</v>
      </c>
      <c r="CM8" s="89"/>
      <c r="CO8" s="31" t="s">
        <v>9</v>
      </c>
      <c r="CP8" s="31" t="s">
        <v>10</v>
      </c>
      <c r="CQ8" s="31" t="s">
        <v>11</v>
      </c>
      <c r="CR8" s="89"/>
      <c r="CT8" s="31" t="s">
        <v>9</v>
      </c>
      <c r="CU8" s="31" t="s">
        <v>10</v>
      </c>
      <c r="CV8" s="31" t="s">
        <v>11</v>
      </c>
      <c r="CW8" s="89"/>
      <c r="CY8" s="31" t="s">
        <v>9</v>
      </c>
      <c r="CZ8" s="31" t="s">
        <v>10</v>
      </c>
      <c r="DA8" s="31" t="s">
        <v>11</v>
      </c>
      <c r="DB8" s="89"/>
      <c r="DD8" s="31" t="s">
        <v>9</v>
      </c>
      <c r="DE8" s="31" t="s">
        <v>10</v>
      </c>
      <c r="DF8" s="31" t="s">
        <v>11</v>
      </c>
      <c r="DG8" s="89"/>
      <c r="DI8" s="31" t="s">
        <v>9</v>
      </c>
      <c r="DJ8" s="31" t="s">
        <v>10</v>
      </c>
      <c r="DK8" s="31" t="s">
        <v>11</v>
      </c>
      <c r="DL8" s="89"/>
      <c r="DN8" s="31" t="s">
        <v>9</v>
      </c>
      <c r="DO8" s="31" t="s">
        <v>10</v>
      </c>
      <c r="DP8" s="31" t="s">
        <v>11</v>
      </c>
      <c r="DQ8" s="89"/>
      <c r="DS8" s="31" t="s">
        <v>9</v>
      </c>
      <c r="DT8" s="31" t="s">
        <v>10</v>
      </c>
      <c r="DU8" s="31" t="s">
        <v>11</v>
      </c>
      <c r="DV8" s="89"/>
      <c r="DX8" s="31" t="s">
        <v>9</v>
      </c>
      <c r="DY8" s="31" t="s">
        <v>10</v>
      </c>
      <c r="DZ8" s="31" t="s">
        <v>11</v>
      </c>
      <c r="EA8" s="89"/>
      <c r="EB8" s="46"/>
      <c r="EC8" s="31" t="s">
        <v>9</v>
      </c>
      <c r="ED8" s="31" t="s">
        <v>10</v>
      </c>
      <c r="EE8" s="31" t="s">
        <v>11</v>
      </c>
      <c r="EF8" s="89"/>
      <c r="EG8" s="73"/>
    </row>
    <row r="9" spans="1:136" ht="12.75">
      <c r="A9" s="37">
        <v>43374</v>
      </c>
      <c r="B9" s="38"/>
      <c r="D9" s="3">
        <v>2601125</v>
      </c>
      <c r="E9" s="35">
        <f aca="true" t="shared" si="0" ref="E9:E40">C9+D9</f>
        <v>2601125</v>
      </c>
      <c r="F9" s="35"/>
      <c r="H9" s="47"/>
      <c r="I9" s="36">
        <f aca="true" t="shared" si="1" ref="I9:I40">N9+S9+X9+AC9+AH9+AM9+AR9+AW9+BB9+BG9+BL9+BQ9+BV9+CA9+CF9+CK9+CP9+CU9+CZ9+DE9+DJ9+DO9+DT9+DY9+ED9</f>
        <v>821920.6449249998</v>
      </c>
      <c r="J9" s="36">
        <f aca="true" t="shared" si="2" ref="J9:J40">H9+I9</f>
        <v>821920.6449249998</v>
      </c>
      <c r="K9" s="36">
        <f aca="true" t="shared" si="3" ref="K9:K40">P9+U9+Z9+AE9+AJ9+AO9+AT9+AY9+BD9+BI9+BN9+BS9+BX9+CC9+CH9+CM9+CR9+CW9+DB9+DG9+DL9+DQ9+DV9+EA9+EF9</f>
        <v>103035.01460840002</v>
      </c>
      <c r="N9" s="5">
        <f aca="true" t="shared" si="4" ref="N9:N40">D9*$N$7</f>
        <v>7577.3372375</v>
      </c>
      <c r="O9" s="5">
        <f aca="true" t="shared" si="5" ref="O9:O40">M9+N9</f>
        <v>7577.3372375</v>
      </c>
      <c r="P9" s="36">
        <f>N$7*'2014A'!$F9</f>
        <v>949.8861694</v>
      </c>
      <c r="S9" s="5">
        <f aca="true" t="shared" si="6" ref="S9:S40">D9*$S$7</f>
        <v>684.095875</v>
      </c>
      <c r="T9" s="5">
        <f aca="true" t="shared" si="7" ref="T9:T40">R9+S9</f>
        <v>684.095875</v>
      </c>
      <c r="U9" s="36">
        <f>S$7*'2014A'!$F9</f>
        <v>85.757462</v>
      </c>
      <c r="X9" s="5">
        <f aca="true" t="shared" si="8" ref="X9:X40">D9*$X$7</f>
        <v>1703.2166499999998</v>
      </c>
      <c r="Y9" s="5">
        <f aca="true" t="shared" si="9" ref="Y9:Y40">W9+X9</f>
        <v>1703.2166499999998</v>
      </c>
      <c r="Z9" s="36">
        <f>X$7*'2014A'!$F9</f>
        <v>213.5132552</v>
      </c>
      <c r="AC9" s="5">
        <f aca="true" t="shared" si="10" ref="AC9:AC40">D9*$AC$7</f>
        <v>58133.06285</v>
      </c>
      <c r="AD9" s="5">
        <f aca="true" t="shared" si="11" ref="AD9:AD40">AB9+AC9</f>
        <v>58133.06285</v>
      </c>
      <c r="AE9" s="36">
        <f>AC$7*'2014A'!$F9</f>
        <v>7287.4930408</v>
      </c>
      <c r="AH9" s="5">
        <f aca="true" t="shared" si="12" ref="AH9:AH40">D9*$AH$7</f>
        <v>13230.102087500001</v>
      </c>
      <c r="AI9" s="5">
        <f aca="true" t="shared" si="13" ref="AI9:AI40">AG9+AH9</f>
        <v>13230.102087500001</v>
      </c>
      <c r="AJ9" s="36">
        <f>AH$7*'2014A'!$F9</f>
        <v>1658.5101862000001</v>
      </c>
      <c r="AM9" s="5">
        <f aca="true" t="shared" si="14" ref="AM9:AM40">D9*$AM$7</f>
        <v>4824.3065375</v>
      </c>
      <c r="AN9" s="5">
        <f aca="true" t="shared" si="15" ref="AN9:AN40">AL9+AM9</f>
        <v>4824.3065375</v>
      </c>
      <c r="AO9" s="36">
        <f>AM$7*'2014A'!$F9</f>
        <v>604.7694478</v>
      </c>
      <c r="AR9" s="5">
        <f aca="true" t="shared" si="16" ref="AR9:AR40">D9*$AR$7</f>
        <v>14634.9697</v>
      </c>
      <c r="AS9" s="5">
        <f aca="true" t="shared" si="17" ref="AS9:AS40">AQ9+AR9</f>
        <v>14634.9697</v>
      </c>
      <c r="AT9" s="36">
        <f>AR$7*'2014A'!$F9</f>
        <v>1834.6227536000001</v>
      </c>
      <c r="AW9" s="5">
        <f aca="true" t="shared" si="18" ref="AW9:AW40">D9*$AW$7</f>
        <v>89560.375325</v>
      </c>
      <c r="AX9" s="5">
        <f aca="true" t="shared" si="19" ref="AX9:AX40">AV9+AW9</f>
        <v>89560.375325</v>
      </c>
      <c r="AY9" s="36">
        <f>AW$7*'2014A'!$F9</f>
        <v>11227.1843236</v>
      </c>
      <c r="BB9" s="5">
        <f aca="true" t="shared" si="20" ref="BB9:BB40">D9*$BB$7</f>
        <v>4882.311625</v>
      </c>
      <c r="BC9" s="5">
        <f aca="true" t="shared" si="21" ref="BC9:BC40">BA9+BB9</f>
        <v>4882.311625</v>
      </c>
      <c r="BD9" s="36">
        <f>BB$7*'2014A'!$F9</f>
        <v>612.040898</v>
      </c>
      <c r="BG9" s="5">
        <f aca="true" t="shared" si="22" ref="BG9:BG40">D9*$BG$7</f>
        <v>6691.1339499999995</v>
      </c>
      <c r="BH9" s="5">
        <f aca="true" t="shared" si="23" ref="BH9:BH40">BF9+BG9</f>
        <v>6691.1339499999995</v>
      </c>
      <c r="BI9" s="36">
        <f>BG$7*'2014A'!$F9</f>
        <v>838.7927576</v>
      </c>
      <c r="BL9" s="5">
        <f aca="true" t="shared" si="24" ref="BL9:BL40">D9*$BL$7</f>
        <v>61975.4447</v>
      </c>
      <c r="BM9" s="5">
        <f aca="true" t="shared" si="25" ref="BM9:BM40">BK9+BL9</f>
        <v>61975.4447</v>
      </c>
      <c r="BN9" s="36">
        <f>BL$7*'2014A'!$F9</f>
        <v>7769.169553600001</v>
      </c>
      <c r="BQ9" s="5">
        <f aca="true" t="shared" si="26" ref="BQ9:BQ40">D9*$BQ$7</f>
        <v>442.19125</v>
      </c>
      <c r="BR9" s="5">
        <f aca="true" t="shared" si="27" ref="BR9:BR40">BP9+BQ9</f>
        <v>442.19125</v>
      </c>
      <c r="BS9" s="36">
        <f>BQ$7*'2014A'!$F9</f>
        <v>55.43258</v>
      </c>
      <c r="BV9" s="5">
        <f aca="true" t="shared" si="28" ref="BV9:BV40">D9*$BV$7</f>
        <v>150.345025</v>
      </c>
      <c r="BW9" s="5">
        <f aca="true" t="shared" si="29" ref="BW9:BW40">BU9+BV9</f>
        <v>150.345025</v>
      </c>
      <c r="BX9" s="36">
        <f>BV$7*'2014A'!$F9</f>
        <v>18.8470772</v>
      </c>
      <c r="CA9" s="5">
        <f aca="true" t="shared" si="30" ref="CA9:CA40">D9*$CA$7</f>
        <v>8371.4607</v>
      </c>
      <c r="CB9" s="5">
        <f aca="true" t="shared" si="31" ref="CB9:CB40">BZ9+CA9</f>
        <v>8371.4607</v>
      </c>
      <c r="CC9" s="36">
        <f>CA$7*'2014A'!$F9</f>
        <v>1049.4365616</v>
      </c>
      <c r="CF9" s="5">
        <f aca="true" t="shared" si="32" ref="CF9:CF40">D9*$CF$7</f>
        <v>24366.5586625</v>
      </c>
      <c r="CG9" s="5">
        <f aca="true" t="shared" si="33" ref="CG9:CG40">CE9+CF9</f>
        <v>24366.5586625</v>
      </c>
      <c r="CH9" s="36">
        <f>CF$7*'2014A'!$F9</f>
        <v>3054.5634098</v>
      </c>
      <c r="CK9" s="5">
        <f aca="true" t="shared" si="34" ref="CK9:CK40">D9*$CK$7</f>
        <v>1236.8349375</v>
      </c>
      <c r="CL9" s="5">
        <f aca="true" t="shared" si="35" ref="CL9:CL40">CJ9+CK9</f>
        <v>1236.8349375</v>
      </c>
      <c r="CM9" s="36">
        <f>CK$7*'2014A'!$F9</f>
        <v>155.048187</v>
      </c>
      <c r="CP9" s="5">
        <f aca="true" t="shared" si="36" ref="CP9:CP40">D9*$CP$7</f>
        <v>16337.926237500002</v>
      </c>
      <c r="CQ9" s="5">
        <f aca="true" t="shared" si="37" ref="CQ9:CQ40">CO9+CP9</f>
        <v>16337.926237500002</v>
      </c>
      <c r="CR9" s="36">
        <f>CP$7*'2014A'!$F9</f>
        <v>2048.1034014</v>
      </c>
      <c r="CU9" s="5">
        <f aca="true" t="shared" si="38" ref="CU9:CU40">D9*$CU$7</f>
        <v>350861.3293375</v>
      </c>
      <c r="CV9" s="5">
        <f aca="true" t="shared" si="39" ref="CV9:CV40">CT9+CU9</f>
        <v>350861.3293375</v>
      </c>
      <c r="CW9" s="36">
        <f>CU$7*'2014A'!$F9</f>
        <v>43983.567534199996</v>
      </c>
      <c r="CZ9" s="5">
        <f aca="true" t="shared" si="40" ref="CZ9:CZ40">D9*$CZ$7</f>
        <v>6832.8952625</v>
      </c>
      <c r="DA9" s="36">
        <f aca="true" t="shared" si="41" ref="DA9:DA40">CY9+CZ9</f>
        <v>6832.8952625</v>
      </c>
      <c r="DB9" s="36">
        <f>CZ$7*'2014A'!$F9</f>
        <v>856.5637906000001</v>
      </c>
      <c r="DE9" s="5">
        <f aca="true" t="shared" si="42" ref="DE9:DE40">D9*$DE$7</f>
        <v>7823.663775</v>
      </c>
      <c r="DF9" s="36">
        <f aca="true" t="shared" si="43" ref="DF9:DF40">DD9+DE9</f>
        <v>7823.663775</v>
      </c>
      <c r="DG9" s="36">
        <f>DE$7*'2014A'!$F9</f>
        <v>980.7653772000001</v>
      </c>
      <c r="DJ9" s="5">
        <f aca="true" t="shared" si="44" ref="DJ9:DJ40">D9*$DJ$7</f>
        <v>1866.047075</v>
      </c>
      <c r="DK9" s="36">
        <f aca="true" t="shared" si="45" ref="DK9:DK40">DI9+DJ9</f>
        <v>1866.047075</v>
      </c>
      <c r="DL9" s="36">
        <f>DJ$7*'2014A'!$F9</f>
        <v>233.9254876</v>
      </c>
      <c r="DO9" s="5">
        <f aca="true" t="shared" si="46" ref="DO9:DO40">D9*$DO$7</f>
        <v>26992.914575</v>
      </c>
      <c r="DP9" s="5">
        <f aca="true" t="shared" si="47" ref="DP9:DP40">DN9+DO9</f>
        <v>26992.914575</v>
      </c>
      <c r="DQ9" s="36">
        <f>DO$7*'2014A'!$F9</f>
        <v>3383.8003276</v>
      </c>
      <c r="DT9" s="5">
        <f aca="true" t="shared" si="48" ref="DT9:DT40">D9*$DT$7</f>
        <v>101519.82785</v>
      </c>
      <c r="DU9" s="5">
        <f aca="true" t="shared" si="49" ref="DU9:DU40">DS9+DT9</f>
        <v>101519.82785</v>
      </c>
      <c r="DV9" s="36">
        <f>DT$7*'2014A'!$F9</f>
        <v>12726.4073608</v>
      </c>
      <c r="DY9" s="5">
        <f aca="true" t="shared" si="50" ref="DY9:DY40">D9*$DY$7</f>
        <v>708.8065625</v>
      </c>
      <c r="DZ9" s="5">
        <f aca="true" t="shared" si="51" ref="DZ9:DZ40">DX9+DY9</f>
        <v>708.8065625</v>
      </c>
      <c r="EA9" s="36">
        <f>DY$7*'2014A'!$F9</f>
        <v>88.855165</v>
      </c>
      <c r="ED9" s="36">
        <f aca="true" t="shared" si="52" ref="ED9:ED40">D9*$ED$7</f>
        <v>10513.4871375</v>
      </c>
      <c r="EE9" s="36">
        <f aca="true" t="shared" si="53" ref="EE9:EE40">EC9+ED9</f>
        <v>10513.4871375</v>
      </c>
      <c r="EF9" s="36">
        <f>ED$7*'2014A'!$F9</f>
        <v>1317.9585006</v>
      </c>
    </row>
    <row r="10" spans="1:136" ht="12.75">
      <c r="A10" s="37">
        <v>43556</v>
      </c>
      <c r="C10" s="3">
        <v>5290000</v>
      </c>
      <c r="D10" s="3">
        <v>2601125</v>
      </c>
      <c r="E10" s="35">
        <f t="shared" si="0"/>
        <v>7891125</v>
      </c>
      <c r="F10" s="35"/>
      <c r="H10" s="47">
        <f aca="true" t="shared" si="54" ref="H10:H40">M10+R10+W10+AB10+AG10+AL10+AQ10+AV10+BA10+BF10+BK10+BP10+BU10+BZ10+CE10+CJ10+CO10+CT10+CY10+DD10+DI10+DN10+DS10+DX10+EC10</f>
        <v>1671569.114</v>
      </c>
      <c r="I10" s="36">
        <f t="shared" si="1"/>
        <v>821920.6449249998</v>
      </c>
      <c r="J10" s="36">
        <f t="shared" si="2"/>
        <v>2493489.7589249997</v>
      </c>
      <c r="K10" s="36">
        <f t="shared" si="3"/>
        <v>103035.01460840002</v>
      </c>
      <c r="M10" s="5">
        <f aca="true" t="shared" si="55" ref="M10:M40">C10*$N$7</f>
        <v>15410.299</v>
      </c>
      <c r="N10" s="5">
        <f t="shared" si="4"/>
        <v>7577.3372375</v>
      </c>
      <c r="O10" s="5">
        <f t="shared" si="5"/>
        <v>22987.636237500003</v>
      </c>
      <c r="P10" s="36">
        <f>N$7*'2014A'!$F10</f>
        <v>949.8861694</v>
      </c>
      <c r="R10" s="5">
        <f aca="true" t="shared" si="56" ref="R10:R40">C10*$S$7</f>
        <v>1391.27</v>
      </c>
      <c r="S10" s="5">
        <f t="shared" si="6"/>
        <v>684.095875</v>
      </c>
      <c r="T10" s="5">
        <f t="shared" si="7"/>
        <v>2075.365875</v>
      </c>
      <c r="U10" s="36">
        <f>S$7*'2014A'!$F10</f>
        <v>85.757462</v>
      </c>
      <c r="W10" s="5">
        <f aca="true" t="shared" si="57" ref="W10:W40">C10*$X$7</f>
        <v>3463.892</v>
      </c>
      <c r="X10" s="5">
        <f t="shared" si="8"/>
        <v>1703.2166499999998</v>
      </c>
      <c r="Y10" s="5">
        <f t="shared" si="9"/>
        <v>5167.10865</v>
      </c>
      <c r="Z10" s="36">
        <f>X$7*'2014A'!$F10</f>
        <v>213.5132552</v>
      </c>
      <c r="AB10" s="5">
        <f aca="true" t="shared" si="58" ref="AB10:AB40">C10*$AC$7</f>
        <v>118227.268</v>
      </c>
      <c r="AC10" s="5">
        <f t="shared" si="10"/>
        <v>58133.06285</v>
      </c>
      <c r="AD10" s="5">
        <f t="shared" si="11"/>
        <v>176360.33085</v>
      </c>
      <c r="AE10" s="36">
        <f>AC$7*'2014A'!$F10</f>
        <v>7287.4930408</v>
      </c>
      <c r="AG10" s="5">
        <f aca="true" t="shared" si="59" ref="AG10:AG40">C10*$AH$7</f>
        <v>26906.527000000002</v>
      </c>
      <c r="AH10" s="5">
        <f t="shared" si="12"/>
        <v>13230.102087500001</v>
      </c>
      <c r="AI10" s="5">
        <f t="shared" si="13"/>
        <v>40136.629087500005</v>
      </c>
      <c r="AJ10" s="36">
        <f>AH$7*'2014A'!$F10</f>
        <v>1658.5101862000001</v>
      </c>
      <c r="AL10" s="5">
        <f aca="true" t="shared" si="60" ref="AL10:AL40">C10*$AM$7</f>
        <v>9811.363</v>
      </c>
      <c r="AM10" s="5">
        <f t="shared" si="14"/>
        <v>4824.3065375</v>
      </c>
      <c r="AN10" s="5">
        <f t="shared" si="15"/>
        <v>14635.669537499998</v>
      </c>
      <c r="AO10" s="36">
        <f>AM$7*'2014A'!$F10</f>
        <v>604.7694478</v>
      </c>
      <c r="AQ10" s="5">
        <f aca="true" t="shared" si="61" ref="AQ10:AQ40">C10*$AR$7</f>
        <v>29763.656</v>
      </c>
      <c r="AR10" s="5">
        <f t="shared" si="16"/>
        <v>14634.9697</v>
      </c>
      <c r="AS10" s="5">
        <f t="shared" si="17"/>
        <v>44398.6257</v>
      </c>
      <c r="AT10" s="36">
        <f>AR$7*'2014A'!$F10</f>
        <v>1834.6227536000001</v>
      </c>
      <c r="AV10" s="5">
        <f aca="true" t="shared" si="62" ref="AV10:AV40">C10*$AW$7</f>
        <v>182142.106</v>
      </c>
      <c r="AW10" s="5">
        <f t="shared" si="18"/>
        <v>89560.375325</v>
      </c>
      <c r="AX10" s="5">
        <f t="shared" si="19"/>
        <v>271702.481325</v>
      </c>
      <c r="AY10" s="36">
        <f>AW$7*'2014A'!$F10</f>
        <v>11227.1843236</v>
      </c>
      <c r="BA10" s="5">
        <f aca="true" t="shared" si="63" ref="BA10:BA40">C10*$BB$7</f>
        <v>9929.33</v>
      </c>
      <c r="BB10" s="5">
        <f t="shared" si="20"/>
        <v>4882.311625</v>
      </c>
      <c r="BC10" s="5">
        <f t="shared" si="21"/>
        <v>14811.641625</v>
      </c>
      <c r="BD10" s="36">
        <f>BB$7*'2014A'!$F10</f>
        <v>612.040898</v>
      </c>
      <c r="BF10" s="5">
        <f aca="true" t="shared" si="64" ref="BF10:BF40">C10*$BG$7</f>
        <v>13607.996</v>
      </c>
      <c r="BG10" s="5">
        <f t="shared" si="22"/>
        <v>6691.1339499999995</v>
      </c>
      <c r="BH10" s="5">
        <f t="shared" si="23"/>
        <v>20299.12995</v>
      </c>
      <c r="BI10" s="36">
        <f>BG$7*'2014A'!$F10</f>
        <v>838.7927576</v>
      </c>
      <c r="BK10" s="5">
        <f aca="true" t="shared" si="65" ref="BK10:BK40">C10*$BL$7</f>
        <v>126041.656</v>
      </c>
      <c r="BL10" s="5">
        <f t="shared" si="24"/>
        <v>61975.4447</v>
      </c>
      <c r="BM10" s="5">
        <f t="shared" si="25"/>
        <v>188017.1007</v>
      </c>
      <c r="BN10" s="36">
        <f>BL$7*'2014A'!$F10</f>
        <v>7769.169553600001</v>
      </c>
      <c r="BP10" s="5">
        <f aca="true" t="shared" si="66" ref="BP10:BP40">C10*$BQ$7</f>
        <v>899.3000000000001</v>
      </c>
      <c r="BQ10" s="5">
        <f t="shared" si="26"/>
        <v>442.19125</v>
      </c>
      <c r="BR10" s="5">
        <f t="shared" si="27"/>
        <v>1341.49125</v>
      </c>
      <c r="BS10" s="36">
        <f>BQ$7*'2014A'!$F10</f>
        <v>55.43258</v>
      </c>
      <c r="BU10" s="5">
        <f aca="true" t="shared" si="67" ref="BU10:BU40">C10*$BV$7</f>
        <v>305.762</v>
      </c>
      <c r="BV10" s="5">
        <f t="shared" si="28"/>
        <v>150.345025</v>
      </c>
      <c r="BW10" s="5">
        <f t="shared" si="29"/>
        <v>456.107025</v>
      </c>
      <c r="BX10" s="36">
        <f>BV$7*'2014A'!$F10</f>
        <v>18.8470772</v>
      </c>
      <c r="BZ10" s="5">
        <f aca="true" t="shared" si="68" ref="BZ10:BZ40">C10*$CA$7</f>
        <v>17025.336</v>
      </c>
      <c r="CA10" s="5">
        <f t="shared" si="30"/>
        <v>8371.4607</v>
      </c>
      <c r="CB10" s="5">
        <f t="shared" si="31"/>
        <v>25396.7967</v>
      </c>
      <c r="CC10" s="36">
        <f>CA$7*'2014A'!$F10</f>
        <v>1049.4365616</v>
      </c>
      <c r="CE10" s="5">
        <f aca="true" t="shared" si="69" ref="CE10:CE40">C10*$CF$7</f>
        <v>49555.133</v>
      </c>
      <c r="CF10" s="5">
        <f t="shared" si="32"/>
        <v>24366.5586625</v>
      </c>
      <c r="CG10" s="5">
        <f t="shared" si="33"/>
        <v>73921.6916625</v>
      </c>
      <c r="CH10" s="36">
        <f>CF$7*'2014A'!$F10</f>
        <v>3054.5634098</v>
      </c>
      <c r="CJ10" s="5">
        <f aca="true" t="shared" si="70" ref="CJ10:CJ40">C10*$CK$7</f>
        <v>2515.395</v>
      </c>
      <c r="CK10" s="5">
        <f t="shared" si="34"/>
        <v>1236.8349375</v>
      </c>
      <c r="CL10" s="5">
        <f t="shared" si="35"/>
        <v>3752.2299375000002</v>
      </c>
      <c r="CM10" s="36">
        <f>CK$7*'2014A'!$F10</f>
        <v>155.048187</v>
      </c>
      <c r="CO10" s="5">
        <f aca="true" t="shared" si="71" ref="CO10:CO40">C10*$CP$7</f>
        <v>33227.019</v>
      </c>
      <c r="CP10" s="5">
        <f t="shared" si="36"/>
        <v>16337.926237500002</v>
      </c>
      <c r="CQ10" s="5">
        <f t="shared" si="37"/>
        <v>49564.945237500004</v>
      </c>
      <c r="CR10" s="36">
        <f>CP$7*'2014A'!$F10</f>
        <v>2048.1034014</v>
      </c>
      <c r="CT10" s="5">
        <f aca="true" t="shared" si="72" ref="CT10:CT40">C10*$CU$7</f>
        <v>713559.107</v>
      </c>
      <c r="CU10" s="5">
        <f t="shared" si="38"/>
        <v>350861.3293375</v>
      </c>
      <c r="CV10" s="5">
        <f t="shared" si="39"/>
        <v>1064420.4363374999</v>
      </c>
      <c r="CW10" s="36">
        <f>CU$7*'2014A'!$F10</f>
        <v>43983.567534199996</v>
      </c>
      <c r="CY10" s="5">
        <f aca="true" t="shared" si="73" ref="CY10:CY40">C10*$CZ$7</f>
        <v>13896.301000000001</v>
      </c>
      <c r="CZ10" s="5">
        <f t="shared" si="40"/>
        <v>6832.8952625</v>
      </c>
      <c r="DA10" s="36">
        <f t="shared" si="41"/>
        <v>20729.1962625</v>
      </c>
      <c r="DB10" s="36">
        <f>CZ$7*'2014A'!$F10</f>
        <v>856.5637906000001</v>
      </c>
      <c r="DD10" s="5">
        <f aca="true" t="shared" si="74" ref="DD10:DD40">C10*$DE$7</f>
        <v>15911.262</v>
      </c>
      <c r="DE10" s="5">
        <f t="shared" si="42"/>
        <v>7823.663775</v>
      </c>
      <c r="DF10" s="36">
        <f t="shared" si="43"/>
        <v>23734.925775</v>
      </c>
      <c r="DG10" s="36">
        <f>DE$7*'2014A'!$F10</f>
        <v>980.7653772000001</v>
      </c>
      <c r="DI10" s="5">
        <f aca="true" t="shared" si="75" ref="DI10:DI40">C10*$DJ$7</f>
        <v>3795.046</v>
      </c>
      <c r="DJ10" s="5">
        <f t="shared" si="44"/>
        <v>1866.047075</v>
      </c>
      <c r="DK10" s="36">
        <f t="shared" si="45"/>
        <v>5661.093075</v>
      </c>
      <c r="DL10" s="36">
        <f>DJ$7*'2014A'!$F10</f>
        <v>233.9254876</v>
      </c>
      <c r="DN10" s="5">
        <f aca="true" t="shared" si="76" ref="DN10:DN40">C10*$DO$7</f>
        <v>54896.446</v>
      </c>
      <c r="DO10" s="5">
        <f t="shared" si="46"/>
        <v>26992.914575</v>
      </c>
      <c r="DP10" s="5">
        <f t="shared" si="47"/>
        <v>81889.360575</v>
      </c>
      <c r="DQ10" s="36">
        <f>DO$7*'2014A'!$F10</f>
        <v>3383.8003276</v>
      </c>
      <c r="DS10" s="5">
        <f aca="true" t="shared" si="77" ref="DS10:DS40">C10*$DT$7</f>
        <v>206464.468</v>
      </c>
      <c r="DT10" s="5">
        <f t="shared" si="48"/>
        <v>101519.82785</v>
      </c>
      <c r="DU10" s="5">
        <f t="shared" si="49"/>
        <v>307984.29585</v>
      </c>
      <c r="DV10" s="36">
        <f>DT$7*'2014A'!$F10</f>
        <v>12726.4073608</v>
      </c>
      <c r="DX10" s="5">
        <f aca="true" t="shared" si="78" ref="DX10:DX40">C10*$DY$7</f>
        <v>1441.525</v>
      </c>
      <c r="DY10" s="5">
        <f t="shared" si="50"/>
        <v>708.8065625</v>
      </c>
      <c r="DZ10" s="5">
        <f t="shared" si="51"/>
        <v>2150.3315625</v>
      </c>
      <c r="EA10" s="36">
        <f>DY$7*'2014A'!$F10</f>
        <v>88.855165</v>
      </c>
      <c r="EC10" s="5">
        <f aca="true" t="shared" si="79" ref="EC10:EC40">C10*$ED$7</f>
        <v>21381.651</v>
      </c>
      <c r="ED10" s="36">
        <f t="shared" si="52"/>
        <v>10513.4871375</v>
      </c>
      <c r="EE10" s="36">
        <f t="shared" si="53"/>
        <v>31895.138137500002</v>
      </c>
      <c r="EF10" s="36">
        <f>ED$7*'2014A'!$F10</f>
        <v>1317.9585006</v>
      </c>
    </row>
    <row r="11" spans="1:136" ht="12.75">
      <c r="A11" s="37">
        <v>43739</v>
      </c>
      <c r="D11" s="3">
        <v>2468875</v>
      </c>
      <c r="E11" s="35">
        <f t="shared" si="0"/>
        <v>2468875</v>
      </c>
      <c r="F11" s="35"/>
      <c r="H11" s="47"/>
      <c r="I11" s="36">
        <f t="shared" si="1"/>
        <v>780131.4170749999</v>
      </c>
      <c r="J11" s="36">
        <f t="shared" si="2"/>
        <v>780131.4170749999</v>
      </c>
      <c r="K11" s="36">
        <f t="shared" si="3"/>
        <v>103035.01460840002</v>
      </c>
      <c r="N11" s="5">
        <f t="shared" si="4"/>
        <v>7192.0797625000005</v>
      </c>
      <c r="O11" s="5">
        <f t="shared" si="5"/>
        <v>7192.0797625000005</v>
      </c>
      <c r="P11" s="36">
        <f>N$7*'2014A'!$F11</f>
        <v>949.8861694</v>
      </c>
      <c r="S11" s="5">
        <f t="shared" si="6"/>
        <v>649.314125</v>
      </c>
      <c r="T11" s="5">
        <f t="shared" si="7"/>
        <v>649.314125</v>
      </c>
      <c r="U11" s="36">
        <f>S$7*'2014A'!$F11</f>
        <v>85.757462</v>
      </c>
      <c r="X11" s="5">
        <f t="shared" si="8"/>
        <v>1616.61935</v>
      </c>
      <c r="Y11" s="5">
        <f t="shared" si="9"/>
        <v>1616.61935</v>
      </c>
      <c r="Z11" s="36">
        <f>X$7*'2014A'!$F11</f>
        <v>213.5132552</v>
      </c>
      <c r="AC11" s="5">
        <f t="shared" si="10"/>
        <v>55177.38115</v>
      </c>
      <c r="AD11" s="5">
        <f t="shared" si="11"/>
        <v>55177.38115</v>
      </c>
      <c r="AE11" s="36">
        <f>AC$7*'2014A'!$F11</f>
        <v>7287.4930408</v>
      </c>
      <c r="AH11" s="5">
        <f t="shared" si="12"/>
        <v>12557.4389125</v>
      </c>
      <c r="AI11" s="5">
        <f t="shared" si="13"/>
        <v>12557.4389125</v>
      </c>
      <c r="AJ11" s="36">
        <f>AH$7*'2014A'!$F11</f>
        <v>1658.5101862000001</v>
      </c>
      <c r="AM11" s="5">
        <f t="shared" si="14"/>
        <v>4579.0224625</v>
      </c>
      <c r="AN11" s="5">
        <f t="shared" si="15"/>
        <v>4579.0224625</v>
      </c>
      <c r="AO11" s="36">
        <f>AM$7*'2014A'!$F11</f>
        <v>604.7694478</v>
      </c>
      <c r="AR11" s="5">
        <f t="shared" si="16"/>
        <v>13890.8783</v>
      </c>
      <c r="AS11" s="5">
        <f t="shared" si="17"/>
        <v>13890.8783</v>
      </c>
      <c r="AT11" s="36">
        <f>AR$7*'2014A'!$F11</f>
        <v>1834.6227536000001</v>
      </c>
      <c r="AW11" s="5">
        <f t="shared" si="18"/>
        <v>85006.822675</v>
      </c>
      <c r="AX11" s="5">
        <f t="shared" si="19"/>
        <v>85006.822675</v>
      </c>
      <c r="AY11" s="36">
        <f>AW$7*'2014A'!$F11</f>
        <v>11227.1843236</v>
      </c>
      <c r="BB11" s="5">
        <f t="shared" si="20"/>
        <v>4634.078375</v>
      </c>
      <c r="BC11" s="5">
        <f t="shared" si="21"/>
        <v>4634.078375</v>
      </c>
      <c r="BD11" s="36">
        <f>BB$7*'2014A'!$F11</f>
        <v>612.040898</v>
      </c>
      <c r="BG11" s="5">
        <f t="shared" si="22"/>
        <v>6350.93405</v>
      </c>
      <c r="BH11" s="5">
        <f t="shared" si="23"/>
        <v>6350.93405</v>
      </c>
      <c r="BI11" s="36">
        <f>BG$7*'2014A'!$F11</f>
        <v>838.7927576</v>
      </c>
      <c r="BL11" s="5">
        <f t="shared" si="24"/>
        <v>58824.403300000005</v>
      </c>
      <c r="BM11" s="5">
        <f t="shared" si="25"/>
        <v>58824.403300000005</v>
      </c>
      <c r="BN11" s="36">
        <f>BL$7*'2014A'!$F11</f>
        <v>7769.169553600001</v>
      </c>
      <c r="BQ11" s="5">
        <f t="shared" si="26"/>
        <v>419.70875</v>
      </c>
      <c r="BR11" s="5">
        <f t="shared" si="27"/>
        <v>419.70875</v>
      </c>
      <c r="BS11" s="36">
        <f>BQ$7*'2014A'!$F11</f>
        <v>55.43258</v>
      </c>
      <c r="BV11" s="5">
        <f t="shared" si="28"/>
        <v>142.700975</v>
      </c>
      <c r="BW11" s="5">
        <f t="shared" si="29"/>
        <v>142.700975</v>
      </c>
      <c r="BX11" s="36">
        <f>BV$7*'2014A'!$F11</f>
        <v>18.8470772</v>
      </c>
      <c r="CA11" s="5">
        <f t="shared" si="30"/>
        <v>7945.827300000001</v>
      </c>
      <c r="CB11" s="5">
        <f t="shared" si="31"/>
        <v>7945.827300000001</v>
      </c>
      <c r="CC11" s="36">
        <f>CA$7*'2014A'!$F11</f>
        <v>1049.4365616</v>
      </c>
      <c r="CF11" s="5">
        <f t="shared" si="32"/>
        <v>23127.680337499998</v>
      </c>
      <c r="CG11" s="5">
        <f t="shared" si="33"/>
        <v>23127.680337499998</v>
      </c>
      <c r="CH11" s="36">
        <f>CF$7*'2014A'!$F11</f>
        <v>3054.5634098</v>
      </c>
      <c r="CK11" s="5">
        <f t="shared" si="34"/>
        <v>1173.9500625</v>
      </c>
      <c r="CL11" s="5">
        <f t="shared" si="35"/>
        <v>1173.9500625</v>
      </c>
      <c r="CM11" s="36">
        <f>CK$7*'2014A'!$F11</f>
        <v>155.048187</v>
      </c>
      <c r="CP11" s="5">
        <f t="shared" si="36"/>
        <v>15507.250762500002</v>
      </c>
      <c r="CQ11" s="5">
        <f t="shared" si="37"/>
        <v>15507.250762500002</v>
      </c>
      <c r="CR11" s="36">
        <f>CP$7*'2014A'!$F11</f>
        <v>2048.1034014</v>
      </c>
      <c r="CU11" s="5">
        <f t="shared" si="38"/>
        <v>333022.35166249995</v>
      </c>
      <c r="CV11" s="5">
        <f t="shared" si="39"/>
        <v>333022.35166249995</v>
      </c>
      <c r="CW11" s="36">
        <f>CU$7*'2014A'!$F11</f>
        <v>43983.567534199996</v>
      </c>
      <c r="CZ11" s="5">
        <f t="shared" si="40"/>
        <v>6485.487737500001</v>
      </c>
      <c r="DA11" s="36">
        <f t="shared" si="41"/>
        <v>6485.487737500001</v>
      </c>
      <c r="DB11" s="36">
        <f>CZ$7*'2014A'!$F11</f>
        <v>856.5637906000001</v>
      </c>
      <c r="DE11" s="5">
        <f t="shared" si="42"/>
        <v>7425.882225</v>
      </c>
      <c r="DF11" s="36">
        <f t="shared" si="43"/>
        <v>7425.882225</v>
      </c>
      <c r="DG11" s="36">
        <f>DE$7*'2014A'!$F11</f>
        <v>980.7653772000001</v>
      </c>
      <c r="DJ11" s="5">
        <f t="shared" si="44"/>
        <v>1771.170925</v>
      </c>
      <c r="DK11" s="36">
        <f t="shared" si="45"/>
        <v>1771.170925</v>
      </c>
      <c r="DL11" s="36">
        <f>DJ$7*'2014A'!$F11</f>
        <v>233.9254876</v>
      </c>
      <c r="DO11" s="5">
        <f t="shared" si="46"/>
        <v>25620.503425</v>
      </c>
      <c r="DP11" s="5">
        <f t="shared" si="47"/>
        <v>25620.503425</v>
      </c>
      <c r="DQ11" s="36">
        <f>DO$7*'2014A'!$F11</f>
        <v>3383.8003276</v>
      </c>
      <c r="DT11" s="5">
        <f t="shared" si="48"/>
        <v>96358.21615</v>
      </c>
      <c r="DU11" s="5">
        <f t="shared" si="49"/>
        <v>96358.21615</v>
      </c>
      <c r="DV11" s="36">
        <f>DT$7*'2014A'!$F11</f>
        <v>12726.4073608</v>
      </c>
      <c r="DY11" s="5">
        <f t="shared" si="50"/>
        <v>672.7684375</v>
      </c>
      <c r="DZ11" s="5">
        <f t="shared" si="51"/>
        <v>672.7684375</v>
      </c>
      <c r="EA11" s="36">
        <f>DY$7*'2014A'!$F11</f>
        <v>88.855165</v>
      </c>
      <c r="ED11" s="36">
        <f t="shared" si="52"/>
        <v>9978.9458625</v>
      </c>
      <c r="EE11" s="36">
        <f t="shared" si="53"/>
        <v>9978.9458625</v>
      </c>
      <c r="EF11" s="36">
        <f>ED$7*'2014A'!$F11</f>
        <v>1317.9585006</v>
      </c>
    </row>
    <row r="12" spans="1:136" ht="12.75">
      <c r="A12" s="37">
        <v>43922</v>
      </c>
      <c r="C12" s="3">
        <v>5555000</v>
      </c>
      <c r="D12" s="3">
        <v>2468875</v>
      </c>
      <c r="E12" s="35">
        <f t="shared" si="0"/>
        <v>8023875</v>
      </c>
      <c r="F12" s="35"/>
      <c r="H12" s="47">
        <f t="shared" si="54"/>
        <v>1755305.5629999996</v>
      </c>
      <c r="I12" s="36">
        <f t="shared" si="1"/>
        <v>780131.4170749999</v>
      </c>
      <c r="J12" s="36">
        <f t="shared" si="2"/>
        <v>2535436.9800749994</v>
      </c>
      <c r="K12" s="36">
        <f t="shared" si="3"/>
        <v>103035.01460840002</v>
      </c>
      <c r="M12" s="5">
        <f t="shared" si="55"/>
        <v>16182.2705</v>
      </c>
      <c r="N12" s="5">
        <f t="shared" si="4"/>
        <v>7192.0797625000005</v>
      </c>
      <c r="O12" s="5">
        <f t="shared" si="5"/>
        <v>23374.3502625</v>
      </c>
      <c r="P12" s="36">
        <f>N$7*'2014A'!$F12</f>
        <v>949.8861694</v>
      </c>
      <c r="R12" s="5">
        <f t="shared" si="56"/>
        <v>1460.965</v>
      </c>
      <c r="S12" s="5">
        <f t="shared" si="6"/>
        <v>649.314125</v>
      </c>
      <c r="T12" s="5">
        <f t="shared" si="7"/>
        <v>2110.279125</v>
      </c>
      <c r="U12" s="36">
        <f>S$7*'2014A'!$F12</f>
        <v>85.757462</v>
      </c>
      <c r="W12" s="5">
        <f t="shared" si="57"/>
        <v>3637.4139999999998</v>
      </c>
      <c r="X12" s="5">
        <f t="shared" si="8"/>
        <v>1616.61935</v>
      </c>
      <c r="Y12" s="5">
        <f t="shared" si="9"/>
        <v>5254.03335</v>
      </c>
      <c r="Z12" s="36">
        <f>X$7*'2014A'!$F12</f>
        <v>213.5132552</v>
      </c>
      <c r="AB12" s="5">
        <f t="shared" si="58"/>
        <v>124149.806</v>
      </c>
      <c r="AC12" s="5">
        <f t="shared" si="10"/>
        <v>55177.38115</v>
      </c>
      <c r="AD12" s="5">
        <f t="shared" si="11"/>
        <v>179327.18715</v>
      </c>
      <c r="AE12" s="36">
        <f>AC$7*'2014A'!$F12</f>
        <v>7287.4930408</v>
      </c>
      <c r="AG12" s="5">
        <f t="shared" si="59"/>
        <v>28254.396500000003</v>
      </c>
      <c r="AH12" s="5">
        <f t="shared" si="12"/>
        <v>12557.4389125</v>
      </c>
      <c r="AI12" s="5">
        <f t="shared" si="13"/>
        <v>40811.835412500004</v>
      </c>
      <c r="AJ12" s="36">
        <f>AH$7*'2014A'!$F12</f>
        <v>1658.5101862000001</v>
      </c>
      <c r="AL12" s="5">
        <f t="shared" si="60"/>
        <v>10302.8585</v>
      </c>
      <c r="AM12" s="5">
        <f t="shared" si="14"/>
        <v>4579.0224625</v>
      </c>
      <c r="AN12" s="5">
        <f t="shared" si="15"/>
        <v>14881.8809625</v>
      </c>
      <c r="AO12" s="36">
        <f>AM$7*'2014A'!$F12</f>
        <v>604.7694478</v>
      </c>
      <c r="AQ12" s="5">
        <f t="shared" si="61"/>
        <v>31254.652000000002</v>
      </c>
      <c r="AR12" s="5">
        <f t="shared" si="16"/>
        <v>13890.8783</v>
      </c>
      <c r="AS12" s="5">
        <f t="shared" si="17"/>
        <v>45145.5303</v>
      </c>
      <c r="AT12" s="36">
        <f>AR$7*'2014A'!$F12</f>
        <v>1834.6227536000001</v>
      </c>
      <c r="AV12" s="5">
        <f t="shared" si="62"/>
        <v>191266.427</v>
      </c>
      <c r="AW12" s="5">
        <f t="shared" si="18"/>
        <v>85006.822675</v>
      </c>
      <c r="AX12" s="5">
        <f t="shared" si="19"/>
        <v>276273.24967499997</v>
      </c>
      <c r="AY12" s="36">
        <f>AW$7*'2014A'!$F12</f>
        <v>11227.1843236</v>
      </c>
      <c r="BA12" s="5">
        <f t="shared" si="63"/>
        <v>10426.735</v>
      </c>
      <c r="BB12" s="5">
        <f t="shared" si="20"/>
        <v>4634.078375</v>
      </c>
      <c r="BC12" s="5">
        <f t="shared" si="21"/>
        <v>15060.813375000002</v>
      </c>
      <c r="BD12" s="36">
        <f>BB$7*'2014A'!$F12</f>
        <v>612.040898</v>
      </c>
      <c r="BF12" s="5">
        <f t="shared" si="64"/>
        <v>14289.681999999999</v>
      </c>
      <c r="BG12" s="5">
        <f t="shared" si="22"/>
        <v>6350.93405</v>
      </c>
      <c r="BH12" s="5">
        <f t="shared" si="23"/>
        <v>20640.616049999997</v>
      </c>
      <c r="BI12" s="36">
        <f>BG$7*'2014A'!$F12</f>
        <v>838.7927576</v>
      </c>
      <c r="BK12" s="5">
        <f t="shared" si="65"/>
        <v>132355.652</v>
      </c>
      <c r="BL12" s="5">
        <f t="shared" si="24"/>
        <v>58824.403300000005</v>
      </c>
      <c r="BM12" s="5">
        <f t="shared" si="25"/>
        <v>191180.0553</v>
      </c>
      <c r="BN12" s="36">
        <f>BL$7*'2014A'!$F12</f>
        <v>7769.169553600001</v>
      </c>
      <c r="BP12" s="5">
        <f t="shared" si="66"/>
        <v>944.35</v>
      </c>
      <c r="BQ12" s="5">
        <f t="shared" si="26"/>
        <v>419.70875</v>
      </c>
      <c r="BR12" s="5">
        <f t="shared" si="27"/>
        <v>1364.0587500000001</v>
      </c>
      <c r="BS12" s="36">
        <f>BQ$7*'2014A'!$F12</f>
        <v>55.43258</v>
      </c>
      <c r="BU12" s="5">
        <f t="shared" si="67"/>
        <v>321.079</v>
      </c>
      <c r="BV12" s="5">
        <f t="shared" si="28"/>
        <v>142.700975</v>
      </c>
      <c r="BW12" s="5">
        <f t="shared" si="29"/>
        <v>463.77997500000004</v>
      </c>
      <c r="BX12" s="36">
        <f>BV$7*'2014A'!$F12</f>
        <v>18.8470772</v>
      </c>
      <c r="BZ12" s="5">
        <f t="shared" si="68"/>
        <v>17878.212</v>
      </c>
      <c r="CA12" s="5">
        <f t="shared" si="30"/>
        <v>7945.827300000001</v>
      </c>
      <c r="CB12" s="5">
        <f t="shared" si="31"/>
        <v>25824.0393</v>
      </c>
      <c r="CC12" s="36">
        <f>CA$7*'2014A'!$F12</f>
        <v>1049.4365616</v>
      </c>
      <c r="CE12" s="5">
        <f t="shared" si="69"/>
        <v>52037.5735</v>
      </c>
      <c r="CF12" s="5">
        <f t="shared" si="32"/>
        <v>23127.680337499998</v>
      </c>
      <c r="CG12" s="5">
        <f t="shared" si="33"/>
        <v>75165.2538375</v>
      </c>
      <c r="CH12" s="36">
        <f>CF$7*'2014A'!$F12</f>
        <v>3054.5634098</v>
      </c>
      <c r="CJ12" s="5">
        <f t="shared" si="70"/>
        <v>2641.4025</v>
      </c>
      <c r="CK12" s="5">
        <f t="shared" si="34"/>
        <v>1173.9500625</v>
      </c>
      <c r="CL12" s="5">
        <f t="shared" si="35"/>
        <v>3815.3525625</v>
      </c>
      <c r="CM12" s="36">
        <f>CK$7*'2014A'!$F12</f>
        <v>155.048187</v>
      </c>
      <c r="CO12" s="5">
        <f t="shared" si="71"/>
        <v>34891.510500000004</v>
      </c>
      <c r="CP12" s="5">
        <f t="shared" si="36"/>
        <v>15507.250762500002</v>
      </c>
      <c r="CQ12" s="5">
        <f t="shared" si="37"/>
        <v>50398.761262500004</v>
      </c>
      <c r="CR12" s="36">
        <f>CP$7*'2014A'!$F12</f>
        <v>2048.1034014</v>
      </c>
      <c r="CT12" s="5">
        <f t="shared" si="72"/>
        <v>749304.5064999999</v>
      </c>
      <c r="CU12" s="5">
        <f t="shared" si="38"/>
        <v>333022.35166249995</v>
      </c>
      <c r="CV12" s="5">
        <f t="shared" si="39"/>
        <v>1082326.8581625</v>
      </c>
      <c r="CW12" s="36">
        <f>CU$7*'2014A'!$F12</f>
        <v>43983.567534199996</v>
      </c>
      <c r="CY12" s="5">
        <f t="shared" si="73"/>
        <v>14592.4295</v>
      </c>
      <c r="CZ12" s="5">
        <f t="shared" si="40"/>
        <v>6485.487737500001</v>
      </c>
      <c r="DA12" s="36">
        <f t="shared" si="41"/>
        <v>21077.9172375</v>
      </c>
      <c r="DB12" s="36">
        <f>CZ$7*'2014A'!$F12</f>
        <v>856.5637906000001</v>
      </c>
      <c r="DD12" s="5">
        <f t="shared" si="74"/>
        <v>16708.329</v>
      </c>
      <c r="DE12" s="5">
        <f t="shared" si="42"/>
        <v>7425.882225</v>
      </c>
      <c r="DF12" s="36">
        <f t="shared" si="43"/>
        <v>24134.211225000003</v>
      </c>
      <c r="DG12" s="36">
        <f>DE$7*'2014A'!$F12</f>
        <v>980.7653772000001</v>
      </c>
      <c r="DI12" s="5">
        <f t="shared" si="75"/>
        <v>3985.1569999999997</v>
      </c>
      <c r="DJ12" s="5">
        <f t="shared" si="44"/>
        <v>1771.170925</v>
      </c>
      <c r="DK12" s="36">
        <f t="shared" si="45"/>
        <v>5756.327925</v>
      </c>
      <c r="DL12" s="36">
        <f>DJ$7*'2014A'!$F12</f>
        <v>233.9254876</v>
      </c>
      <c r="DN12" s="5">
        <f t="shared" si="76"/>
        <v>57646.457</v>
      </c>
      <c r="DO12" s="5">
        <f t="shared" si="46"/>
        <v>25620.503425</v>
      </c>
      <c r="DP12" s="5">
        <f t="shared" si="47"/>
        <v>83266.960425</v>
      </c>
      <c r="DQ12" s="36">
        <f>DO$7*'2014A'!$F12</f>
        <v>3383.8003276</v>
      </c>
      <c r="DS12" s="5">
        <f t="shared" si="77"/>
        <v>216807.206</v>
      </c>
      <c r="DT12" s="5">
        <f t="shared" si="48"/>
        <v>96358.21615</v>
      </c>
      <c r="DU12" s="5">
        <f t="shared" si="49"/>
        <v>313165.42215</v>
      </c>
      <c r="DV12" s="36">
        <f>DT$7*'2014A'!$F12</f>
        <v>12726.4073608</v>
      </c>
      <c r="DX12" s="5">
        <f t="shared" si="78"/>
        <v>1513.7375</v>
      </c>
      <c r="DY12" s="5">
        <f t="shared" si="50"/>
        <v>672.7684375</v>
      </c>
      <c r="DZ12" s="5">
        <f t="shared" si="51"/>
        <v>2186.5059375</v>
      </c>
      <c r="EA12" s="36">
        <f>DY$7*'2014A'!$F12</f>
        <v>88.855165</v>
      </c>
      <c r="EC12" s="5">
        <f t="shared" si="79"/>
        <v>22452.754500000003</v>
      </c>
      <c r="ED12" s="36">
        <f t="shared" si="52"/>
        <v>9978.9458625</v>
      </c>
      <c r="EE12" s="36">
        <f t="shared" si="53"/>
        <v>32431.700362500003</v>
      </c>
      <c r="EF12" s="36">
        <f>ED$7*'2014A'!$F12</f>
        <v>1317.9585006</v>
      </c>
    </row>
    <row r="13" spans="1:136" ht="12.75">
      <c r="A13" s="37">
        <v>44105</v>
      </c>
      <c r="D13" s="3">
        <v>2330000</v>
      </c>
      <c r="E13" s="35">
        <f t="shared" si="0"/>
        <v>2330000</v>
      </c>
      <c r="F13" s="35"/>
      <c r="H13" s="47"/>
      <c r="I13" s="36">
        <f t="shared" si="1"/>
        <v>736248.7779999999</v>
      </c>
      <c r="J13" s="36">
        <f t="shared" si="2"/>
        <v>736248.7779999999</v>
      </c>
      <c r="K13" s="36">
        <f t="shared" si="3"/>
        <v>103035.01460840002</v>
      </c>
      <c r="N13" s="5">
        <f t="shared" si="4"/>
        <v>6787.523</v>
      </c>
      <c r="O13" s="5">
        <f t="shared" si="5"/>
        <v>6787.523</v>
      </c>
      <c r="P13" s="36">
        <f>N$7*'2014A'!$F13</f>
        <v>949.8861694</v>
      </c>
      <c r="S13" s="5">
        <f t="shared" si="6"/>
        <v>612.79</v>
      </c>
      <c r="T13" s="5">
        <f t="shared" si="7"/>
        <v>612.79</v>
      </c>
      <c r="U13" s="36">
        <f>S$7*'2014A'!$F13</f>
        <v>85.757462</v>
      </c>
      <c r="X13" s="5">
        <f t="shared" si="8"/>
        <v>1525.684</v>
      </c>
      <c r="Y13" s="5">
        <f t="shared" si="9"/>
        <v>1525.684</v>
      </c>
      <c r="Z13" s="36">
        <f>X$7*'2014A'!$F13</f>
        <v>213.5132552</v>
      </c>
      <c r="AC13" s="5">
        <f t="shared" si="10"/>
        <v>52073.636</v>
      </c>
      <c r="AD13" s="5">
        <f t="shared" si="11"/>
        <v>52073.636</v>
      </c>
      <c r="AE13" s="36">
        <f>AC$7*'2014A'!$F13</f>
        <v>7287.4930408</v>
      </c>
      <c r="AH13" s="5">
        <f t="shared" si="12"/>
        <v>11851.079</v>
      </c>
      <c r="AI13" s="5">
        <f t="shared" si="13"/>
        <v>11851.079</v>
      </c>
      <c r="AJ13" s="36">
        <f>AH$7*'2014A'!$F13</f>
        <v>1658.5101862000001</v>
      </c>
      <c r="AM13" s="5">
        <f t="shared" si="14"/>
        <v>4321.451</v>
      </c>
      <c r="AN13" s="5">
        <f t="shared" si="15"/>
        <v>4321.451</v>
      </c>
      <c r="AO13" s="36">
        <f>AM$7*'2014A'!$F13</f>
        <v>604.7694478</v>
      </c>
      <c r="AR13" s="5">
        <f t="shared" si="16"/>
        <v>13109.512</v>
      </c>
      <c r="AS13" s="5">
        <f t="shared" si="17"/>
        <v>13109.512</v>
      </c>
      <c r="AT13" s="36">
        <f>AR$7*'2014A'!$F13</f>
        <v>1834.6227536000001</v>
      </c>
      <c r="AW13" s="5">
        <f t="shared" si="18"/>
        <v>80225.162</v>
      </c>
      <c r="AX13" s="5">
        <f t="shared" si="19"/>
        <v>80225.162</v>
      </c>
      <c r="AY13" s="36">
        <f>AW$7*'2014A'!$F13</f>
        <v>11227.1843236</v>
      </c>
      <c r="BB13" s="5">
        <f t="shared" si="20"/>
        <v>4373.41</v>
      </c>
      <c r="BC13" s="5">
        <f t="shared" si="21"/>
        <v>4373.41</v>
      </c>
      <c r="BD13" s="36">
        <f>BB$7*'2014A'!$F13</f>
        <v>612.040898</v>
      </c>
      <c r="BG13" s="5">
        <f t="shared" si="22"/>
        <v>5993.692</v>
      </c>
      <c r="BH13" s="5">
        <f t="shared" si="23"/>
        <v>5993.692</v>
      </c>
      <c r="BI13" s="36">
        <f>BG$7*'2014A'!$F13</f>
        <v>838.7927576</v>
      </c>
      <c r="BL13" s="5">
        <f t="shared" si="24"/>
        <v>55515.512</v>
      </c>
      <c r="BM13" s="5">
        <f t="shared" si="25"/>
        <v>55515.512</v>
      </c>
      <c r="BN13" s="36">
        <f>BL$7*'2014A'!$F13</f>
        <v>7769.169553600001</v>
      </c>
      <c r="BQ13" s="5">
        <f t="shared" si="26"/>
        <v>396.1</v>
      </c>
      <c r="BR13" s="5">
        <f t="shared" si="27"/>
        <v>396.1</v>
      </c>
      <c r="BS13" s="36">
        <f>BQ$7*'2014A'!$F13</f>
        <v>55.43258</v>
      </c>
      <c r="BV13" s="5">
        <f t="shared" si="28"/>
        <v>134.674</v>
      </c>
      <c r="BW13" s="5">
        <f t="shared" si="29"/>
        <v>134.674</v>
      </c>
      <c r="BX13" s="36">
        <f>BV$7*'2014A'!$F13</f>
        <v>18.8470772</v>
      </c>
      <c r="CA13" s="5">
        <f t="shared" si="30"/>
        <v>7498.872</v>
      </c>
      <c r="CB13" s="5">
        <f t="shared" si="31"/>
        <v>7498.872</v>
      </c>
      <c r="CC13" s="36">
        <f>CA$7*'2014A'!$F13</f>
        <v>1049.4365616</v>
      </c>
      <c r="CF13" s="5">
        <f t="shared" si="32"/>
        <v>21826.740999999998</v>
      </c>
      <c r="CG13" s="5">
        <f t="shared" si="33"/>
        <v>21826.740999999998</v>
      </c>
      <c r="CH13" s="36">
        <f>CF$7*'2014A'!$F13</f>
        <v>3054.5634098</v>
      </c>
      <c r="CK13" s="5">
        <f t="shared" si="34"/>
        <v>1107.915</v>
      </c>
      <c r="CL13" s="5">
        <f t="shared" si="35"/>
        <v>1107.915</v>
      </c>
      <c r="CM13" s="36">
        <f>CK$7*'2014A'!$F13</f>
        <v>155.048187</v>
      </c>
      <c r="CP13" s="5">
        <f t="shared" si="36"/>
        <v>14634.963000000002</v>
      </c>
      <c r="CQ13" s="5">
        <f t="shared" si="37"/>
        <v>14634.963000000002</v>
      </c>
      <c r="CR13" s="36">
        <f>CP$7*'2014A'!$F13</f>
        <v>2048.1034014</v>
      </c>
      <c r="CU13" s="5">
        <f t="shared" si="38"/>
        <v>314289.739</v>
      </c>
      <c r="CV13" s="5">
        <f t="shared" si="39"/>
        <v>314289.739</v>
      </c>
      <c r="CW13" s="36">
        <f>CU$7*'2014A'!$F13</f>
        <v>43983.567534199996</v>
      </c>
      <c r="CZ13" s="5">
        <f t="shared" si="40"/>
        <v>6120.677000000001</v>
      </c>
      <c r="DA13" s="36">
        <f t="shared" si="41"/>
        <v>6120.677000000001</v>
      </c>
      <c r="DB13" s="36">
        <f>CZ$7*'2014A'!$F13</f>
        <v>856.5637906000001</v>
      </c>
      <c r="DE13" s="5">
        <f t="shared" si="42"/>
        <v>7008.174</v>
      </c>
      <c r="DF13" s="36">
        <f t="shared" si="43"/>
        <v>7008.174</v>
      </c>
      <c r="DG13" s="36">
        <f>DE$7*'2014A'!$F13</f>
        <v>980.7653772000001</v>
      </c>
      <c r="DJ13" s="5">
        <f t="shared" si="44"/>
        <v>1671.542</v>
      </c>
      <c r="DK13" s="36">
        <f t="shared" si="45"/>
        <v>1671.542</v>
      </c>
      <c r="DL13" s="36">
        <f>DJ$7*'2014A'!$F13</f>
        <v>233.9254876</v>
      </c>
      <c r="DO13" s="5">
        <f t="shared" si="46"/>
        <v>24179.342</v>
      </c>
      <c r="DP13" s="5">
        <f t="shared" si="47"/>
        <v>24179.342</v>
      </c>
      <c r="DQ13" s="36">
        <f>DO$7*'2014A'!$F13</f>
        <v>3383.8003276</v>
      </c>
      <c r="DT13" s="5">
        <f t="shared" si="48"/>
        <v>90938.036</v>
      </c>
      <c r="DU13" s="5">
        <f t="shared" si="49"/>
        <v>90938.036</v>
      </c>
      <c r="DV13" s="36">
        <f>DT$7*'2014A'!$F13</f>
        <v>12726.4073608</v>
      </c>
      <c r="DY13" s="5">
        <f t="shared" si="50"/>
        <v>634.9250000000001</v>
      </c>
      <c r="DZ13" s="5">
        <f t="shared" si="51"/>
        <v>634.9250000000001</v>
      </c>
      <c r="EA13" s="36">
        <f>DY$7*'2014A'!$F13</f>
        <v>88.855165</v>
      </c>
      <c r="ED13" s="36">
        <f t="shared" si="52"/>
        <v>9417.627</v>
      </c>
      <c r="EE13" s="36">
        <f t="shared" si="53"/>
        <v>9417.627</v>
      </c>
      <c r="EF13" s="36">
        <f>ED$7*'2014A'!$F13</f>
        <v>1317.9585006</v>
      </c>
    </row>
    <row r="14" spans="1:136" ht="12.75">
      <c r="A14" s="37">
        <v>44287</v>
      </c>
      <c r="C14" s="3">
        <v>5830000</v>
      </c>
      <c r="D14" s="3">
        <v>2330000</v>
      </c>
      <c r="E14" s="35">
        <f t="shared" si="0"/>
        <v>8160000</v>
      </c>
      <c r="F14" s="35"/>
      <c r="H14" s="47">
        <f t="shared" si="54"/>
        <v>1842201.8780000003</v>
      </c>
      <c r="I14" s="36">
        <f t="shared" si="1"/>
        <v>736248.7779999999</v>
      </c>
      <c r="J14" s="36">
        <f t="shared" si="2"/>
        <v>2578450.6560000004</v>
      </c>
      <c r="K14" s="36">
        <f t="shared" si="3"/>
        <v>103035.01460840002</v>
      </c>
      <c r="M14" s="5">
        <f t="shared" si="55"/>
        <v>16983.373</v>
      </c>
      <c r="N14" s="5">
        <f t="shared" si="4"/>
        <v>6787.523</v>
      </c>
      <c r="O14" s="5">
        <f t="shared" si="5"/>
        <v>23770.896</v>
      </c>
      <c r="P14" s="36">
        <f>N$7*'2014A'!$F14</f>
        <v>949.8861694</v>
      </c>
      <c r="R14" s="5">
        <f t="shared" si="56"/>
        <v>1533.29</v>
      </c>
      <c r="S14" s="5">
        <f t="shared" si="6"/>
        <v>612.79</v>
      </c>
      <c r="T14" s="5">
        <f t="shared" si="7"/>
        <v>2146.08</v>
      </c>
      <c r="U14" s="36">
        <f>S$7*'2014A'!$F14</f>
        <v>85.757462</v>
      </c>
      <c r="W14" s="5">
        <f t="shared" si="57"/>
        <v>3817.484</v>
      </c>
      <c r="X14" s="5">
        <f t="shared" si="8"/>
        <v>1525.684</v>
      </c>
      <c r="Y14" s="5">
        <f t="shared" si="9"/>
        <v>5343.168</v>
      </c>
      <c r="Z14" s="36">
        <f>X$7*'2014A'!$F14</f>
        <v>213.5132552</v>
      </c>
      <c r="AB14" s="5">
        <f t="shared" si="58"/>
        <v>130295.836</v>
      </c>
      <c r="AC14" s="5">
        <f t="shared" si="10"/>
        <v>52073.636</v>
      </c>
      <c r="AD14" s="5">
        <f t="shared" si="11"/>
        <v>182369.472</v>
      </c>
      <c r="AE14" s="36">
        <f>AC$7*'2014A'!$F14</f>
        <v>7287.4930408</v>
      </c>
      <c r="AG14" s="5">
        <f t="shared" si="59"/>
        <v>29653.129</v>
      </c>
      <c r="AH14" s="5">
        <f t="shared" si="12"/>
        <v>11851.079</v>
      </c>
      <c r="AI14" s="5">
        <f t="shared" si="13"/>
        <v>41504.208</v>
      </c>
      <c r="AJ14" s="36">
        <f>AH$7*'2014A'!$F14</f>
        <v>1658.5101862000001</v>
      </c>
      <c r="AL14" s="5">
        <f t="shared" si="60"/>
        <v>10812.901</v>
      </c>
      <c r="AM14" s="5">
        <f t="shared" si="14"/>
        <v>4321.451</v>
      </c>
      <c r="AN14" s="5">
        <f t="shared" si="15"/>
        <v>15134.351999999999</v>
      </c>
      <c r="AO14" s="36">
        <f>AM$7*'2014A'!$F14</f>
        <v>604.7694478</v>
      </c>
      <c r="AQ14" s="5">
        <f t="shared" si="61"/>
        <v>32801.912000000004</v>
      </c>
      <c r="AR14" s="5">
        <f t="shared" si="16"/>
        <v>13109.512</v>
      </c>
      <c r="AS14" s="5">
        <f t="shared" si="17"/>
        <v>45911.424000000006</v>
      </c>
      <c r="AT14" s="36">
        <f>AR$7*'2014A'!$F14</f>
        <v>1834.6227536000001</v>
      </c>
      <c r="AV14" s="5">
        <f t="shared" si="62"/>
        <v>200735.062</v>
      </c>
      <c r="AW14" s="5">
        <f t="shared" si="18"/>
        <v>80225.162</v>
      </c>
      <c r="AX14" s="5">
        <f t="shared" si="19"/>
        <v>280960.224</v>
      </c>
      <c r="AY14" s="36">
        <f>AW$7*'2014A'!$F14</f>
        <v>11227.1843236</v>
      </c>
      <c r="BA14" s="5">
        <f t="shared" si="63"/>
        <v>10942.91</v>
      </c>
      <c r="BB14" s="5">
        <f t="shared" si="20"/>
        <v>4373.41</v>
      </c>
      <c r="BC14" s="5">
        <f t="shared" si="21"/>
        <v>15316.32</v>
      </c>
      <c r="BD14" s="36">
        <f>BB$7*'2014A'!$F14</f>
        <v>612.040898</v>
      </c>
      <c r="BF14" s="5">
        <f t="shared" si="64"/>
        <v>14997.091999999999</v>
      </c>
      <c r="BG14" s="5">
        <f t="shared" si="22"/>
        <v>5993.692</v>
      </c>
      <c r="BH14" s="5">
        <f t="shared" si="23"/>
        <v>20990.784</v>
      </c>
      <c r="BI14" s="36">
        <f>BG$7*'2014A'!$F14</f>
        <v>838.7927576</v>
      </c>
      <c r="BK14" s="5">
        <f t="shared" si="65"/>
        <v>138907.912</v>
      </c>
      <c r="BL14" s="5">
        <f t="shared" si="24"/>
        <v>55515.512</v>
      </c>
      <c r="BM14" s="5">
        <f t="shared" si="25"/>
        <v>194423.424</v>
      </c>
      <c r="BN14" s="36">
        <f>BL$7*'2014A'!$F14</f>
        <v>7769.169553600001</v>
      </c>
      <c r="BP14" s="5">
        <f t="shared" si="66"/>
        <v>991.1</v>
      </c>
      <c r="BQ14" s="5">
        <f t="shared" si="26"/>
        <v>396.1</v>
      </c>
      <c r="BR14" s="5">
        <f t="shared" si="27"/>
        <v>1387.2</v>
      </c>
      <c r="BS14" s="36">
        <f>BQ$7*'2014A'!$F14</f>
        <v>55.43258</v>
      </c>
      <c r="BU14" s="5">
        <f t="shared" si="67"/>
        <v>336.974</v>
      </c>
      <c r="BV14" s="5">
        <f t="shared" si="28"/>
        <v>134.674</v>
      </c>
      <c r="BW14" s="5">
        <f t="shared" si="29"/>
        <v>471.648</v>
      </c>
      <c r="BX14" s="36">
        <f>BV$7*'2014A'!$F14</f>
        <v>18.8470772</v>
      </c>
      <c r="BZ14" s="5">
        <f t="shared" si="68"/>
        <v>18763.272</v>
      </c>
      <c r="CA14" s="5">
        <f t="shared" si="30"/>
        <v>7498.872</v>
      </c>
      <c r="CB14" s="5">
        <f t="shared" si="31"/>
        <v>26262.144</v>
      </c>
      <c r="CC14" s="36">
        <f>CA$7*'2014A'!$F14</f>
        <v>1049.4365616</v>
      </c>
      <c r="CE14" s="5">
        <f t="shared" si="69"/>
        <v>54613.691</v>
      </c>
      <c r="CF14" s="5">
        <f t="shared" si="32"/>
        <v>21826.740999999998</v>
      </c>
      <c r="CG14" s="5">
        <f t="shared" si="33"/>
        <v>76440.432</v>
      </c>
      <c r="CH14" s="36">
        <f>CF$7*'2014A'!$F14</f>
        <v>3054.5634098</v>
      </c>
      <c r="CJ14" s="5">
        <f t="shared" si="70"/>
        <v>2772.165</v>
      </c>
      <c r="CK14" s="5">
        <f t="shared" si="34"/>
        <v>1107.915</v>
      </c>
      <c r="CL14" s="5">
        <f t="shared" si="35"/>
        <v>3880.08</v>
      </c>
      <c r="CM14" s="36">
        <f>CK$7*'2014A'!$F14</f>
        <v>155.048187</v>
      </c>
      <c r="CO14" s="5">
        <f t="shared" si="71"/>
        <v>36618.813</v>
      </c>
      <c r="CP14" s="5">
        <f t="shared" si="36"/>
        <v>14634.963000000002</v>
      </c>
      <c r="CQ14" s="5">
        <f t="shared" si="37"/>
        <v>51253.776000000005</v>
      </c>
      <c r="CR14" s="36">
        <f>CP$7*'2014A'!$F14</f>
        <v>2048.1034014</v>
      </c>
      <c r="CT14" s="5">
        <f t="shared" si="72"/>
        <v>786398.789</v>
      </c>
      <c r="CU14" s="5">
        <f t="shared" si="38"/>
        <v>314289.739</v>
      </c>
      <c r="CV14" s="5">
        <f t="shared" si="39"/>
        <v>1100688.528</v>
      </c>
      <c r="CW14" s="36">
        <f>CU$7*'2014A'!$F14</f>
        <v>43983.567534199996</v>
      </c>
      <c r="CY14" s="5">
        <f t="shared" si="73"/>
        <v>15314.827000000001</v>
      </c>
      <c r="CZ14" s="5">
        <f t="shared" si="40"/>
        <v>6120.677000000001</v>
      </c>
      <c r="DA14" s="36">
        <f t="shared" si="41"/>
        <v>21435.504</v>
      </c>
      <c r="DB14" s="36">
        <f>CZ$7*'2014A'!$F14</f>
        <v>856.5637906000001</v>
      </c>
      <c r="DD14" s="5">
        <f t="shared" si="74"/>
        <v>17535.474000000002</v>
      </c>
      <c r="DE14" s="5">
        <f t="shared" si="42"/>
        <v>7008.174</v>
      </c>
      <c r="DF14" s="36">
        <f t="shared" si="43"/>
        <v>24543.648</v>
      </c>
      <c r="DG14" s="36">
        <f>DE$7*'2014A'!$F14</f>
        <v>980.7653772000001</v>
      </c>
      <c r="DI14" s="5">
        <f t="shared" si="75"/>
        <v>4182.442</v>
      </c>
      <c r="DJ14" s="5">
        <f t="shared" si="44"/>
        <v>1671.542</v>
      </c>
      <c r="DK14" s="36">
        <f t="shared" si="45"/>
        <v>5853.984</v>
      </c>
      <c r="DL14" s="36">
        <f>DJ$7*'2014A'!$F14</f>
        <v>233.9254876</v>
      </c>
      <c r="DN14" s="5">
        <f t="shared" si="76"/>
        <v>60500.242</v>
      </c>
      <c r="DO14" s="5">
        <f t="shared" si="46"/>
        <v>24179.342</v>
      </c>
      <c r="DP14" s="5">
        <f t="shared" si="47"/>
        <v>84679.584</v>
      </c>
      <c r="DQ14" s="36">
        <f>DO$7*'2014A'!$F14</f>
        <v>3383.8003276</v>
      </c>
      <c r="DS14" s="5">
        <f t="shared" si="77"/>
        <v>227540.236</v>
      </c>
      <c r="DT14" s="5">
        <f t="shared" si="48"/>
        <v>90938.036</v>
      </c>
      <c r="DU14" s="5">
        <f t="shared" si="49"/>
        <v>318478.272</v>
      </c>
      <c r="DV14" s="36">
        <f>DT$7*'2014A'!$F14</f>
        <v>12726.4073608</v>
      </c>
      <c r="DX14" s="5">
        <f t="shared" si="78"/>
        <v>1588.675</v>
      </c>
      <c r="DY14" s="5">
        <f t="shared" si="50"/>
        <v>634.9250000000001</v>
      </c>
      <c r="DZ14" s="5">
        <f t="shared" si="51"/>
        <v>2223.6</v>
      </c>
      <c r="EA14" s="36">
        <f>DY$7*'2014A'!$F14</f>
        <v>88.855165</v>
      </c>
      <c r="EC14" s="5">
        <f t="shared" si="79"/>
        <v>23564.277000000002</v>
      </c>
      <c r="ED14" s="36">
        <f t="shared" si="52"/>
        <v>9417.627</v>
      </c>
      <c r="EE14" s="36">
        <f t="shared" si="53"/>
        <v>32981.904</v>
      </c>
      <c r="EF14" s="36">
        <f>ED$7*'2014A'!$F14</f>
        <v>1317.9585006</v>
      </c>
    </row>
    <row r="15" spans="1:136" ht="12.75">
      <c r="A15" s="37">
        <v>44470</v>
      </c>
      <c r="D15" s="3">
        <v>2184250</v>
      </c>
      <c r="E15" s="35">
        <f t="shared" si="0"/>
        <v>2184250</v>
      </c>
      <c r="F15" s="35"/>
      <c r="H15" s="47"/>
      <c r="I15" s="36">
        <f t="shared" si="1"/>
        <v>690193.73105</v>
      </c>
      <c r="J15" s="36">
        <f t="shared" si="2"/>
        <v>690193.73105</v>
      </c>
      <c r="K15" s="36">
        <f t="shared" si="3"/>
        <v>103035.01460840002</v>
      </c>
      <c r="N15" s="5">
        <f t="shared" si="4"/>
        <v>6362.938675</v>
      </c>
      <c r="O15" s="5">
        <f t="shared" si="5"/>
        <v>6362.938675</v>
      </c>
      <c r="P15" s="36">
        <f>N$7*'2014A'!$F15</f>
        <v>949.8861694</v>
      </c>
      <c r="S15" s="5">
        <f t="shared" si="6"/>
        <v>574.45775</v>
      </c>
      <c r="T15" s="5">
        <f t="shared" si="7"/>
        <v>574.45775</v>
      </c>
      <c r="U15" s="36">
        <f>S$7*'2014A'!$F15</f>
        <v>85.757462</v>
      </c>
      <c r="X15" s="5">
        <f t="shared" si="8"/>
        <v>1430.2468999999999</v>
      </c>
      <c r="Y15" s="5">
        <f t="shared" si="9"/>
        <v>1430.2468999999999</v>
      </c>
      <c r="Z15" s="36">
        <f>X$7*'2014A'!$F15</f>
        <v>213.5132552</v>
      </c>
      <c r="AC15" s="5">
        <f t="shared" si="10"/>
        <v>48816.2401</v>
      </c>
      <c r="AD15" s="5">
        <f t="shared" si="11"/>
        <v>48816.2401</v>
      </c>
      <c r="AE15" s="36">
        <f>AC$7*'2014A'!$F15</f>
        <v>7287.4930408</v>
      </c>
      <c r="AH15" s="5">
        <f t="shared" si="12"/>
        <v>11109.750775</v>
      </c>
      <c r="AI15" s="5">
        <f t="shared" si="13"/>
        <v>11109.750775</v>
      </c>
      <c r="AJ15" s="36">
        <f>AH$7*'2014A'!$F15</f>
        <v>1658.5101862000001</v>
      </c>
      <c r="AM15" s="5">
        <f t="shared" si="14"/>
        <v>4051.128475</v>
      </c>
      <c r="AN15" s="5">
        <f t="shared" si="15"/>
        <v>4051.128475</v>
      </c>
      <c r="AO15" s="36">
        <f>AM$7*'2014A'!$F15</f>
        <v>604.7694478</v>
      </c>
      <c r="AR15" s="5">
        <f t="shared" si="16"/>
        <v>12289.4642</v>
      </c>
      <c r="AS15" s="5">
        <f t="shared" si="17"/>
        <v>12289.4642</v>
      </c>
      <c r="AT15" s="36">
        <f>AR$7*'2014A'!$F15</f>
        <v>1834.6227536000001</v>
      </c>
      <c r="AW15" s="5">
        <f t="shared" si="18"/>
        <v>75206.78545</v>
      </c>
      <c r="AX15" s="5">
        <f t="shared" si="19"/>
        <v>75206.78545</v>
      </c>
      <c r="AY15" s="36">
        <f>AW$7*'2014A'!$F15</f>
        <v>11227.1843236</v>
      </c>
      <c r="BB15" s="5">
        <f t="shared" si="20"/>
        <v>4099.83725</v>
      </c>
      <c r="BC15" s="5">
        <f t="shared" si="21"/>
        <v>4099.83725</v>
      </c>
      <c r="BD15" s="36">
        <f>BB$7*'2014A'!$F15</f>
        <v>612.040898</v>
      </c>
      <c r="BG15" s="5">
        <f t="shared" si="22"/>
        <v>5618.7647</v>
      </c>
      <c r="BH15" s="5">
        <f t="shared" si="23"/>
        <v>5618.7647</v>
      </c>
      <c r="BI15" s="36">
        <f>BG$7*'2014A'!$F15</f>
        <v>838.7927576</v>
      </c>
      <c r="BL15" s="5">
        <f t="shared" si="24"/>
        <v>52042.8142</v>
      </c>
      <c r="BM15" s="5">
        <f t="shared" si="25"/>
        <v>52042.8142</v>
      </c>
      <c r="BN15" s="36">
        <f>BL$7*'2014A'!$F15</f>
        <v>7769.169553600001</v>
      </c>
      <c r="BQ15" s="5">
        <f t="shared" si="26"/>
        <v>371.32250000000005</v>
      </c>
      <c r="BR15" s="5">
        <f t="shared" si="27"/>
        <v>371.32250000000005</v>
      </c>
      <c r="BS15" s="36">
        <f>BQ$7*'2014A'!$F15</f>
        <v>55.43258</v>
      </c>
      <c r="BV15" s="5">
        <f t="shared" si="28"/>
        <v>126.24965</v>
      </c>
      <c r="BW15" s="5">
        <f t="shared" si="29"/>
        <v>126.24965</v>
      </c>
      <c r="BX15" s="36">
        <f>BV$7*'2014A'!$F15</f>
        <v>18.8470772</v>
      </c>
      <c r="CA15" s="5">
        <f t="shared" si="30"/>
        <v>7029.7902</v>
      </c>
      <c r="CB15" s="5">
        <f t="shared" si="31"/>
        <v>7029.7902</v>
      </c>
      <c r="CC15" s="36">
        <f>CA$7*'2014A'!$F15</f>
        <v>1049.4365616</v>
      </c>
      <c r="CF15" s="5">
        <f t="shared" si="32"/>
        <v>20461.398725</v>
      </c>
      <c r="CG15" s="5">
        <f t="shared" si="33"/>
        <v>20461.398725</v>
      </c>
      <c r="CH15" s="36">
        <f>CF$7*'2014A'!$F15</f>
        <v>3054.5634098</v>
      </c>
      <c r="CK15" s="5">
        <f t="shared" si="34"/>
        <v>1038.610875</v>
      </c>
      <c r="CL15" s="5">
        <f t="shared" si="35"/>
        <v>1038.610875</v>
      </c>
      <c r="CM15" s="36">
        <f>CK$7*'2014A'!$F15</f>
        <v>155.048187</v>
      </c>
      <c r="CP15" s="5">
        <f t="shared" si="36"/>
        <v>13719.492675000001</v>
      </c>
      <c r="CQ15" s="5">
        <f t="shared" si="37"/>
        <v>13719.492675000001</v>
      </c>
      <c r="CR15" s="36">
        <f>CP$7*'2014A'!$F15</f>
        <v>2048.1034014</v>
      </c>
      <c r="CU15" s="5">
        <f t="shared" si="38"/>
        <v>294629.76927499997</v>
      </c>
      <c r="CV15" s="5">
        <f t="shared" si="39"/>
        <v>294629.76927499997</v>
      </c>
      <c r="CW15" s="36">
        <f>CU$7*'2014A'!$F15</f>
        <v>43983.567534199996</v>
      </c>
      <c r="CZ15" s="5">
        <f t="shared" si="40"/>
        <v>5737.8063250000005</v>
      </c>
      <c r="DA15" s="36">
        <f t="shared" si="41"/>
        <v>5737.8063250000005</v>
      </c>
      <c r="DB15" s="36">
        <f>CZ$7*'2014A'!$F15</f>
        <v>856.5637906000001</v>
      </c>
      <c r="DE15" s="5">
        <f t="shared" si="42"/>
        <v>6569.78715</v>
      </c>
      <c r="DF15" s="36">
        <f t="shared" si="43"/>
        <v>6569.78715</v>
      </c>
      <c r="DG15" s="36">
        <f>DE$7*'2014A'!$F15</f>
        <v>980.7653772000001</v>
      </c>
      <c r="DJ15" s="5">
        <f t="shared" si="44"/>
        <v>1566.98095</v>
      </c>
      <c r="DK15" s="36">
        <f t="shared" si="45"/>
        <v>1566.98095</v>
      </c>
      <c r="DL15" s="36">
        <f>DJ$7*'2014A'!$F15</f>
        <v>233.9254876</v>
      </c>
      <c r="DO15" s="5">
        <f t="shared" si="46"/>
        <v>22666.83595</v>
      </c>
      <c r="DP15" s="5">
        <f t="shared" si="47"/>
        <v>22666.83595</v>
      </c>
      <c r="DQ15" s="36">
        <f>DO$7*'2014A'!$F15</f>
        <v>3383.8003276</v>
      </c>
      <c r="DT15" s="5">
        <f t="shared" si="48"/>
        <v>85249.5301</v>
      </c>
      <c r="DU15" s="5">
        <f t="shared" si="49"/>
        <v>85249.5301</v>
      </c>
      <c r="DV15" s="36">
        <f>DT$7*'2014A'!$F15</f>
        <v>12726.4073608</v>
      </c>
      <c r="DY15" s="5">
        <f t="shared" si="50"/>
        <v>595.208125</v>
      </c>
      <c r="DZ15" s="5">
        <f t="shared" si="51"/>
        <v>595.208125</v>
      </c>
      <c r="EA15" s="36">
        <f>DY$7*'2014A'!$F15</f>
        <v>88.855165</v>
      </c>
      <c r="ED15" s="36">
        <f t="shared" si="52"/>
        <v>8828.520075</v>
      </c>
      <c r="EE15" s="36">
        <f t="shared" si="53"/>
        <v>8828.520075</v>
      </c>
      <c r="EF15" s="36">
        <f>ED$7*'2014A'!$F15</f>
        <v>1317.9585006</v>
      </c>
    </row>
    <row r="16" spans="1:136" ht="12.75">
      <c r="A16" s="37">
        <v>44652</v>
      </c>
      <c r="C16" s="3">
        <v>6125000</v>
      </c>
      <c r="D16" s="3">
        <v>2184250</v>
      </c>
      <c r="E16" s="35">
        <f t="shared" si="0"/>
        <v>8309250</v>
      </c>
      <c r="F16" s="35"/>
      <c r="H16" s="47">
        <f t="shared" si="54"/>
        <v>1935417.9249999998</v>
      </c>
      <c r="I16" s="36">
        <f t="shared" si="1"/>
        <v>690193.73105</v>
      </c>
      <c r="J16" s="36">
        <f t="shared" si="2"/>
        <v>2625611.65605</v>
      </c>
      <c r="K16" s="36">
        <f t="shared" si="3"/>
        <v>103035.01460840002</v>
      </c>
      <c r="M16" s="5">
        <f t="shared" si="55"/>
        <v>17842.7375</v>
      </c>
      <c r="N16" s="5">
        <f t="shared" si="4"/>
        <v>6362.938675</v>
      </c>
      <c r="O16" s="5">
        <f t="shared" si="5"/>
        <v>24205.676175</v>
      </c>
      <c r="P16" s="36">
        <f>N$7*'2014A'!$F16</f>
        <v>949.8861694</v>
      </c>
      <c r="R16" s="5">
        <f t="shared" si="56"/>
        <v>1610.875</v>
      </c>
      <c r="S16" s="5">
        <f t="shared" si="6"/>
        <v>574.45775</v>
      </c>
      <c r="T16" s="5">
        <f t="shared" si="7"/>
        <v>2185.33275</v>
      </c>
      <c r="U16" s="36">
        <f>S$7*'2014A'!$F16</f>
        <v>85.757462</v>
      </c>
      <c r="W16" s="5">
        <f t="shared" si="57"/>
        <v>4010.65</v>
      </c>
      <c r="X16" s="5">
        <f t="shared" si="8"/>
        <v>1430.2468999999999</v>
      </c>
      <c r="Y16" s="5">
        <f t="shared" si="9"/>
        <v>5440.8969</v>
      </c>
      <c r="Z16" s="36">
        <f>X$7*'2014A'!$F16</f>
        <v>213.5132552</v>
      </c>
      <c r="AB16" s="5">
        <f t="shared" si="58"/>
        <v>136888.85</v>
      </c>
      <c r="AC16" s="5">
        <f t="shared" si="10"/>
        <v>48816.2401</v>
      </c>
      <c r="AD16" s="5">
        <f t="shared" si="11"/>
        <v>185705.0901</v>
      </c>
      <c r="AE16" s="36">
        <f>AC$7*'2014A'!$F16</f>
        <v>7287.4930408</v>
      </c>
      <c r="AG16" s="5">
        <f t="shared" si="59"/>
        <v>31153.5875</v>
      </c>
      <c r="AH16" s="5">
        <f t="shared" si="12"/>
        <v>11109.750775</v>
      </c>
      <c r="AI16" s="5">
        <f t="shared" si="13"/>
        <v>42263.338275</v>
      </c>
      <c r="AJ16" s="36">
        <f>AH$7*'2014A'!$F16</f>
        <v>1658.5101862000001</v>
      </c>
      <c r="AL16" s="5">
        <f t="shared" si="60"/>
        <v>11360.0375</v>
      </c>
      <c r="AM16" s="5">
        <f t="shared" si="14"/>
        <v>4051.128475</v>
      </c>
      <c r="AN16" s="5">
        <f t="shared" si="15"/>
        <v>15411.165975</v>
      </c>
      <c r="AO16" s="36">
        <f>AM$7*'2014A'!$F16</f>
        <v>604.7694478</v>
      </c>
      <c r="AQ16" s="5">
        <f t="shared" si="61"/>
        <v>34461.700000000004</v>
      </c>
      <c r="AR16" s="5">
        <f t="shared" si="16"/>
        <v>12289.4642</v>
      </c>
      <c r="AS16" s="5">
        <f t="shared" si="17"/>
        <v>46751.16420000001</v>
      </c>
      <c r="AT16" s="36">
        <f>AR$7*'2014A'!$F16</f>
        <v>1834.6227536000001</v>
      </c>
      <c r="AV16" s="5">
        <f t="shared" si="62"/>
        <v>210892.325</v>
      </c>
      <c r="AW16" s="5">
        <f t="shared" si="18"/>
        <v>75206.78545</v>
      </c>
      <c r="AX16" s="5">
        <f t="shared" si="19"/>
        <v>286099.11045000004</v>
      </c>
      <c r="AY16" s="36">
        <f>AW$7*'2014A'!$F16</f>
        <v>11227.1843236</v>
      </c>
      <c r="BA16" s="5">
        <f t="shared" si="63"/>
        <v>11496.625</v>
      </c>
      <c r="BB16" s="5">
        <f t="shared" si="20"/>
        <v>4099.83725</v>
      </c>
      <c r="BC16" s="5">
        <f t="shared" si="21"/>
        <v>15596.46225</v>
      </c>
      <c r="BD16" s="36">
        <f>BB$7*'2014A'!$F16</f>
        <v>612.040898</v>
      </c>
      <c r="BF16" s="5">
        <f t="shared" si="64"/>
        <v>15755.949999999999</v>
      </c>
      <c r="BG16" s="5">
        <f t="shared" si="22"/>
        <v>5618.7647</v>
      </c>
      <c r="BH16" s="5">
        <f t="shared" si="23"/>
        <v>21374.714699999997</v>
      </c>
      <c r="BI16" s="36">
        <f>BG$7*'2014A'!$F16</f>
        <v>838.7927576</v>
      </c>
      <c r="BK16" s="5">
        <f t="shared" si="65"/>
        <v>145936.7</v>
      </c>
      <c r="BL16" s="5">
        <f t="shared" si="24"/>
        <v>52042.8142</v>
      </c>
      <c r="BM16" s="5">
        <f t="shared" si="25"/>
        <v>197979.5142</v>
      </c>
      <c r="BN16" s="36">
        <f>BL$7*'2014A'!$F16</f>
        <v>7769.169553600001</v>
      </c>
      <c r="BP16" s="5">
        <f t="shared" si="66"/>
        <v>1041.25</v>
      </c>
      <c r="BQ16" s="5">
        <f t="shared" si="26"/>
        <v>371.32250000000005</v>
      </c>
      <c r="BR16" s="5">
        <f t="shared" si="27"/>
        <v>1412.5725</v>
      </c>
      <c r="BS16" s="36">
        <f>BQ$7*'2014A'!$F16</f>
        <v>55.43258</v>
      </c>
      <c r="BU16" s="5">
        <f t="shared" si="67"/>
        <v>354.02500000000003</v>
      </c>
      <c r="BV16" s="5">
        <f t="shared" si="28"/>
        <v>126.24965</v>
      </c>
      <c r="BW16" s="5">
        <f t="shared" si="29"/>
        <v>480.27465000000007</v>
      </c>
      <c r="BX16" s="36">
        <f>BV$7*'2014A'!$F16</f>
        <v>18.8470772</v>
      </c>
      <c r="BZ16" s="5">
        <f t="shared" si="68"/>
        <v>19712.7</v>
      </c>
      <c r="CA16" s="5">
        <f t="shared" si="30"/>
        <v>7029.7902</v>
      </c>
      <c r="CB16" s="5">
        <f t="shared" si="31"/>
        <v>26742.4902</v>
      </c>
      <c r="CC16" s="36">
        <f>CA$7*'2014A'!$F16</f>
        <v>1049.4365616</v>
      </c>
      <c r="CE16" s="5">
        <f t="shared" si="69"/>
        <v>57377.1625</v>
      </c>
      <c r="CF16" s="5">
        <f t="shared" si="32"/>
        <v>20461.398725</v>
      </c>
      <c r="CG16" s="5">
        <f t="shared" si="33"/>
        <v>77838.561225</v>
      </c>
      <c r="CH16" s="36">
        <f>CF$7*'2014A'!$F16</f>
        <v>3054.5634098</v>
      </c>
      <c r="CJ16" s="5">
        <f t="shared" si="70"/>
        <v>2912.4375</v>
      </c>
      <c r="CK16" s="5">
        <f t="shared" si="34"/>
        <v>1038.610875</v>
      </c>
      <c r="CL16" s="5">
        <f t="shared" si="35"/>
        <v>3951.0483750000003</v>
      </c>
      <c r="CM16" s="36">
        <f>CK$7*'2014A'!$F16</f>
        <v>155.048187</v>
      </c>
      <c r="CO16" s="5">
        <f t="shared" si="71"/>
        <v>38471.7375</v>
      </c>
      <c r="CP16" s="5">
        <f t="shared" si="36"/>
        <v>13719.492675000001</v>
      </c>
      <c r="CQ16" s="5">
        <f t="shared" si="37"/>
        <v>52191.230175000004</v>
      </c>
      <c r="CR16" s="36">
        <f>CP$7*'2014A'!$F16</f>
        <v>2048.1034014</v>
      </c>
      <c r="CT16" s="5">
        <f t="shared" si="72"/>
        <v>826190.8374999999</v>
      </c>
      <c r="CU16" s="5">
        <f t="shared" si="38"/>
        <v>294629.76927499997</v>
      </c>
      <c r="CV16" s="5">
        <f t="shared" si="39"/>
        <v>1120820.6067749998</v>
      </c>
      <c r="CW16" s="36">
        <f>CU$7*'2014A'!$F16</f>
        <v>43983.567534199996</v>
      </c>
      <c r="CY16" s="5">
        <f t="shared" si="73"/>
        <v>16089.7625</v>
      </c>
      <c r="CZ16" s="5">
        <f t="shared" si="40"/>
        <v>5737.8063250000005</v>
      </c>
      <c r="DA16" s="36">
        <f t="shared" si="41"/>
        <v>21827.568825000002</v>
      </c>
      <c r="DB16" s="36">
        <f>CZ$7*'2014A'!$F16</f>
        <v>856.5637906000001</v>
      </c>
      <c r="DD16" s="5">
        <f t="shared" si="74"/>
        <v>18422.775</v>
      </c>
      <c r="DE16" s="5">
        <f t="shared" si="42"/>
        <v>6569.78715</v>
      </c>
      <c r="DF16" s="36">
        <f t="shared" si="43"/>
        <v>24992.56215</v>
      </c>
      <c r="DG16" s="36">
        <f>DE$7*'2014A'!$F16</f>
        <v>980.7653772000001</v>
      </c>
      <c r="DI16" s="5">
        <f t="shared" si="75"/>
        <v>4394.075</v>
      </c>
      <c r="DJ16" s="5">
        <f t="shared" si="44"/>
        <v>1566.98095</v>
      </c>
      <c r="DK16" s="36">
        <f t="shared" si="45"/>
        <v>5961.05595</v>
      </c>
      <c r="DL16" s="36">
        <f>DJ$7*'2014A'!$F16</f>
        <v>233.9254876</v>
      </c>
      <c r="DN16" s="5">
        <f t="shared" si="76"/>
        <v>63561.575000000004</v>
      </c>
      <c r="DO16" s="5">
        <f t="shared" si="46"/>
        <v>22666.83595</v>
      </c>
      <c r="DP16" s="5">
        <f t="shared" si="47"/>
        <v>86228.41095</v>
      </c>
      <c r="DQ16" s="36">
        <f>DO$7*'2014A'!$F16</f>
        <v>3383.8003276</v>
      </c>
      <c r="DS16" s="5">
        <f t="shared" si="77"/>
        <v>239053.85</v>
      </c>
      <c r="DT16" s="5">
        <f t="shared" si="48"/>
        <v>85249.5301</v>
      </c>
      <c r="DU16" s="5">
        <f t="shared" si="49"/>
        <v>324303.3801</v>
      </c>
      <c r="DV16" s="36">
        <f>DT$7*'2014A'!$F16</f>
        <v>12726.4073608</v>
      </c>
      <c r="DX16" s="5">
        <f t="shared" si="78"/>
        <v>1669.0625</v>
      </c>
      <c r="DY16" s="5">
        <f t="shared" si="50"/>
        <v>595.208125</v>
      </c>
      <c r="DZ16" s="5">
        <f t="shared" si="51"/>
        <v>2264.270625</v>
      </c>
      <c r="EA16" s="36">
        <f>DY$7*'2014A'!$F16</f>
        <v>88.855165</v>
      </c>
      <c r="EC16" s="5">
        <f t="shared" si="79"/>
        <v>24756.6375</v>
      </c>
      <c r="ED16" s="36">
        <f t="shared" si="52"/>
        <v>8828.520075</v>
      </c>
      <c r="EE16" s="36">
        <f t="shared" si="53"/>
        <v>33585.157575000005</v>
      </c>
      <c r="EF16" s="36">
        <f>ED$7*'2014A'!$F16</f>
        <v>1317.9585006</v>
      </c>
    </row>
    <row r="17" spans="1:136" ht="12.75">
      <c r="A17" s="37">
        <v>44835</v>
      </c>
      <c r="D17" s="3">
        <v>2031125</v>
      </c>
      <c r="E17" s="35">
        <f t="shared" si="0"/>
        <v>2031125</v>
      </c>
      <c r="F17" s="35"/>
      <c r="H17" s="47"/>
      <c r="I17" s="36">
        <f t="shared" si="1"/>
        <v>641808.2829250002</v>
      </c>
      <c r="J17" s="36">
        <f t="shared" si="2"/>
        <v>641808.2829250002</v>
      </c>
      <c r="K17" s="36">
        <f t="shared" si="3"/>
        <v>103035.01460840002</v>
      </c>
      <c r="N17" s="5">
        <f t="shared" si="4"/>
        <v>5916.8702375</v>
      </c>
      <c r="O17" s="5">
        <f t="shared" si="5"/>
        <v>5916.8702375</v>
      </c>
      <c r="P17" s="36">
        <f>N$7*'2014A'!$F17</f>
        <v>949.8861694</v>
      </c>
      <c r="S17" s="5">
        <f t="shared" si="6"/>
        <v>534.185875</v>
      </c>
      <c r="T17" s="5">
        <f t="shared" si="7"/>
        <v>534.185875</v>
      </c>
      <c r="U17" s="36">
        <f>S$7*'2014A'!$F17</f>
        <v>85.757462</v>
      </c>
      <c r="X17" s="5">
        <f t="shared" si="8"/>
        <v>1329.98065</v>
      </c>
      <c r="Y17" s="5">
        <f t="shared" si="9"/>
        <v>1329.98065</v>
      </c>
      <c r="Z17" s="36">
        <f>X$7*'2014A'!$F17</f>
        <v>213.5132552</v>
      </c>
      <c r="AC17" s="5">
        <f t="shared" si="10"/>
        <v>45394.01885</v>
      </c>
      <c r="AD17" s="5">
        <f t="shared" si="11"/>
        <v>45394.01885</v>
      </c>
      <c r="AE17" s="36">
        <f>AC$7*'2014A'!$F17</f>
        <v>7287.4930408</v>
      </c>
      <c r="AH17" s="5">
        <f t="shared" si="12"/>
        <v>10330.9110875</v>
      </c>
      <c r="AI17" s="5">
        <f t="shared" si="13"/>
        <v>10330.9110875</v>
      </c>
      <c r="AJ17" s="36">
        <f>AH$7*'2014A'!$F17</f>
        <v>1658.5101862000001</v>
      </c>
      <c r="AM17" s="5">
        <f t="shared" si="14"/>
        <v>3767.1275375</v>
      </c>
      <c r="AN17" s="5">
        <f t="shared" si="15"/>
        <v>3767.1275375</v>
      </c>
      <c r="AO17" s="36">
        <f>AM$7*'2014A'!$F17</f>
        <v>604.7694478</v>
      </c>
      <c r="AR17" s="5">
        <f t="shared" si="16"/>
        <v>11427.9217</v>
      </c>
      <c r="AS17" s="5">
        <f t="shared" si="17"/>
        <v>11427.9217</v>
      </c>
      <c r="AT17" s="36">
        <f>AR$7*'2014A'!$F17</f>
        <v>1834.6227536000001</v>
      </c>
      <c r="AW17" s="5">
        <f t="shared" si="18"/>
        <v>69934.477325</v>
      </c>
      <c r="AX17" s="5">
        <f t="shared" si="19"/>
        <v>69934.477325</v>
      </c>
      <c r="AY17" s="36">
        <f>AW$7*'2014A'!$F17</f>
        <v>11227.1843236</v>
      </c>
      <c r="BB17" s="5">
        <f t="shared" si="20"/>
        <v>3812.421625</v>
      </c>
      <c r="BC17" s="5">
        <f t="shared" si="21"/>
        <v>3812.421625</v>
      </c>
      <c r="BD17" s="36">
        <f>BB$7*'2014A'!$F17</f>
        <v>612.040898</v>
      </c>
      <c r="BG17" s="5">
        <f t="shared" si="22"/>
        <v>5224.865949999999</v>
      </c>
      <c r="BH17" s="5">
        <f t="shared" si="23"/>
        <v>5224.865949999999</v>
      </c>
      <c r="BI17" s="36">
        <f>BG$7*'2014A'!$F17</f>
        <v>838.7927576</v>
      </c>
      <c r="BL17" s="5">
        <f t="shared" si="24"/>
        <v>48394.396700000005</v>
      </c>
      <c r="BM17" s="5">
        <f t="shared" si="25"/>
        <v>48394.396700000005</v>
      </c>
      <c r="BN17" s="36">
        <f>BL$7*'2014A'!$F17</f>
        <v>7769.169553600001</v>
      </c>
      <c r="BQ17" s="5">
        <f t="shared" si="26"/>
        <v>345.29125000000005</v>
      </c>
      <c r="BR17" s="5">
        <f t="shared" si="27"/>
        <v>345.29125000000005</v>
      </c>
      <c r="BS17" s="36">
        <f>BQ$7*'2014A'!$F17</f>
        <v>55.43258</v>
      </c>
      <c r="BV17" s="5">
        <f t="shared" si="28"/>
        <v>117.39902500000001</v>
      </c>
      <c r="BW17" s="5">
        <f t="shared" si="29"/>
        <v>117.39902500000001</v>
      </c>
      <c r="BX17" s="36">
        <f>BV$7*'2014A'!$F17</f>
        <v>18.8470772</v>
      </c>
      <c r="CA17" s="5">
        <f t="shared" si="30"/>
        <v>6536.9727</v>
      </c>
      <c r="CB17" s="5">
        <f t="shared" si="31"/>
        <v>6536.9727</v>
      </c>
      <c r="CC17" s="36">
        <f>CA$7*'2014A'!$F17</f>
        <v>1049.4365616</v>
      </c>
      <c r="CF17" s="5">
        <f t="shared" si="32"/>
        <v>19026.9696625</v>
      </c>
      <c r="CG17" s="5">
        <f t="shared" si="33"/>
        <v>19026.9696625</v>
      </c>
      <c r="CH17" s="36">
        <f>CF$7*'2014A'!$F17</f>
        <v>3054.5634098</v>
      </c>
      <c r="CK17" s="5">
        <f t="shared" si="34"/>
        <v>965.7999375</v>
      </c>
      <c r="CL17" s="5">
        <f t="shared" si="35"/>
        <v>965.7999375</v>
      </c>
      <c r="CM17" s="36">
        <f>CK$7*'2014A'!$F17</f>
        <v>155.048187</v>
      </c>
      <c r="CP17" s="5">
        <f t="shared" si="36"/>
        <v>12757.6992375</v>
      </c>
      <c r="CQ17" s="5">
        <f t="shared" si="37"/>
        <v>12757.6992375</v>
      </c>
      <c r="CR17" s="36">
        <f>CP$7*'2014A'!$F17</f>
        <v>2048.1034014</v>
      </c>
      <c r="CU17" s="5">
        <f t="shared" si="38"/>
        <v>273974.9983375</v>
      </c>
      <c r="CV17" s="5">
        <f t="shared" si="39"/>
        <v>273974.9983375</v>
      </c>
      <c r="CW17" s="36">
        <f>CU$7*'2014A'!$F17</f>
        <v>43983.567534199996</v>
      </c>
      <c r="CZ17" s="5">
        <f t="shared" si="40"/>
        <v>5335.5622625000005</v>
      </c>
      <c r="DA17" s="36">
        <f t="shared" si="41"/>
        <v>5335.5622625000005</v>
      </c>
      <c r="DB17" s="36">
        <f>CZ$7*'2014A'!$F17</f>
        <v>856.5637906000001</v>
      </c>
      <c r="DE17" s="5">
        <f t="shared" si="42"/>
        <v>6109.217775</v>
      </c>
      <c r="DF17" s="36">
        <f t="shared" si="43"/>
        <v>6109.217775</v>
      </c>
      <c r="DG17" s="36">
        <f>DE$7*'2014A'!$F17</f>
        <v>980.7653772000001</v>
      </c>
      <c r="DJ17" s="5">
        <f t="shared" si="44"/>
        <v>1457.129075</v>
      </c>
      <c r="DK17" s="36">
        <f t="shared" si="45"/>
        <v>1457.129075</v>
      </c>
      <c r="DL17" s="36">
        <f>DJ$7*'2014A'!$F17</f>
        <v>233.9254876</v>
      </c>
      <c r="DO17" s="5">
        <f t="shared" si="46"/>
        <v>21077.796575</v>
      </c>
      <c r="DP17" s="5">
        <f t="shared" si="47"/>
        <v>21077.796575</v>
      </c>
      <c r="DQ17" s="36">
        <f>DO$7*'2014A'!$F17</f>
        <v>3383.8003276</v>
      </c>
      <c r="DT17" s="5">
        <f t="shared" si="48"/>
        <v>79273.18385</v>
      </c>
      <c r="DU17" s="5">
        <f t="shared" si="49"/>
        <v>79273.18385</v>
      </c>
      <c r="DV17" s="36">
        <f>DT$7*'2014A'!$F17</f>
        <v>12726.4073608</v>
      </c>
      <c r="DY17" s="5">
        <f t="shared" si="50"/>
        <v>553.4815625</v>
      </c>
      <c r="DZ17" s="5">
        <f t="shared" si="51"/>
        <v>553.4815625</v>
      </c>
      <c r="EA17" s="36">
        <f>DY$7*'2014A'!$F17</f>
        <v>88.855165</v>
      </c>
      <c r="ED17" s="36">
        <f t="shared" si="52"/>
        <v>8209.6041375</v>
      </c>
      <c r="EE17" s="36">
        <f t="shared" si="53"/>
        <v>8209.6041375</v>
      </c>
      <c r="EF17" s="36">
        <f>ED$7*'2014A'!$F17</f>
        <v>1317.9585006</v>
      </c>
    </row>
    <row r="18" spans="1:136" ht="12.75">
      <c r="A18" s="37">
        <v>45017</v>
      </c>
      <c r="C18" s="3">
        <v>6430000</v>
      </c>
      <c r="D18" s="3">
        <v>2031125</v>
      </c>
      <c r="E18" s="35">
        <f t="shared" si="0"/>
        <v>8461125</v>
      </c>
      <c r="F18" s="35"/>
      <c r="H18" s="47">
        <f t="shared" si="54"/>
        <v>2031793.838</v>
      </c>
      <c r="I18" s="36">
        <f t="shared" si="1"/>
        <v>641808.2829250002</v>
      </c>
      <c r="J18" s="36">
        <f t="shared" si="2"/>
        <v>2673602.120925</v>
      </c>
      <c r="K18" s="36">
        <f t="shared" si="3"/>
        <v>103035.01460840002</v>
      </c>
      <c r="M18" s="5">
        <f t="shared" si="55"/>
        <v>18731.233</v>
      </c>
      <c r="N18" s="5">
        <f t="shared" si="4"/>
        <v>5916.8702375</v>
      </c>
      <c r="O18" s="5">
        <f t="shared" si="5"/>
        <v>24648.1032375</v>
      </c>
      <c r="P18" s="36">
        <f>N$7*'2014A'!$F18</f>
        <v>949.8861694</v>
      </c>
      <c r="R18" s="5">
        <f t="shared" si="56"/>
        <v>1691.09</v>
      </c>
      <c r="S18" s="5">
        <f t="shared" si="6"/>
        <v>534.185875</v>
      </c>
      <c r="T18" s="5">
        <f t="shared" si="7"/>
        <v>2225.275875</v>
      </c>
      <c r="U18" s="36">
        <f>S$7*'2014A'!$F18</f>
        <v>85.757462</v>
      </c>
      <c r="W18" s="5">
        <f t="shared" si="57"/>
        <v>4210.364</v>
      </c>
      <c r="X18" s="5">
        <f t="shared" si="8"/>
        <v>1329.98065</v>
      </c>
      <c r="Y18" s="5">
        <f t="shared" si="9"/>
        <v>5540.344649999999</v>
      </c>
      <c r="Z18" s="36">
        <f>X$7*'2014A'!$F18</f>
        <v>213.5132552</v>
      </c>
      <c r="AB18" s="5">
        <f t="shared" si="58"/>
        <v>143705.356</v>
      </c>
      <c r="AC18" s="5">
        <f t="shared" si="10"/>
        <v>45394.01885</v>
      </c>
      <c r="AD18" s="5">
        <f t="shared" si="11"/>
        <v>189099.37485</v>
      </c>
      <c r="AE18" s="36">
        <f>AC$7*'2014A'!$F18</f>
        <v>7287.4930408</v>
      </c>
      <c r="AG18" s="5">
        <f t="shared" si="59"/>
        <v>32704.909</v>
      </c>
      <c r="AH18" s="5">
        <f t="shared" si="12"/>
        <v>10330.9110875</v>
      </c>
      <c r="AI18" s="5">
        <f t="shared" si="13"/>
        <v>43035.820087500004</v>
      </c>
      <c r="AJ18" s="36">
        <f>AH$7*'2014A'!$F18</f>
        <v>1658.5101862000001</v>
      </c>
      <c r="AL18" s="5">
        <f t="shared" si="60"/>
        <v>11925.721</v>
      </c>
      <c r="AM18" s="5">
        <f t="shared" si="14"/>
        <v>3767.1275375</v>
      </c>
      <c r="AN18" s="5">
        <f t="shared" si="15"/>
        <v>15692.8485375</v>
      </c>
      <c r="AO18" s="36">
        <f>AM$7*'2014A'!$F18</f>
        <v>604.7694478</v>
      </c>
      <c r="AQ18" s="5">
        <f t="shared" si="61"/>
        <v>36177.752</v>
      </c>
      <c r="AR18" s="5">
        <f t="shared" si="16"/>
        <v>11427.9217</v>
      </c>
      <c r="AS18" s="5">
        <f t="shared" si="17"/>
        <v>47605.6737</v>
      </c>
      <c r="AT18" s="36">
        <f>AR$7*'2014A'!$F18</f>
        <v>1834.6227536000001</v>
      </c>
      <c r="AV18" s="5">
        <f t="shared" si="62"/>
        <v>221393.902</v>
      </c>
      <c r="AW18" s="5">
        <f t="shared" si="18"/>
        <v>69934.477325</v>
      </c>
      <c r="AX18" s="5">
        <f t="shared" si="19"/>
        <v>291328.379325</v>
      </c>
      <c r="AY18" s="36">
        <f>AW$7*'2014A'!$F18</f>
        <v>11227.1843236</v>
      </c>
      <c r="BA18" s="5">
        <f t="shared" si="63"/>
        <v>12069.11</v>
      </c>
      <c r="BB18" s="5">
        <f t="shared" si="20"/>
        <v>3812.421625</v>
      </c>
      <c r="BC18" s="5">
        <f t="shared" si="21"/>
        <v>15881.531625</v>
      </c>
      <c r="BD18" s="36">
        <f>BB$7*'2014A'!$F18</f>
        <v>612.040898</v>
      </c>
      <c r="BF18" s="5">
        <f t="shared" si="64"/>
        <v>16540.532</v>
      </c>
      <c r="BG18" s="5">
        <f t="shared" si="22"/>
        <v>5224.865949999999</v>
      </c>
      <c r="BH18" s="5">
        <f t="shared" si="23"/>
        <v>21765.39795</v>
      </c>
      <c r="BI18" s="36">
        <f>BG$7*'2014A'!$F18</f>
        <v>838.7927576</v>
      </c>
      <c r="BK18" s="5">
        <f t="shared" si="65"/>
        <v>153203.752</v>
      </c>
      <c r="BL18" s="5">
        <f t="shared" si="24"/>
        <v>48394.396700000005</v>
      </c>
      <c r="BM18" s="5">
        <f t="shared" si="25"/>
        <v>201598.14870000002</v>
      </c>
      <c r="BN18" s="36">
        <f>BL$7*'2014A'!$F18</f>
        <v>7769.169553600001</v>
      </c>
      <c r="BP18" s="5">
        <f t="shared" si="66"/>
        <v>1093.1000000000001</v>
      </c>
      <c r="BQ18" s="5">
        <f t="shared" si="26"/>
        <v>345.29125000000005</v>
      </c>
      <c r="BR18" s="5">
        <f t="shared" si="27"/>
        <v>1438.3912500000001</v>
      </c>
      <c r="BS18" s="36">
        <f>BQ$7*'2014A'!$F18</f>
        <v>55.43258</v>
      </c>
      <c r="BU18" s="5">
        <f t="shared" si="67"/>
        <v>371.654</v>
      </c>
      <c r="BV18" s="5">
        <f t="shared" si="28"/>
        <v>117.39902500000001</v>
      </c>
      <c r="BW18" s="5">
        <f t="shared" si="29"/>
        <v>489.053025</v>
      </c>
      <c r="BX18" s="36">
        <f>BV$7*'2014A'!$F18</f>
        <v>18.8470772</v>
      </c>
      <c r="BZ18" s="5">
        <f t="shared" si="68"/>
        <v>20694.312</v>
      </c>
      <c r="CA18" s="5">
        <f t="shared" si="30"/>
        <v>6536.9727</v>
      </c>
      <c r="CB18" s="5">
        <f t="shared" si="31"/>
        <v>27231.284700000004</v>
      </c>
      <c r="CC18" s="36">
        <f>CA$7*'2014A'!$F18</f>
        <v>1049.4365616</v>
      </c>
      <c r="CE18" s="5">
        <f t="shared" si="69"/>
        <v>60234.310999999994</v>
      </c>
      <c r="CF18" s="5">
        <f t="shared" si="32"/>
        <v>19026.9696625</v>
      </c>
      <c r="CG18" s="5">
        <f t="shared" si="33"/>
        <v>79261.2806625</v>
      </c>
      <c r="CH18" s="36">
        <f>CF$7*'2014A'!$F18</f>
        <v>3054.5634098</v>
      </c>
      <c r="CJ18" s="5">
        <f t="shared" si="70"/>
        <v>3057.465</v>
      </c>
      <c r="CK18" s="5">
        <f t="shared" si="34"/>
        <v>965.7999375</v>
      </c>
      <c r="CL18" s="5">
        <f t="shared" si="35"/>
        <v>4023.2649375</v>
      </c>
      <c r="CM18" s="36">
        <f>CK$7*'2014A'!$F18</f>
        <v>155.048187</v>
      </c>
      <c r="CO18" s="5">
        <f t="shared" si="71"/>
        <v>40387.473000000005</v>
      </c>
      <c r="CP18" s="5">
        <f t="shared" si="36"/>
        <v>12757.6992375</v>
      </c>
      <c r="CQ18" s="5">
        <f t="shared" si="37"/>
        <v>53145.17223750001</v>
      </c>
      <c r="CR18" s="36">
        <f>CP$7*'2014A'!$F18</f>
        <v>2048.1034014</v>
      </c>
      <c r="CT18" s="5">
        <f t="shared" si="72"/>
        <v>867331.769</v>
      </c>
      <c r="CU18" s="5">
        <f t="shared" si="38"/>
        <v>273974.9983375</v>
      </c>
      <c r="CV18" s="5">
        <f t="shared" si="39"/>
        <v>1141306.7673375</v>
      </c>
      <c r="CW18" s="36">
        <f>CU$7*'2014A'!$F18</f>
        <v>43983.567534199996</v>
      </c>
      <c r="CY18" s="5">
        <f t="shared" si="73"/>
        <v>16890.967</v>
      </c>
      <c r="CZ18" s="5">
        <f t="shared" si="40"/>
        <v>5335.5622625000005</v>
      </c>
      <c r="DA18" s="36">
        <f t="shared" si="41"/>
        <v>22226.5292625</v>
      </c>
      <c r="DB18" s="36">
        <f>CZ$7*'2014A'!$F18</f>
        <v>856.5637906000001</v>
      </c>
      <c r="DD18" s="5">
        <f t="shared" si="74"/>
        <v>19340.154000000002</v>
      </c>
      <c r="DE18" s="5">
        <f t="shared" si="42"/>
        <v>6109.217775</v>
      </c>
      <c r="DF18" s="36">
        <f t="shared" si="43"/>
        <v>25449.371775000003</v>
      </c>
      <c r="DG18" s="36">
        <f>DE$7*'2014A'!$F18</f>
        <v>980.7653772000001</v>
      </c>
      <c r="DI18" s="5">
        <f t="shared" si="75"/>
        <v>4612.882</v>
      </c>
      <c r="DJ18" s="5">
        <f t="shared" si="44"/>
        <v>1457.129075</v>
      </c>
      <c r="DK18" s="36">
        <f t="shared" si="45"/>
        <v>6070.011074999999</v>
      </c>
      <c r="DL18" s="36">
        <f>DJ$7*'2014A'!$F18</f>
        <v>233.9254876</v>
      </c>
      <c r="DN18" s="5">
        <f t="shared" si="76"/>
        <v>66726.682</v>
      </c>
      <c r="DO18" s="5">
        <f t="shared" si="46"/>
        <v>21077.796575</v>
      </c>
      <c r="DP18" s="5">
        <f t="shared" si="47"/>
        <v>87804.478575</v>
      </c>
      <c r="DQ18" s="36">
        <f>DO$7*'2014A'!$F18</f>
        <v>3383.8003276</v>
      </c>
      <c r="DS18" s="5">
        <f t="shared" si="77"/>
        <v>250957.756</v>
      </c>
      <c r="DT18" s="5">
        <f t="shared" si="48"/>
        <v>79273.18385</v>
      </c>
      <c r="DU18" s="5">
        <f t="shared" si="49"/>
        <v>330230.93984999997</v>
      </c>
      <c r="DV18" s="36">
        <f>DT$7*'2014A'!$F18</f>
        <v>12726.4073608</v>
      </c>
      <c r="DX18" s="5">
        <f t="shared" si="78"/>
        <v>1752.175</v>
      </c>
      <c r="DY18" s="5">
        <f t="shared" si="50"/>
        <v>553.4815625</v>
      </c>
      <c r="DZ18" s="5">
        <f t="shared" si="51"/>
        <v>2305.6565625</v>
      </c>
      <c r="EA18" s="36">
        <f>DY$7*'2014A'!$F18</f>
        <v>88.855165</v>
      </c>
      <c r="EC18" s="5">
        <f t="shared" si="79"/>
        <v>25989.417</v>
      </c>
      <c r="ED18" s="36">
        <f t="shared" si="52"/>
        <v>8209.6041375</v>
      </c>
      <c r="EE18" s="36">
        <f t="shared" si="53"/>
        <v>34199.0211375</v>
      </c>
      <c r="EF18" s="36">
        <f>ED$7*'2014A'!$F18</f>
        <v>1317.9585006</v>
      </c>
    </row>
    <row r="19" spans="1:136" ht="12.75">
      <c r="A19" s="37">
        <v>45200</v>
      </c>
      <c r="D19" s="3">
        <v>1870375</v>
      </c>
      <c r="E19" s="35">
        <f t="shared" si="0"/>
        <v>1870375</v>
      </c>
      <c r="F19" s="35"/>
      <c r="H19" s="47"/>
      <c r="I19" s="36">
        <f t="shared" si="1"/>
        <v>591013.4369750001</v>
      </c>
      <c r="J19" s="36">
        <f t="shared" si="2"/>
        <v>591013.4369750001</v>
      </c>
      <c r="K19" s="36">
        <f t="shared" si="3"/>
        <v>103035.01460840002</v>
      </c>
      <c r="N19" s="5">
        <f t="shared" si="4"/>
        <v>5448.5894125</v>
      </c>
      <c r="O19" s="5">
        <f t="shared" si="5"/>
        <v>5448.5894125</v>
      </c>
      <c r="P19" s="36">
        <f>N$7*'2014A'!$F19</f>
        <v>949.8861694</v>
      </c>
      <c r="S19" s="5">
        <f t="shared" si="6"/>
        <v>491.908625</v>
      </c>
      <c r="T19" s="5">
        <f t="shared" si="7"/>
        <v>491.908625</v>
      </c>
      <c r="U19" s="36">
        <f>S$7*'2014A'!$F19</f>
        <v>85.757462</v>
      </c>
      <c r="X19" s="5">
        <f t="shared" si="8"/>
        <v>1224.72155</v>
      </c>
      <c r="Y19" s="5">
        <f t="shared" si="9"/>
        <v>1224.72155</v>
      </c>
      <c r="Z19" s="36">
        <f>X$7*'2014A'!$F19</f>
        <v>213.5132552</v>
      </c>
      <c r="AC19" s="5">
        <f t="shared" si="10"/>
        <v>41801.38495</v>
      </c>
      <c r="AD19" s="5">
        <f t="shared" si="11"/>
        <v>41801.38495</v>
      </c>
      <c r="AE19" s="36">
        <f>AC$7*'2014A'!$F19</f>
        <v>7287.4930408</v>
      </c>
      <c r="AH19" s="5">
        <f t="shared" si="12"/>
        <v>9513.2883625</v>
      </c>
      <c r="AI19" s="5">
        <f t="shared" si="13"/>
        <v>9513.2883625</v>
      </c>
      <c r="AJ19" s="36">
        <f>AH$7*'2014A'!$F19</f>
        <v>1658.5101862000001</v>
      </c>
      <c r="AM19" s="5">
        <f t="shared" si="14"/>
        <v>3468.9845124999997</v>
      </c>
      <c r="AN19" s="5">
        <f t="shared" si="15"/>
        <v>3468.9845124999997</v>
      </c>
      <c r="AO19" s="36">
        <f>AM$7*'2014A'!$F19</f>
        <v>604.7694478</v>
      </c>
      <c r="AR19" s="5">
        <f t="shared" si="16"/>
        <v>10523.4779</v>
      </c>
      <c r="AS19" s="5">
        <f t="shared" si="17"/>
        <v>10523.4779</v>
      </c>
      <c r="AT19" s="36">
        <f>AR$7*'2014A'!$F19</f>
        <v>1834.6227536000001</v>
      </c>
      <c r="AW19" s="5">
        <f t="shared" si="18"/>
        <v>64399.629775</v>
      </c>
      <c r="AX19" s="5">
        <f t="shared" si="19"/>
        <v>64399.629775</v>
      </c>
      <c r="AY19" s="36">
        <f>AW$7*'2014A'!$F19</f>
        <v>11227.1843236</v>
      </c>
      <c r="BB19" s="5">
        <f t="shared" si="20"/>
        <v>3510.693875</v>
      </c>
      <c r="BC19" s="5">
        <f t="shared" si="21"/>
        <v>3510.693875</v>
      </c>
      <c r="BD19" s="36">
        <f>BB$7*'2014A'!$F19</f>
        <v>612.040898</v>
      </c>
      <c r="BG19" s="5">
        <f t="shared" si="22"/>
        <v>4811.35265</v>
      </c>
      <c r="BH19" s="5">
        <f t="shared" si="23"/>
        <v>4811.35265</v>
      </c>
      <c r="BI19" s="36">
        <f>BG$7*'2014A'!$F19</f>
        <v>838.7927576</v>
      </c>
      <c r="BL19" s="5">
        <f t="shared" si="24"/>
        <v>44564.3029</v>
      </c>
      <c r="BM19" s="5">
        <f t="shared" si="25"/>
        <v>44564.3029</v>
      </c>
      <c r="BN19" s="36">
        <f>BL$7*'2014A'!$F19</f>
        <v>7769.169553600001</v>
      </c>
      <c r="BQ19" s="5">
        <f t="shared" si="26"/>
        <v>317.96375</v>
      </c>
      <c r="BR19" s="5">
        <f t="shared" si="27"/>
        <v>317.96375</v>
      </c>
      <c r="BS19" s="36">
        <f>BQ$7*'2014A'!$F19</f>
        <v>55.43258</v>
      </c>
      <c r="BV19" s="5">
        <f t="shared" si="28"/>
        <v>108.107675</v>
      </c>
      <c r="BW19" s="5">
        <f t="shared" si="29"/>
        <v>108.107675</v>
      </c>
      <c r="BX19" s="36">
        <f>BV$7*'2014A'!$F19</f>
        <v>18.8470772</v>
      </c>
      <c r="CA19" s="5">
        <f t="shared" si="30"/>
        <v>6019.6149000000005</v>
      </c>
      <c r="CB19" s="5">
        <f t="shared" si="31"/>
        <v>6019.6149000000005</v>
      </c>
      <c r="CC19" s="36">
        <f>CA$7*'2014A'!$F19</f>
        <v>1049.4365616</v>
      </c>
      <c r="CF19" s="5">
        <f t="shared" si="32"/>
        <v>17521.1118875</v>
      </c>
      <c r="CG19" s="5">
        <f t="shared" si="33"/>
        <v>17521.1118875</v>
      </c>
      <c r="CH19" s="36">
        <f>CF$7*'2014A'!$F19</f>
        <v>3054.5634098</v>
      </c>
      <c r="CK19" s="5">
        <f t="shared" si="34"/>
        <v>889.3633125</v>
      </c>
      <c r="CL19" s="5">
        <f t="shared" si="35"/>
        <v>889.3633125</v>
      </c>
      <c r="CM19" s="36">
        <f>CK$7*'2014A'!$F19</f>
        <v>155.048187</v>
      </c>
      <c r="CP19" s="5">
        <f t="shared" si="36"/>
        <v>11748.0124125</v>
      </c>
      <c r="CQ19" s="5">
        <f t="shared" si="37"/>
        <v>11748.0124125</v>
      </c>
      <c r="CR19" s="36">
        <f>CP$7*'2014A'!$F19</f>
        <v>2048.1034014</v>
      </c>
      <c r="CU19" s="5">
        <f t="shared" si="38"/>
        <v>252291.70411249998</v>
      </c>
      <c r="CV19" s="5">
        <f t="shared" si="39"/>
        <v>252291.70411249998</v>
      </c>
      <c r="CW19" s="36">
        <f>CU$7*'2014A'!$F19</f>
        <v>43983.567534199996</v>
      </c>
      <c r="CZ19" s="5">
        <f t="shared" si="40"/>
        <v>4913.2880875</v>
      </c>
      <c r="DA19" s="36">
        <f t="shared" si="41"/>
        <v>4913.2880875</v>
      </c>
      <c r="DB19" s="36">
        <f>CZ$7*'2014A'!$F19</f>
        <v>856.5637906000001</v>
      </c>
      <c r="DE19" s="5">
        <f t="shared" si="42"/>
        <v>5625.713925</v>
      </c>
      <c r="DF19" s="36">
        <f t="shared" si="43"/>
        <v>5625.713925</v>
      </c>
      <c r="DG19" s="36">
        <f>DE$7*'2014A'!$F19</f>
        <v>980.7653772000001</v>
      </c>
      <c r="DJ19" s="5">
        <f t="shared" si="44"/>
        <v>1341.807025</v>
      </c>
      <c r="DK19" s="36">
        <f t="shared" si="45"/>
        <v>1341.807025</v>
      </c>
      <c r="DL19" s="36">
        <f>DJ$7*'2014A'!$F19</f>
        <v>233.9254876</v>
      </c>
      <c r="DO19" s="5">
        <f t="shared" si="46"/>
        <v>19409.629525</v>
      </c>
      <c r="DP19" s="5">
        <f t="shared" si="47"/>
        <v>19409.629525</v>
      </c>
      <c r="DQ19" s="36">
        <f>DO$7*'2014A'!$F19</f>
        <v>3383.8003276</v>
      </c>
      <c r="DT19" s="5">
        <f t="shared" si="48"/>
        <v>72999.23995</v>
      </c>
      <c r="DU19" s="5">
        <f t="shared" si="49"/>
        <v>72999.23995</v>
      </c>
      <c r="DV19" s="36">
        <f>DT$7*'2014A'!$F19</f>
        <v>12726.4073608</v>
      </c>
      <c r="DY19" s="5">
        <f t="shared" si="50"/>
        <v>509.6771875</v>
      </c>
      <c r="DZ19" s="5">
        <f t="shared" si="51"/>
        <v>509.6771875</v>
      </c>
      <c r="EA19" s="36">
        <f>DY$7*'2014A'!$F19</f>
        <v>88.855165</v>
      </c>
      <c r="ED19" s="36">
        <f t="shared" si="52"/>
        <v>7559.868712500001</v>
      </c>
      <c r="EE19" s="36">
        <f t="shared" si="53"/>
        <v>7559.868712500001</v>
      </c>
      <c r="EF19" s="36">
        <f>ED$7*'2014A'!$F19</f>
        <v>1317.9585006</v>
      </c>
    </row>
    <row r="20" spans="1:136" ht="12.75">
      <c r="A20" s="37">
        <v>45383</v>
      </c>
      <c r="C20" s="3">
        <v>6750000</v>
      </c>
      <c r="D20" s="3">
        <v>1870375</v>
      </c>
      <c r="E20" s="35">
        <f t="shared" si="0"/>
        <v>8620375</v>
      </c>
      <c r="F20" s="35"/>
      <c r="H20" s="47">
        <f t="shared" si="54"/>
        <v>2132909.55</v>
      </c>
      <c r="I20" s="36">
        <f t="shared" si="1"/>
        <v>591013.4369750001</v>
      </c>
      <c r="J20" s="36">
        <f t="shared" si="2"/>
        <v>2723922.986975</v>
      </c>
      <c r="K20" s="36">
        <f t="shared" si="3"/>
        <v>103035.01460840002</v>
      </c>
      <c r="M20" s="5">
        <f t="shared" si="55"/>
        <v>19663.425</v>
      </c>
      <c r="N20" s="5">
        <f t="shared" si="4"/>
        <v>5448.5894125</v>
      </c>
      <c r="O20" s="5">
        <f t="shared" si="5"/>
        <v>25112.0144125</v>
      </c>
      <c r="P20" s="36">
        <f>N$7*'2014A'!$F20</f>
        <v>949.8861694</v>
      </c>
      <c r="R20" s="5">
        <f t="shared" si="56"/>
        <v>1775.25</v>
      </c>
      <c r="S20" s="5">
        <f t="shared" si="6"/>
        <v>491.908625</v>
      </c>
      <c r="T20" s="5">
        <f t="shared" si="7"/>
        <v>2267.158625</v>
      </c>
      <c r="U20" s="36">
        <f>S$7*'2014A'!$F20</f>
        <v>85.757462</v>
      </c>
      <c r="W20" s="5">
        <f t="shared" si="57"/>
        <v>4419.9</v>
      </c>
      <c r="X20" s="5">
        <f t="shared" si="8"/>
        <v>1224.72155</v>
      </c>
      <c r="Y20" s="5">
        <f t="shared" si="9"/>
        <v>5644.62155</v>
      </c>
      <c r="Z20" s="36">
        <f>X$7*'2014A'!$F20</f>
        <v>213.5132552</v>
      </c>
      <c r="AB20" s="5">
        <f t="shared" si="58"/>
        <v>150857.1</v>
      </c>
      <c r="AC20" s="5">
        <f t="shared" si="10"/>
        <v>41801.38495</v>
      </c>
      <c r="AD20" s="5">
        <f t="shared" si="11"/>
        <v>192658.48495</v>
      </c>
      <c r="AE20" s="36">
        <f>AC$7*'2014A'!$F20</f>
        <v>7287.4930408</v>
      </c>
      <c r="AG20" s="5">
        <f t="shared" si="59"/>
        <v>34332.525</v>
      </c>
      <c r="AH20" s="5">
        <f t="shared" si="12"/>
        <v>9513.2883625</v>
      </c>
      <c r="AI20" s="5">
        <f t="shared" si="13"/>
        <v>43845.813362500005</v>
      </c>
      <c r="AJ20" s="36">
        <f>AH$7*'2014A'!$F20</f>
        <v>1658.5101862000001</v>
      </c>
      <c r="AL20" s="5">
        <f t="shared" si="60"/>
        <v>12519.225</v>
      </c>
      <c r="AM20" s="5">
        <f t="shared" si="14"/>
        <v>3468.9845124999997</v>
      </c>
      <c r="AN20" s="5">
        <f t="shared" si="15"/>
        <v>15988.2095125</v>
      </c>
      <c r="AO20" s="36">
        <f>AM$7*'2014A'!$F20</f>
        <v>604.7694478</v>
      </c>
      <c r="AQ20" s="5">
        <f t="shared" si="61"/>
        <v>37978.200000000004</v>
      </c>
      <c r="AR20" s="5">
        <f t="shared" si="16"/>
        <v>10523.4779</v>
      </c>
      <c r="AS20" s="5">
        <f t="shared" si="17"/>
        <v>48501.6779</v>
      </c>
      <c r="AT20" s="36">
        <f>AR$7*'2014A'!$F20</f>
        <v>1834.6227536000001</v>
      </c>
      <c r="AV20" s="5">
        <f t="shared" si="62"/>
        <v>232411.95</v>
      </c>
      <c r="AW20" s="5">
        <f t="shared" si="18"/>
        <v>64399.629775</v>
      </c>
      <c r="AX20" s="5">
        <f t="shared" si="19"/>
        <v>296811.579775</v>
      </c>
      <c r="AY20" s="36">
        <f>AW$7*'2014A'!$F20</f>
        <v>11227.1843236</v>
      </c>
      <c r="BA20" s="5">
        <f t="shared" si="63"/>
        <v>12669.75</v>
      </c>
      <c r="BB20" s="5">
        <f t="shared" si="20"/>
        <v>3510.693875</v>
      </c>
      <c r="BC20" s="5">
        <f t="shared" si="21"/>
        <v>16180.443875</v>
      </c>
      <c r="BD20" s="36">
        <f>BB$7*'2014A'!$F20</f>
        <v>612.040898</v>
      </c>
      <c r="BF20" s="5">
        <f t="shared" si="64"/>
        <v>17363.7</v>
      </c>
      <c r="BG20" s="5">
        <f t="shared" si="22"/>
        <v>4811.35265</v>
      </c>
      <c r="BH20" s="5">
        <f t="shared" si="23"/>
        <v>22175.05265</v>
      </c>
      <c r="BI20" s="36">
        <f>BG$7*'2014A'!$F20</f>
        <v>838.7927576</v>
      </c>
      <c r="BK20" s="5">
        <f t="shared" si="65"/>
        <v>160828.2</v>
      </c>
      <c r="BL20" s="5">
        <f t="shared" si="24"/>
        <v>44564.3029</v>
      </c>
      <c r="BM20" s="5">
        <f t="shared" si="25"/>
        <v>205392.50290000002</v>
      </c>
      <c r="BN20" s="36">
        <f>BL$7*'2014A'!$F20</f>
        <v>7769.169553600001</v>
      </c>
      <c r="BP20" s="5">
        <f t="shared" si="66"/>
        <v>1147.5</v>
      </c>
      <c r="BQ20" s="5">
        <f t="shared" si="26"/>
        <v>317.96375</v>
      </c>
      <c r="BR20" s="5">
        <f t="shared" si="27"/>
        <v>1465.46375</v>
      </c>
      <c r="BS20" s="36">
        <f>BQ$7*'2014A'!$F20</f>
        <v>55.43258</v>
      </c>
      <c r="BU20" s="5">
        <f t="shared" si="67"/>
        <v>390.15000000000003</v>
      </c>
      <c r="BV20" s="5">
        <f t="shared" si="28"/>
        <v>108.107675</v>
      </c>
      <c r="BW20" s="5">
        <f t="shared" si="29"/>
        <v>498.25767500000006</v>
      </c>
      <c r="BX20" s="36">
        <f>BV$7*'2014A'!$F20</f>
        <v>18.8470772</v>
      </c>
      <c r="BZ20" s="5">
        <f t="shared" si="68"/>
        <v>21724.2</v>
      </c>
      <c r="CA20" s="5">
        <f t="shared" si="30"/>
        <v>6019.6149000000005</v>
      </c>
      <c r="CB20" s="5">
        <f t="shared" si="31"/>
        <v>27743.8149</v>
      </c>
      <c r="CC20" s="36">
        <f>CA$7*'2014A'!$F20</f>
        <v>1049.4365616</v>
      </c>
      <c r="CE20" s="5">
        <f t="shared" si="69"/>
        <v>63231.975</v>
      </c>
      <c r="CF20" s="5">
        <f t="shared" si="32"/>
        <v>17521.1118875</v>
      </c>
      <c r="CG20" s="5">
        <f t="shared" si="33"/>
        <v>80753.0868875</v>
      </c>
      <c r="CH20" s="36">
        <f>CF$7*'2014A'!$F20</f>
        <v>3054.5634098</v>
      </c>
      <c r="CJ20" s="5">
        <f t="shared" si="70"/>
        <v>3209.625</v>
      </c>
      <c r="CK20" s="5">
        <f t="shared" si="34"/>
        <v>889.3633125</v>
      </c>
      <c r="CL20" s="5">
        <f t="shared" si="35"/>
        <v>4098.9883125</v>
      </c>
      <c r="CM20" s="36">
        <f>CK$7*'2014A'!$F20</f>
        <v>155.048187</v>
      </c>
      <c r="CO20" s="5">
        <f t="shared" si="71"/>
        <v>42397.425</v>
      </c>
      <c r="CP20" s="5">
        <f t="shared" si="36"/>
        <v>11748.0124125</v>
      </c>
      <c r="CQ20" s="5">
        <f t="shared" si="37"/>
        <v>54145.4374125</v>
      </c>
      <c r="CR20" s="36">
        <f>CP$7*'2014A'!$F20</f>
        <v>2048.1034014</v>
      </c>
      <c r="CT20" s="5">
        <f t="shared" si="72"/>
        <v>910496.0249999999</v>
      </c>
      <c r="CU20" s="5">
        <f t="shared" si="38"/>
        <v>252291.70411249998</v>
      </c>
      <c r="CV20" s="5">
        <f t="shared" si="39"/>
        <v>1162787.7291124999</v>
      </c>
      <c r="CW20" s="36">
        <f>CU$7*'2014A'!$F20</f>
        <v>43983.567534199996</v>
      </c>
      <c r="CY20" s="5">
        <f t="shared" si="73"/>
        <v>17731.575</v>
      </c>
      <c r="CZ20" s="5">
        <f t="shared" si="40"/>
        <v>4913.2880875</v>
      </c>
      <c r="DA20" s="36">
        <f t="shared" si="41"/>
        <v>22644.8630875</v>
      </c>
      <c r="DB20" s="36">
        <f>CZ$7*'2014A'!$F20</f>
        <v>856.5637906000001</v>
      </c>
      <c r="DD20" s="5">
        <f t="shared" si="74"/>
        <v>20302.65</v>
      </c>
      <c r="DE20" s="5">
        <f t="shared" si="42"/>
        <v>5625.713925</v>
      </c>
      <c r="DF20" s="36">
        <f t="shared" si="43"/>
        <v>25928.363925</v>
      </c>
      <c r="DG20" s="36">
        <f>DE$7*'2014A'!$F20</f>
        <v>980.7653772000001</v>
      </c>
      <c r="DI20" s="5">
        <f t="shared" si="75"/>
        <v>4842.45</v>
      </c>
      <c r="DJ20" s="5">
        <f t="shared" si="44"/>
        <v>1341.807025</v>
      </c>
      <c r="DK20" s="36">
        <f t="shared" si="45"/>
        <v>6184.257025</v>
      </c>
      <c r="DL20" s="36">
        <f>DJ$7*'2014A'!$F20</f>
        <v>233.9254876</v>
      </c>
      <c r="DN20" s="5">
        <f t="shared" si="76"/>
        <v>70047.45</v>
      </c>
      <c r="DO20" s="5">
        <f t="shared" si="46"/>
        <v>19409.629525</v>
      </c>
      <c r="DP20" s="5">
        <f t="shared" si="47"/>
        <v>89457.079525</v>
      </c>
      <c r="DQ20" s="36">
        <f>DO$7*'2014A'!$F20</f>
        <v>3383.8003276</v>
      </c>
      <c r="DS20" s="5">
        <f t="shared" si="77"/>
        <v>263447.1</v>
      </c>
      <c r="DT20" s="5">
        <f t="shared" si="48"/>
        <v>72999.23995</v>
      </c>
      <c r="DU20" s="5">
        <f t="shared" si="49"/>
        <v>336446.33995</v>
      </c>
      <c r="DV20" s="36">
        <f>DT$7*'2014A'!$F20</f>
        <v>12726.4073608</v>
      </c>
      <c r="DX20" s="5">
        <f t="shared" si="78"/>
        <v>1839.375</v>
      </c>
      <c r="DY20" s="5">
        <f t="shared" si="50"/>
        <v>509.6771875</v>
      </c>
      <c r="DZ20" s="5">
        <f t="shared" si="51"/>
        <v>2349.0521875</v>
      </c>
      <c r="EA20" s="36">
        <f>DY$7*'2014A'!$F20</f>
        <v>88.855165</v>
      </c>
      <c r="EC20" s="5">
        <f t="shared" si="79"/>
        <v>27282.825</v>
      </c>
      <c r="ED20" s="36">
        <f t="shared" si="52"/>
        <v>7559.868712500001</v>
      </c>
      <c r="EE20" s="36">
        <f t="shared" si="53"/>
        <v>34842.693712500004</v>
      </c>
      <c r="EF20" s="36">
        <f>ED$7*'2014A'!$F20</f>
        <v>1317.9585006</v>
      </c>
    </row>
    <row r="21" spans="1:136" ht="12.75">
      <c r="A21" s="37">
        <v>45566</v>
      </c>
      <c r="D21" s="3">
        <v>1701625</v>
      </c>
      <c r="E21" s="35">
        <f t="shared" si="0"/>
        <v>1701625</v>
      </c>
      <c r="F21" s="35"/>
      <c r="H21" s="47"/>
      <c r="I21" s="36">
        <f t="shared" si="1"/>
        <v>537690.6982250001</v>
      </c>
      <c r="J21" s="36">
        <f t="shared" si="2"/>
        <v>537690.6982250001</v>
      </c>
      <c r="K21" s="36">
        <f t="shared" si="3"/>
        <v>103035.01460840002</v>
      </c>
      <c r="N21" s="5">
        <f t="shared" si="4"/>
        <v>4957.0037875</v>
      </c>
      <c r="O21" s="5">
        <f t="shared" si="5"/>
        <v>4957.0037875</v>
      </c>
      <c r="P21" s="36">
        <f>N$7*'2014A'!$F21</f>
        <v>949.8861694</v>
      </c>
      <c r="S21" s="5">
        <f t="shared" si="6"/>
        <v>447.527375</v>
      </c>
      <c r="T21" s="5">
        <f t="shared" si="7"/>
        <v>447.527375</v>
      </c>
      <c r="U21" s="36">
        <f>S$7*'2014A'!$F21</f>
        <v>85.757462</v>
      </c>
      <c r="X21" s="5">
        <f t="shared" si="8"/>
        <v>1114.22405</v>
      </c>
      <c r="Y21" s="5">
        <f t="shared" si="9"/>
        <v>1114.22405</v>
      </c>
      <c r="Z21" s="36">
        <f>X$7*'2014A'!$F21</f>
        <v>213.5132552</v>
      </c>
      <c r="AC21" s="5">
        <f t="shared" si="10"/>
        <v>38029.95745</v>
      </c>
      <c r="AD21" s="5">
        <f t="shared" si="11"/>
        <v>38029.95745</v>
      </c>
      <c r="AE21" s="36">
        <f>AC$7*'2014A'!$F21</f>
        <v>7287.4930408</v>
      </c>
      <c r="AH21" s="5">
        <f t="shared" si="12"/>
        <v>8654.9752375</v>
      </c>
      <c r="AI21" s="5">
        <f t="shared" si="13"/>
        <v>8654.9752375</v>
      </c>
      <c r="AJ21" s="36">
        <f>AH$7*'2014A'!$F21</f>
        <v>1658.5101862000001</v>
      </c>
      <c r="AM21" s="5">
        <f t="shared" si="14"/>
        <v>3156.0038875</v>
      </c>
      <c r="AN21" s="5">
        <f t="shared" si="15"/>
        <v>3156.0038875</v>
      </c>
      <c r="AO21" s="36">
        <f>AM$7*'2014A'!$F21</f>
        <v>604.7694478</v>
      </c>
      <c r="AR21" s="5">
        <f t="shared" si="16"/>
        <v>9574.0229</v>
      </c>
      <c r="AS21" s="5">
        <f t="shared" si="17"/>
        <v>9574.0229</v>
      </c>
      <c r="AT21" s="36">
        <f>AR$7*'2014A'!$F21</f>
        <v>1834.6227536000001</v>
      </c>
      <c r="AW21" s="5">
        <f t="shared" si="18"/>
        <v>58589.331025</v>
      </c>
      <c r="AX21" s="5">
        <f t="shared" si="19"/>
        <v>58589.331025</v>
      </c>
      <c r="AY21" s="36">
        <f>AW$7*'2014A'!$F21</f>
        <v>11227.1843236</v>
      </c>
      <c r="BB21" s="5">
        <f t="shared" si="20"/>
        <v>3193.950125</v>
      </c>
      <c r="BC21" s="5">
        <f t="shared" si="21"/>
        <v>3193.950125</v>
      </c>
      <c r="BD21" s="36">
        <f>BB$7*'2014A'!$F21</f>
        <v>612.040898</v>
      </c>
      <c r="BG21" s="5">
        <f t="shared" si="22"/>
        <v>4377.26015</v>
      </c>
      <c r="BH21" s="5">
        <f t="shared" si="23"/>
        <v>4377.26015</v>
      </c>
      <c r="BI21" s="36">
        <f>BG$7*'2014A'!$F21</f>
        <v>838.7927576</v>
      </c>
      <c r="BL21" s="5">
        <f t="shared" si="24"/>
        <v>40543.5979</v>
      </c>
      <c r="BM21" s="5">
        <f t="shared" si="25"/>
        <v>40543.5979</v>
      </c>
      <c r="BN21" s="36">
        <f>BL$7*'2014A'!$F21</f>
        <v>7769.169553600001</v>
      </c>
      <c r="BQ21" s="5">
        <f t="shared" si="26"/>
        <v>289.27625</v>
      </c>
      <c r="BR21" s="5">
        <f t="shared" si="27"/>
        <v>289.27625</v>
      </c>
      <c r="BS21" s="36">
        <f>BQ$7*'2014A'!$F21</f>
        <v>55.43258</v>
      </c>
      <c r="BV21" s="5">
        <f t="shared" si="28"/>
        <v>98.353925</v>
      </c>
      <c r="BW21" s="5">
        <f t="shared" si="29"/>
        <v>98.353925</v>
      </c>
      <c r="BX21" s="36">
        <f>BV$7*'2014A'!$F21</f>
        <v>18.8470772</v>
      </c>
      <c r="CA21" s="5">
        <f t="shared" si="30"/>
        <v>5476.5099</v>
      </c>
      <c r="CB21" s="5">
        <f t="shared" si="31"/>
        <v>5476.5099</v>
      </c>
      <c r="CC21" s="36">
        <f>CA$7*'2014A'!$F21</f>
        <v>1049.4365616</v>
      </c>
      <c r="CF21" s="5">
        <f t="shared" si="32"/>
        <v>15940.312512499999</v>
      </c>
      <c r="CG21" s="5">
        <f t="shared" si="33"/>
        <v>15940.312512499999</v>
      </c>
      <c r="CH21" s="36">
        <f>CF$7*'2014A'!$F21</f>
        <v>3054.5634098</v>
      </c>
      <c r="CK21" s="5">
        <f t="shared" si="34"/>
        <v>809.1226875</v>
      </c>
      <c r="CL21" s="5">
        <f t="shared" si="35"/>
        <v>809.1226875</v>
      </c>
      <c r="CM21" s="36">
        <f>CK$7*'2014A'!$F21</f>
        <v>155.048187</v>
      </c>
      <c r="CP21" s="5">
        <f t="shared" si="36"/>
        <v>10688.0767875</v>
      </c>
      <c r="CQ21" s="5">
        <f t="shared" si="37"/>
        <v>10688.0767875</v>
      </c>
      <c r="CR21" s="36">
        <f>CP$7*'2014A'!$F21</f>
        <v>2048.1034014</v>
      </c>
      <c r="CU21" s="5">
        <f t="shared" si="38"/>
        <v>229529.30348749997</v>
      </c>
      <c r="CV21" s="5">
        <f t="shared" si="39"/>
        <v>229529.30348749997</v>
      </c>
      <c r="CW21" s="36">
        <f>CU$7*'2014A'!$F21</f>
        <v>43983.567534199996</v>
      </c>
      <c r="CZ21" s="5">
        <f t="shared" si="40"/>
        <v>4469.998712500001</v>
      </c>
      <c r="DA21" s="36">
        <f t="shared" si="41"/>
        <v>4469.998712500001</v>
      </c>
      <c r="DB21" s="36">
        <f>CZ$7*'2014A'!$F21</f>
        <v>856.5637906000001</v>
      </c>
      <c r="DE21" s="5">
        <f t="shared" si="42"/>
        <v>5118.147675</v>
      </c>
      <c r="DF21" s="36">
        <f t="shared" si="43"/>
        <v>5118.147675</v>
      </c>
      <c r="DG21" s="36">
        <f>DE$7*'2014A'!$F21</f>
        <v>980.7653772000001</v>
      </c>
      <c r="DJ21" s="5">
        <f t="shared" si="44"/>
        <v>1220.7457749999999</v>
      </c>
      <c r="DK21" s="36">
        <f t="shared" si="45"/>
        <v>1220.7457749999999</v>
      </c>
      <c r="DL21" s="36">
        <f>DJ$7*'2014A'!$F21</f>
        <v>233.9254876</v>
      </c>
      <c r="DO21" s="5">
        <f t="shared" si="46"/>
        <v>17658.443275</v>
      </c>
      <c r="DP21" s="5">
        <f t="shared" si="47"/>
        <v>17658.443275</v>
      </c>
      <c r="DQ21" s="36">
        <f>DO$7*'2014A'!$F21</f>
        <v>3383.8003276</v>
      </c>
      <c r="DT21" s="5">
        <f t="shared" si="48"/>
        <v>66413.06245</v>
      </c>
      <c r="DU21" s="5">
        <f t="shared" si="49"/>
        <v>66413.06245</v>
      </c>
      <c r="DV21" s="36">
        <f>DT$7*'2014A'!$F21</f>
        <v>12726.4073608</v>
      </c>
      <c r="DY21" s="5">
        <f t="shared" si="50"/>
        <v>463.6928125</v>
      </c>
      <c r="DZ21" s="5">
        <f t="shared" si="51"/>
        <v>463.6928125</v>
      </c>
      <c r="EA21" s="36">
        <f>DY$7*'2014A'!$F21</f>
        <v>88.855165</v>
      </c>
      <c r="ED21" s="36">
        <f t="shared" si="52"/>
        <v>6877.7980875</v>
      </c>
      <c r="EE21" s="36">
        <f t="shared" si="53"/>
        <v>6877.7980875</v>
      </c>
      <c r="EF21" s="36">
        <f>ED$7*'2014A'!$F21</f>
        <v>1317.9585006</v>
      </c>
    </row>
    <row r="22" spans="1:136" ht="12.75">
      <c r="A22" s="37">
        <v>45748</v>
      </c>
      <c r="C22" s="3">
        <v>7090000</v>
      </c>
      <c r="D22" s="3">
        <v>1701625</v>
      </c>
      <c r="E22" s="35">
        <f t="shared" si="0"/>
        <v>8791625</v>
      </c>
      <c r="F22" s="35"/>
      <c r="H22" s="47">
        <f t="shared" si="54"/>
        <v>2240344.994</v>
      </c>
      <c r="I22" s="36">
        <f t="shared" si="1"/>
        <v>537690.6982250001</v>
      </c>
      <c r="J22" s="36">
        <f t="shared" si="2"/>
        <v>2778035.692225</v>
      </c>
      <c r="K22" s="36">
        <f t="shared" si="3"/>
        <v>103035.01460840002</v>
      </c>
      <c r="M22" s="5">
        <f t="shared" si="55"/>
        <v>20653.879</v>
      </c>
      <c r="N22" s="5">
        <f t="shared" si="4"/>
        <v>4957.0037875</v>
      </c>
      <c r="O22" s="5">
        <f t="shared" si="5"/>
        <v>25610.8827875</v>
      </c>
      <c r="P22" s="36">
        <f>N$7*'2014A'!$F22</f>
        <v>949.8861694</v>
      </c>
      <c r="R22" s="5">
        <f t="shared" si="56"/>
        <v>1864.67</v>
      </c>
      <c r="S22" s="5">
        <f t="shared" si="6"/>
        <v>447.527375</v>
      </c>
      <c r="T22" s="5">
        <f t="shared" si="7"/>
        <v>2312.197375</v>
      </c>
      <c r="U22" s="36">
        <f>S$7*'2014A'!$F22</f>
        <v>85.757462</v>
      </c>
      <c r="W22" s="5">
        <f t="shared" si="57"/>
        <v>4642.532</v>
      </c>
      <c r="X22" s="5">
        <f t="shared" si="8"/>
        <v>1114.22405</v>
      </c>
      <c r="Y22" s="5">
        <f t="shared" si="9"/>
        <v>5756.75605</v>
      </c>
      <c r="Z22" s="36">
        <f>X$7*'2014A'!$F22</f>
        <v>213.5132552</v>
      </c>
      <c r="AB22" s="5">
        <f t="shared" si="58"/>
        <v>158455.828</v>
      </c>
      <c r="AC22" s="5">
        <f t="shared" si="10"/>
        <v>38029.95745</v>
      </c>
      <c r="AD22" s="5">
        <f t="shared" si="11"/>
        <v>196485.78545000002</v>
      </c>
      <c r="AE22" s="36">
        <f>AC$7*'2014A'!$F22</f>
        <v>7287.4930408</v>
      </c>
      <c r="AG22" s="5">
        <f t="shared" si="59"/>
        <v>36061.867</v>
      </c>
      <c r="AH22" s="5">
        <f t="shared" si="12"/>
        <v>8654.9752375</v>
      </c>
      <c r="AI22" s="5">
        <f t="shared" si="13"/>
        <v>44716.8422375</v>
      </c>
      <c r="AJ22" s="36">
        <f>AH$7*'2014A'!$F22</f>
        <v>1658.5101862000001</v>
      </c>
      <c r="AL22" s="5">
        <f t="shared" si="60"/>
        <v>13149.823</v>
      </c>
      <c r="AM22" s="5">
        <f t="shared" si="14"/>
        <v>3156.0038875</v>
      </c>
      <c r="AN22" s="5">
        <f t="shared" si="15"/>
        <v>16305.8268875</v>
      </c>
      <c r="AO22" s="36">
        <f>AM$7*'2014A'!$F22</f>
        <v>604.7694478</v>
      </c>
      <c r="AQ22" s="5">
        <f t="shared" si="61"/>
        <v>39891.176</v>
      </c>
      <c r="AR22" s="5">
        <f t="shared" si="16"/>
        <v>9574.0229</v>
      </c>
      <c r="AS22" s="5">
        <f t="shared" si="17"/>
        <v>49465.1989</v>
      </c>
      <c r="AT22" s="36">
        <f>AR$7*'2014A'!$F22</f>
        <v>1834.6227536000001</v>
      </c>
      <c r="AV22" s="5">
        <f t="shared" si="62"/>
        <v>244118.62600000002</v>
      </c>
      <c r="AW22" s="5">
        <f t="shared" si="18"/>
        <v>58589.331025</v>
      </c>
      <c r="AX22" s="5">
        <f t="shared" si="19"/>
        <v>302707.957025</v>
      </c>
      <c r="AY22" s="36">
        <f>AW$7*'2014A'!$F22</f>
        <v>11227.1843236</v>
      </c>
      <c r="BA22" s="5">
        <f t="shared" si="63"/>
        <v>13307.93</v>
      </c>
      <c r="BB22" s="5">
        <f t="shared" si="20"/>
        <v>3193.950125</v>
      </c>
      <c r="BC22" s="5">
        <f t="shared" si="21"/>
        <v>16501.880125</v>
      </c>
      <c r="BD22" s="36">
        <f>BB$7*'2014A'!$F22</f>
        <v>612.040898</v>
      </c>
      <c r="BF22" s="5">
        <f t="shared" si="64"/>
        <v>18238.316</v>
      </c>
      <c r="BG22" s="5">
        <f t="shared" si="22"/>
        <v>4377.26015</v>
      </c>
      <c r="BH22" s="5">
        <f t="shared" si="23"/>
        <v>22615.57615</v>
      </c>
      <c r="BI22" s="36">
        <f>BG$7*'2014A'!$F22</f>
        <v>838.7927576</v>
      </c>
      <c r="BK22" s="5">
        <f t="shared" si="65"/>
        <v>168929.176</v>
      </c>
      <c r="BL22" s="5">
        <f t="shared" si="24"/>
        <v>40543.5979</v>
      </c>
      <c r="BM22" s="5">
        <f t="shared" si="25"/>
        <v>209472.7739</v>
      </c>
      <c r="BN22" s="36">
        <f>BL$7*'2014A'!$F22</f>
        <v>7769.169553600001</v>
      </c>
      <c r="BP22" s="5">
        <f t="shared" si="66"/>
        <v>1205.3000000000002</v>
      </c>
      <c r="BQ22" s="5">
        <f t="shared" si="26"/>
        <v>289.27625</v>
      </c>
      <c r="BR22" s="5">
        <f t="shared" si="27"/>
        <v>1494.57625</v>
      </c>
      <c r="BS22" s="36">
        <f>BQ$7*'2014A'!$F22</f>
        <v>55.43258</v>
      </c>
      <c r="BU22" s="5">
        <f t="shared" si="67"/>
        <v>409.802</v>
      </c>
      <c r="BV22" s="5">
        <f t="shared" si="28"/>
        <v>98.353925</v>
      </c>
      <c r="BW22" s="5">
        <f t="shared" si="29"/>
        <v>508.155925</v>
      </c>
      <c r="BX22" s="36">
        <f>BV$7*'2014A'!$F22</f>
        <v>18.8470772</v>
      </c>
      <c r="BZ22" s="5">
        <f t="shared" si="68"/>
        <v>22818.456000000002</v>
      </c>
      <c r="CA22" s="5">
        <f t="shared" si="30"/>
        <v>5476.5099</v>
      </c>
      <c r="CB22" s="5">
        <f t="shared" si="31"/>
        <v>28294.965900000003</v>
      </c>
      <c r="CC22" s="36">
        <f>CA$7*'2014A'!$F22</f>
        <v>1049.4365616</v>
      </c>
      <c r="CE22" s="5">
        <f t="shared" si="69"/>
        <v>66416.993</v>
      </c>
      <c r="CF22" s="5">
        <f t="shared" si="32"/>
        <v>15940.312512499999</v>
      </c>
      <c r="CG22" s="5">
        <f t="shared" si="33"/>
        <v>82357.3055125</v>
      </c>
      <c r="CH22" s="36">
        <f>CF$7*'2014A'!$F22</f>
        <v>3054.5634098</v>
      </c>
      <c r="CJ22" s="5">
        <f t="shared" si="70"/>
        <v>3371.295</v>
      </c>
      <c r="CK22" s="5">
        <f t="shared" si="34"/>
        <v>809.1226875</v>
      </c>
      <c r="CL22" s="5">
        <f t="shared" si="35"/>
        <v>4180.4176875</v>
      </c>
      <c r="CM22" s="36">
        <f>CK$7*'2014A'!$F22</f>
        <v>155.048187</v>
      </c>
      <c r="CO22" s="5">
        <f t="shared" si="71"/>
        <v>44532.999</v>
      </c>
      <c r="CP22" s="5">
        <f t="shared" si="36"/>
        <v>10688.0767875</v>
      </c>
      <c r="CQ22" s="5">
        <f t="shared" si="37"/>
        <v>55221.075787500005</v>
      </c>
      <c r="CR22" s="36">
        <f>CP$7*'2014A'!$F22</f>
        <v>2048.1034014</v>
      </c>
      <c r="CT22" s="5">
        <f t="shared" si="72"/>
        <v>956358.0469999999</v>
      </c>
      <c r="CU22" s="5">
        <f t="shared" si="38"/>
        <v>229529.30348749997</v>
      </c>
      <c r="CV22" s="5">
        <f t="shared" si="39"/>
        <v>1185887.3504875</v>
      </c>
      <c r="CW22" s="36">
        <f>CU$7*'2014A'!$F22</f>
        <v>43983.567534199996</v>
      </c>
      <c r="CY22" s="5">
        <f t="shared" si="73"/>
        <v>18624.721</v>
      </c>
      <c r="CZ22" s="5">
        <f t="shared" si="40"/>
        <v>4469.998712500001</v>
      </c>
      <c r="DA22" s="36">
        <f t="shared" si="41"/>
        <v>23094.719712500002</v>
      </c>
      <c r="DB22" s="36">
        <f>CZ$7*'2014A'!$F22</f>
        <v>856.5637906000001</v>
      </c>
      <c r="DD22" s="5">
        <f t="shared" si="74"/>
        <v>21325.302</v>
      </c>
      <c r="DE22" s="5">
        <f t="shared" si="42"/>
        <v>5118.147675</v>
      </c>
      <c r="DF22" s="36">
        <f t="shared" si="43"/>
        <v>26443.449675</v>
      </c>
      <c r="DG22" s="36">
        <f>DE$7*'2014A'!$F22</f>
        <v>980.7653772000001</v>
      </c>
      <c r="DI22" s="5">
        <f t="shared" si="75"/>
        <v>5086.366</v>
      </c>
      <c r="DJ22" s="5">
        <f t="shared" si="44"/>
        <v>1220.7457749999999</v>
      </c>
      <c r="DK22" s="36">
        <f t="shared" si="45"/>
        <v>6307.111774999999</v>
      </c>
      <c r="DL22" s="36">
        <f>DJ$7*'2014A'!$F22</f>
        <v>233.9254876</v>
      </c>
      <c r="DN22" s="5">
        <f t="shared" si="76"/>
        <v>73575.766</v>
      </c>
      <c r="DO22" s="5">
        <f t="shared" si="46"/>
        <v>17658.443275</v>
      </c>
      <c r="DP22" s="5">
        <f t="shared" si="47"/>
        <v>91234.209275</v>
      </c>
      <c r="DQ22" s="36">
        <f>DO$7*'2014A'!$F22</f>
        <v>3383.8003276</v>
      </c>
      <c r="DS22" s="5">
        <f t="shared" si="77"/>
        <v>276717.028</v>
      </c>
      <c r="DT22" s="5">
        <f t="shared" si="48"/>
        <v>66413.06245</v>
      </c>
      <c r="DU22" s="5">
        <f t="shared" si="49"/>
        <v>343130.09045</v>
      </c>
      <c r="DV22" s="36">
        <f>DT$7*'2014A'!$F22</f>
        <v>12726.4073608</v>
      </c>
      <c r="DX22" s="5">
        <f t="shared" si="78"/>
        <v>1932.025</v>
      </c>
      <c r="DY22" s="5">
        <f t="shared" si="50"/>
        <v>463.6928125</v>
      </c>
      <c r="DZ22" s="5">
        <f t="shared" si="51"/>
        <v>2395.7178125</v>
      </c>
      <c r="EA22" s="36">
        <f>DY$7*'2014A'!$F22</f>
        <v>88.855165</v>
      </c>
      <c r="EC22" s="5">
        <f t="shared" si="79"/>
        <v>28657.071</v>
      </c>
      <c r="ED22" s="36">
        <f t="shared" si="52"/>
        <v>6877.7980875</v>
      </c>
      <c r="EE22" s="36">
        <f t="shared" si="53"/>
        <v>35534.8690875</v>
      </c>
      <c r="EF22" s="36">
        <f>ED$7*'2014A'!$F22</f>
        <v>1317.9585006</v>
      </c>
    </row>
    <row r="23" spans="1:136" ht="12.75">
      <c r="A23" s="37">
        <v>45931</v>
      </c>
      <c r="D23" s="3">
        <v>1524375</v>
      </c>
      <c r="E23" s="35">
        <f t="shared" si="0"/>
        <v>1524375</v>
      </c>
      <c r="F23" s="35"/>
      <c r="H23" s="47"/>
      <c r="I23" s="36">
        <f t="shared" si="1"/>
        <v>481682.073375</v>
      </c>
      <c r="J23" s="36">
        <f t="shared" si="2"/>
        <v>481682.073375</v>
      </c>
      <c r="K23" s="36">
        <f t="shared" si="3"/>
        <v>103035.01460840002</v>
      </c>
      <c r="L23"/>
      <c r="N23" s="5">
        <f t="shared" si="4"/>
        <v>4440.6568125</v>
      </c>
      <c r="O23" s="5">
        <f t="shared" si="5"/>
        <v>4440.6568125</v>
      </c>
      <c r="P23" s="36">
        <f>N$7*'2014A'!$F23</f>
        <v>949.8861694</v>
      </c>
      <c r="Q23"/>
      <c r="S23" s="5">
        <f t="shared" si="6"/>
        <v>400.910625</v>
      </c>
      <c r="T23" s="5">
        <f t="shared" si="7"/>
        <v>400.910625</v>
      </c>
      <c r="U23" s="36">
        <f>S$7*'2014A'!$F23</f>
        <v>85.757462</v>
      </c>
      <c r="V23"/>
      <c r="X23" s="5">
        <f t="shared" si="8"/>
        <v>998.16075</v>
      </c>
      <c r="Y23" s="5">
        <f t="shared" si="9"/>
        <v>998.16075</v>
      </c>
      <c r="Z23" s="36">
        <f>X$7*'2014A'!$F23</f>
        <v>213.5132552</v>
      </c>
      <c r="AA23"/>
      <c r="AC23" s="5">
        <f t="shared" si="10"/>
        <v>34068.56175</v>
      </c>
      <c r="AD23" s="5">
        <f t="shared" si="11"/>
        <v>34068.56175</v>
      </c>
      <c r="AE23" s="36">
        <f>AC$7*'2014A'!$F23</f>
        <v>7287.4930408</v>
      </c>
      <c r="AF23"/>
      <c r="AH23" s="5">
        <f t="shared" si="12"/>
        <v>7753.4285625</v>
      </c>
      <c r="AI23" s="5">
        <f t="shared" si="13"/>
        <v>7753.4285625</v>
      </c>
      <c r="AJ23" s="36">
        <f>AH$7*'2014A'!$F23</f>
        <v>1658.5101862000001</v>
      </c>
      <c r="AK23"/>
      <c r="AM23" s="5">
        <f t="shared" si="14"/>
        <v>2827.2583125</v>
      </c>
      <c r="AN23" s="5">
        <f t="shared" si="15"/>
        <v>2827.2583125</v>
      </c>
      <c r="AO23" s="36">
        <f>AM$7*'2014A'!$F23</f>
        <v>604.7694478</v>
      </c>
      <c r="AP23"/>
      <c r="AR23" s="5">
        <f t="shared" si="16"/>
        <v>8576.7435</v>
      </c>
      <c r="AS23" s="5">
        <f t="shared" si="17"/>
        <v>8576.7435</v>
      </c>
      <c r="AT23" s="36">
        <f>AR$7*'2014A'!$F23</f>
        <v>1834.6227536000001</v>
      </c>
      <c r="AU23"/>
      <c r="AW23" s="5">
        <f t="shared" si="18"/>
        <v>52486.365375</v>
      </c>
      <c r="AX23" s="5">
        <f t="shared" si="19"/>
        <v>52486.365375</v>
      </c>
      <c r="AY23" s="36">
        <f>AW$7*'2014A'!$F23</f>
        <v>11227.1843236</v>
      </c>
      <c r="AZ23"/>
      <c r="BB23" s="5">
        <f t="shared" si="20"/>
        <v>2861.251875</v>
      </c>
      <c r="BC23" s="5">
        <f t="shared" si="21"/>
        <v>2861.251875</v>
      </c>
      <c r="BD23" s="36">
        <f>BB$7*'2014A'!$F23</f>
        <v>612.040898</v>
      </c>
      <c r="BE23"/>
      <c r="BG23" s="5">
        <f t="shared" si="22"/>
        <v>3921.3022499999997</v>
      </c>
      <c r="BH23" s="5">
        <f t="shared" si="23"/>
        <v>3921.3022499999997</v>
      </c>
      <c r="BI23" s="36">
        <f>BG$7*'2014A'!$F23</f>
        <v>838.7927576</v>
      </c>
      <c r="BJ23"/>
      <c r="BL23" s="5">
        <f t="shared" si="24"/>
        <v>36320.368500000004</v>
      </c>
      <c r="BM23" s="5">
        <f t="shared" si="25"/>
        <v>36320.368500000004</v>
      </c>
      <c r="BN23" s="36">
        <f>BL$7*'2014A'!$F23</f>
        <v>7769.169553600001</v>
      </c>
      <c r="BO23"/>
      <c r="BQ23" s="5">
        <f t="shared" si="26"/>
        <v>259.14375</v>
      </c>
      <c r="BR23" s="5">
        <f t="shared" si="27"/>
        <v>259.14375</v>
      </c>
      <c r="BS23" s="36">
        <f>BQ$7*'2014A'!$F23</f>
        <v>55.43258</v>
      </c>
      <c r="BT23"/>
      <c r="BV23" s="5">
        <f t="shared" si="28"/>
        <v>88.108875</v>
      </c>
      <c r="BW23" s="5">
        <f t="shared" si="29"/>
        <v>88.108875</v>
      </c>
      <c r="BX23" s="36">
        <f>BV$7*'2014A'!$F23</f>
        <v>18.8470772</v>
      </c>
      <c r="BY23"/>
      <c r="CA23" s="5">
        <f t="shared" si="30"/>
        <v>4906.0485</v>
      </c>
      <c r="CB23" s="5">
        <f t="shared" si="31"/>
        <v>4906.0485</v>
      </c>
      <c r="CC23" s="36">
        <f>CA$7*'2014A'!$F23</f>
        <v>1049.4365616</v>
      </c>
      <c r="CD23"/>
      <c r="CF23" s="5">
        <f t="shared" si="32"/>
        <v>14279.887687499999</v>
      </c>
      <c r="CG23" s="5">
        <f t="shared" si="33"/>
        <v>14279.887687499999</v>
      </c>
      <c r="CH23" s="36">
        <f>CF$7*'2014A'!$F23</f>
        <v>3054.5634098</v>
      </c>
      <c r="CI23"/>
      <c r="CK23" s="5">
        <f t="shared" si="34"/>
        <v>724.8403125</v>
      </c>
      <c r="CL23" s="5">
        <f t="shared" si="35"/>
        <v>724.8403125</v>
      </c>
      <c r="CM23" s="36">
        <f>CK$7*'2014A'!$F23</f>
        <v>155.048187</v>
      </c>
      <c r="CN23"/>
      <c r="CP23" s="5">
        <f t="shared" si="36"/>
        <v>9574.7518125</v>
      </c>
      <c r="CQ23" s="5">
        <f t="shared" si="37"/>
        <v>9574.7518125</v>
      </c>
      <c r="CR23" s="36">
        <f>CP$7*'2014A'!$F23</f>
        <v>2048.1034014</v>
      </c>
      <c r="CS23"/>
      <c r="CU23" s="5">
        <f t="shared" si="38"/>
        <v>205620.35231249998</v>
      </c>
      <c r="CV23" s="5">
        <f t="shared" si="39"/>
        <v>205620.35231249998</v>
      </c>
      <c r="CW23" s="36">
        <f>CU$7*'2014A'!$F23</f>
        <v>43983.567534199996</v>
      </c>
      <c r="CX23"/>
      <c r="CZ23" s="5">
        <f t="shared" si="40"/>
        <v>4004.3806875</v>
      </c>
      <c r="DA23" s="36">
        <f t="shared" si="41"/>
        <v>4004.3806875</v>
      </c>
      <c r="DB23" s="36">
        <f>CZ$7*'2014A'!$F23</f>
        <v>856.5637906000001</v>
      </c>
      <c r="DC23"/>
      <c r="DE23" s="5">
        <f t="shared" si="42"/>
        <v>4585.015125</v>
      </c>
      <c r="DF23" s="36">
        <f t="shared" si="43"/>
        <v>4585.015125</v>
      </c>
      <c r="DG23" s="36">
        <f>DE$7*'2014A'!$F23</f>
        <v>980.7653772000001</v>
      </c>
      <c r="DJ23" s="5">
        <f t="shared" si="44"/>
        <v>1093.586625</v>
      </c>
      <c r="DK23" s="36">
        <f t="shared" si="45"/>
        <v>1093.586625</v>
      </c>
      <c r="DL23" s="36">
        <f>DJ$7*'2014A'!$F23</f>
        <v>233.9254876</v>
      </c>
      <c r="DO23" s="5">
        <f t="shared" si="46"/>
        <v>15819.049125</v>
      </c>
      <c r="DP23" s="5">
        <f t="shared" si="47"/>
        <v>15819.049125</v>
      </c>
      <c r="DQ23" s="36">
        <f>DO$7*'2014A'!$F23</f>
        <v>3383.8003276</v>
      </c>
      <c r="DT23" s="5">
        <f t="shared" si="48"/>
        <v>59495.13675</v>
      </c>
      <c r="DU23" s="5">
        <f t="shared" si="49"/>
        <v>59495.13675</v>
      </c>
      <c r="DV23" s="36">
        <f>DT$7*'2014A'!$F23</f>
        <v>12726.4073608</v>
      </c>
      <c r="DY23" s="5">
        <f t="shared" si="50"/>
        <v>415.39218750000003</v>
      </c>
      <c r="DZ23" s="5">
        <f t="shared" si="51"/>
        <v>415.39218750000003</v>
      </c>
      <c r="EA23" s="36">
        <f>DY$7*'2014A'!$F23</f>
        <v>88.855165</v>
      </c>
      <c r="ED23" s="36">
        <f t="shared" si="52"/>
        <v>6161.3713125</v>
      </c>
      <c r="EE23" s="36">
        <f t="shared" si="53"/>
        <v>6161.3713125</v>
      </c>
      <c r="EF23" s="36">
        <f>ED$7*'2014A'!$F23</f>
        <v>1317.9585006</v>
      </c>
    </row>
    <row r="24" spans="1:136" ht="12.75">
      <c r="A24" s="37">
        <v>46113</v>
      </c>
      <c r="C24" s="3">
        <v>7445000</v>
      </c>
      <c r="D24" s="3">
        <v>1524375</v>
      </c>
      <c r="E24" s="35">
        <f t="shared" si="0"/>
        <v>8969375</v>
      </c>
      <c r="F24" s="35"/>
      <c r="H24" s="47">
        <f t="shared" si="54"/>
        <v>2352520.237</v>
      </c>
      <c r="I24" s="36">
        <f t="shared" si="1"/>
        <v>481682.073375</v>
      </c>
      <c r="J24" s="36">
        <f t="shared" si="2"/>
        <v>2834202.3103750004</v>
      </c>
      <c r="K24" s="36">
        <f t="shared" si="3"/>
        <v>103035.01460840002</v>
      </c>
      <c r="L24"/>
      <c r="M24" s="5">
        <f t="shared" si="55"/>
        <v>21688.0295</v>
      </c>
      <c r="N24" s="5">
        <f t="shared" si="4"/>
        <v>4440.6568125</v>
      </c>
      <c r="O24" s="5">
        <f t="shared" si="5"/>
        <v>26128.6863125</v>
      </c>
      <c r="P24" s="36">
        <f>N$7*'2014A'!$F24</f>
        <v>949.8861694</v>
      </c>
      <c r="Q24"/>
      <c r="R24" s="5">
        <f t="shared" si="56"/>
        <v>1958.035</v>
      </c>
      <c r="S24" s="5">
        <f t="shared" si="6"/>
        <v>400.910625</v>
      </c>
      <c r="T24" s="5">
        <f t="shared" si="7"/>
        <v>2358.9456250000003</v>
      </c>
      <c r="U24" s="36">
        <f>S$7*'2014A'!$F24</f>
        <v>85.757462</v>
      </c>
      <c r="V24"/>
      <c r="W24" s="5">
        <f t="shared" si="57"/>
        <v>4874.986</v>
      </c>
      <c r="X24" s="5">
        <f t="shared" si="8"/>
        <v>998.16075</v>
      </c>
      <c r="Y24" s="5">
        <f t="shared" si="9"/>
        <v>5873.14675</v>
      </c>
      <c r="Z24" s="36">
        <f>X$7*'2014A'!$F24</f>
        <v>213.5132552</v>
      </c>
      <c r="AA24"/>
      <c r="AB24" s="5">
        <f t="shared" si="58"/>
        <v>166389.794</v>
      </c>
      <c r="AC24" s="5">
        <f t="shared" si="10"/>
        <v>34068.56175</v>
      </c>
      <c r="AD24" s="5">
        <f t="shared" si="11"/>
        <v>200458.35575</v>
      </c>
      <c r="AE24" s="36">
        <f>AC$7*'2014A'!$F24</f>
        <v>7287.4930408</v>
      </c>
      <c r="AF24"/>
      <c r="AG24" s="5">
        <f t="shared" si="59"/>
        <v>37867.5035</v>
      </c>
      <c r="AH24" s="5">
        <f t="shared" si="12"/>
        <v>7753.4285625</v>
      </c>
      <c r="AI24" s="5">
        <f t="shared" si="13"/>
        <v>45620.9320625</v>
      </c>
      <c r="AJ24" s="36">
        <f>AH$7*'2014A'!$F24</f>
        <v>1658.5101862000001</v>
      </c>
      <c r="AK24"/>
      <c r="AL24" s="5">
        <f t="shared" si="60"/>
        <v>13808.2415</v>
      </c>
      <c r="AM24" s="5">
        <f t="shared" si="14"/>
        <v>2827.2583125</v>
      </c>
      <c r="AN24" s="5">
        <f t="shared" si="15"/>
        <v>16635.4998125</v>
      </c>
      <c r="AO24" s="36">
        <f>AM$7*'2014A'!$F24</f>
        <v>604.7694478</v>
      </c>
      <c r="AP24"/>
      <c r="AQ24" s="5">
        <f t="shared" si="61"/>
        <v>41888.548</v>
      </c>
      <c r="AR24" s="5">
        <f t="shared" si="16"/>
        <v>8576.7435</v>
      </c>
      <c r="AS24" s="5">
        <f t="shared" si="17"/>
        <v>50465.29150000001</v>
      </c>
      <c r="AT24" s="36">
        <f>AR$7*'2014A'!$F24</f>
        <v>1834.6227536000001</v>
      </c>
      <c r="AU24"/>
      <c r="AV24" s="5">
        <f t="shared" si="62"/>
        <v>256341.77300000002</v>
      </c>
      <c r="AW24" s="5">
        <f t="shared" si="18"/>
        <v>52486.365375</v>
      </c>
      <c r="AX24" s="5">
        <f t="shared" si="19"/>
        <v>308828.13837500004</v>
      </c>
      <c r="AY24" s="36">
        <f>AW$7*'2014A'!$F24</f>
        <v>11227.1843236</v>
      </c>
      <c r="AZ24"/>
      <c r="BA24" s="5">
        <f t="shared" si="63"/>
        <v>13974.265</v>
      </c>
      <c r="BB24" s="5">
        <f t="shared" si="20"/>
        <v>2861.251875</v>
      </c>
      <c r="BC24" s="5">
        <f t="shared" si="21"/>
        <v>16835.516875</v>
      </c>
      <c r="BD24" s="36">
        <f>BB$7*'2014A'!$F24</f>
        <v>612.040898</v>
      </c>
      <c r="BE24"/>
      <c r="BF24" s="5">
        <f t="shared" si="64"/>
        <v>19151.518</v>
      </c>
      <c r="BG24" s="5">
        <f t="shared" si="22"/>
        <v>3921.3022499999997</v>
      </c>
      <c r="BH24" s="5">
        <f t="shared" si="23"/>
        <v>23072.82025</v>
      </c>
      <c r="BI24" s="36">
        <f>BG$7*'2014A'!$F24</f>
        <v>838.7927576</v>
      </c>
      <c r="BJ24"/>
      <c r="BK24" s="5">
        <f t="shared" si="65"/>
        <v>177387.548</v>
      </c>
      <c r="BL24" s="5">
        <f t="shared" si="24"/>
        <v>36320.368500000004</v>
      </c>
      <c r="BM24" s="5">
        <f t="shared" si="25"/>
        <v>213707.91650000002</v>
      </c>
      <c r="BN24" s="36">
        <f>BL$7*'2014A'!$F24</f>
        <v>7769.169553600001</v>
      </c>
      <c r="BO24"/>
      <c r="BP24" s="5">
        <f t="shared" si="66"/>
        <v>1265.65</v>
      </c>
      <c r="BQ24" s="5">
        <f t="shared" si="26"/>
        <v>259.14375</v>
      </c>
      <c r="BR24" s="5">
        <f t="shared" si="27"/>
        <v>1524.79375</v>
      </c>
      <c r="BS24" s="36">
        <f>BQ$7*'2014A'!$F24</f>
        <v>55.43258</v>
      </c>
      <c r="BT24"/>
      <c r="BU24" s="5">
        <f t="shared" si="67"/>
        <v>430.321</v>
      </c>
      <c r="BV24" s="5">
        <f t="shared" si="28"/>
        <v>88.108875</v>
      </c>
      <c r="BW24" s="5">
        <f t="shared" si="29"/>
        <v>518.429875</v>
      </c>
      <c r="BX24" s="36">
        <f>BV$7*'2014A'!$F24</f>
        <v>18.8470772</v>
      </c>
      <c r="BY24"/>
      <c r="BZ24" s="5">
        <f t="shared" si="68"/>
        <v>23960.988</v>
      </c>
      <c r="CA24" s="5">
        <f t="shared" si="30"/>
        <v>4906.0485</v>
      </c>
      <c r="CB24" s="5">
        <f t="shared" si="31"/>
        <v>28867.036500000002</v>
      </c>
      <c r="CC24" s="36">
        <f>CA$7*'2014A'!$F24</f>
        <v>1049.4365616</v>
      </c>
      <c r="CD24"/>
      <c r="CE24" s="5">
        <f t="shared" si="69"/>
        <v>69742.52649999999</v>
      </c>
      <c r="CF24" s="5">
        <f t="shared" si="32"/>
        <v>14279.887687499999</v>
      </c>
      <c r="CG24" s="5">
        <f t="shared" si="33"/>
        <v>84022.41418749999</v>
      </c>
      <c r="CH24" s="36">
        <f>CF$7*'2014A'!$F24</f>
        <v>3054.5634098</v>
      </c>
      <c r="CI24"/>
      <c r="CJ24" s="5">
        <f t="shared" si="70"/>
        <v>3540.0975000000003</v>
      </c>
      <c r="CK24" s="5">
        <f t="shared" si="34"/>
        <v>724.8403125</v>
      </c>
      <c r="CL24" s="5">
        <f t="shared" si="35"/>
        <v>4264.9378125</v>
      </c>
      <c r="CM24" s="36">
        <f>CK$7*'2014A'!$F24</f>
        <v>155.048187</v>
      </c>
      <c r="CN24"/>
      <c r="CO24" s="5">
        <f t="shared" si="71"/>
        <v>46762.789500000006</v>
      </c>
      <c r="CP24" s="5">
        <f t="shared" si="36"/>
        <v>9574.7518125</v>
      </c>
      <c r="CQ24" s="5">
        <f t="shared" si="37"/>
        <v>56337.541312500005</v>
      </c>
      <c r="CR24" s="36">
        <f>CP$7*'2014A'!$F24</f>
        <v>2048.1034014</v>
      </c>
      <c r="CS24"/>
      <c r="CT24" s="5">
        <f t="shared" si="72"/>
        <v>1004243.3934999999</v>
      </c>
      <c r="CU24" s="5">
        <f t="shared" si="38"/>
        <v>205620.35231249998</v>
      </c>
      <c r="CV24" s="5">
        <f t="shared" si="39"/>
        <v>1209863.7458125</v>
      </c>
      <c r="CW24" s="36">
        <f>CU$7*'2014A'!$F24</f>
        <v>43983.567534199996</v>
      </c>
      <c r="CX24"/>
      <c r="CY24" s="5">
        <f t="shared" si="73"/>
        <v>19557.270500000002</v>
      </c>
      <c r="CZ24" s="5">
        <f t="shared" si="40"/>
        <v>4004.3806875</v>
      </c>
      <c r="DA24" s="36">
        <f t="shared" si="41"/>
        <v>23561.651187500003</v>
      </c>
      <c r="DB24" s="36">
        <f>CZ$7*'2014A'!$F24</f>
        <v>856.5637906000001</v>
      </c>
      <c r="DC24"/>
      <c r="DD24" s="5">
        <f t="shared" si="74"/>
        <v>22393.071</v>
      </c>
      <c r="DE24" s="5">
        <f t="shared" si="42"/>
        <v>4585.015125</v>
      </c>
      <c r="DF24" s="36">
        <f t="shared" si="43"/>
        <v>26978.086125</v>
      </c>
      <c r="DG24" s="36">
        <f>DE$7*'2014A'!$F24</f>
        <v>980.7653772000001</v>
      </c>
      <c r="DI24" s="5">
        <f t="shared" si="75"/>
        <v>5341.043</v>
      </c>
      <c r="DJ24" s="5">
        <f t="shared" si="44"/>
        <v>1093.586625</v>
      </c>
      <c r="DK24" s="36">
        <f t="shared" si="45"/>
        <v>6434.629625</v>
      </c>
      <c r="DL24" s="36">
        <f>DJ$7*'2014A'!$F24</f>
        <v>233.9254876</v>
      </c>
      <c r="DN24" s="5">
        <f t="shared" si="76"/>
        <v>77259.743</v>
      </c>
      <c r="DO24" s="5">
        <f t="shared" si="46"/>
        <v>15819.049125</v>
      </c>
      <c r="DP24" s="5">
        <f t="shared" si="47"/>
        <v>93078.792125</v>
      </c>
      <c r="DQ24" s="36">
        <f>DO$7*'2014A'!$F24</f>
        <v>3383.8003276</v>
      </c>
      <c r="DS24" s="5">
        <f t="shared" si="77"/>
        <v>290572.394</v>
      </c>
      <c r="DT24" s="5">
        <f t="shared" si="48"/>
        <v>59495.13675</v>
      </c>
      <c r="DU24" s="5">
        <f t="shared" si="49"/>
        <v>350067.53075</v>
      </c>
      <c r="DV24" s="36">
        <f>DT$7*'2014A'!$F24</f>
        <v>12726.4073608</v>
      </c>
      <c r="DX24" s="5">
        <f t="shared" si="78"/>
        <v>2028.7625</v>
      </c>
      <c r="DY24" s="5">
        <f t="shared" si="50"/>
        <v>415.39218750000003</v>
      </c>
      <c r="DZ24" s="5">
        <f t="shared" si="51"/>
        <v>2444.1546875</v>
      </c>
      <c r="EA24" s="36">
        <f>DY$7*'2014A'!$F24</f>
        <v>88.855165</v>
      </c>
      <c r="EC24" s="5">
        <f t="shared" si="79"/>
        <v>30091.9455</v>
      </c>
      <c r="ED24" s="36">
        <f t="shared" si="52"/>
        <v>6161.3713125</v>
      </c>
      <c r="EE24" s="36">
        <f t="shared" si="53"/>
        <v>36253.3168125</v>
      </c>
      <c r="EF24" s="36">
        <f>ED$7*'2014A'!$F24</f>
        <v>1317.9585006</v>
      </c>
    </row>
    <row r="25" spans="1:136" ht="12.75">
      <c r="A25" s="37">
        <v>46296</v>
      </c>
      <c r="D25" s="3">
        <v>1412700</v>
      </c>
      <c r="E25" s="35">
        <f t="shared" si="0"/>
        <v>1412700</v>
      </c>
      <c r="F25" s="35"/>
      <c r="H25" s="47"/>
      <c r="I25" s="36">
        <f t="shared" si="1"/>
        <v>446394.26982</v>
      </c>
      <c r="J25" s="36">
        <f t="shared" si="2"/>
        <v>446394.26982</v>
      </c>
      <c r="K25" s="36">
        <f t="shared" si="3"/>
        <v>103035.01460840002</v>
      </c>
      <c r="L25"/>
      <c r="N25" s="5">
        <f t="shared" si="4"/>
        <v>4115.33637</v>
      </c>
      <c r="O25" s="5">
        <f t="shared" si="5"/>
        <v>4115.33637</v>
      </c>
      <c r="P25" s="36">
        <f>N$7*'2014A'!$F25</f>
        <v>949.8861694</v>
      </c>
      <c r="Q25"/>
      <c r="S25" s="5">
        <f t="shared" si="6"/>
        <v>371.5401</v>
      </c>
      <c r="T25" s="5">
        <f t="shared" si="7"/>
        <v>371.5401</v>
      </c>
      <c r="U25" s="36">
        <f>S$7*'2014A'!$F25</f>
        <v>85.757462</v>
      </c>
      <c r="V25"/>
      <c r="X25" s="5">
        <f t="shared" si="8"/>
        <v>925.0359599999999</v>
      </c>
      <c r="Y25" s="5">
        <f t="shared" si="9"/>
        <v>925.0359599999999</v>
      </c>
      <c r="Z25" s="36">
        <f>X$7*'2014A'!$F25</f>
        <v>213.5132552</v>
      </c>
      <c r="AA25"/>
      <c r="AC25" s="5">
        <f t="shared" si="10"/>
        <v>31572.71484</v>
      </c>
      <c r="AD25" s="5">
        <f t="shared" si="11"/>
        <v>31572.71484</v>
      </c>
      <c r="AE25" s="36">
        <f>AC$7*'2014A'!$F25</f>
        <v>7287.4930408</v>
      </c>
      <c r="AF25"/>
      <c r="AH25" s="5">
        <f t="shared" si="12"/>
        <v>7185.41601</v>
      </c>
      <c r="AI25" s="5">
        <f t="shared" si="13"/>
        <v>7185.41601</v>
      </c>
      <c r="AJ25" s="36">
        <f>AH$7*'2014A'!$F25</f>
        <v>1658.5101862000001</v>
      </c>
      <c r="AK25"/>
      <c r="AM25" s="5">
        <f t="shared" si="14"/>
        <v>2620.13469</v>
      </c>
      <c r="AN25" s="5">
        <f t="shared" si="15"/>
        <v>2620.13469</v>
      </c>
      <c r="AO25" s="36">
        <f>AM$7*'2014A'!$F25</f>
        <v>604.7694478</v>
      </c>
      <c r="AP25"/>
      <c r="AR25" s="5">
        <f t="shared" si="16"/>
        <v>7948.41528</v>
      </c>
      <c r="AS25" s="5">
        <f t="shared" si="17"/>
        <v>7948.41528</v>
      </c>
      <c r="AT25" s="36">
        <f>AR$7*'2014A'!$F25</f>
        <v>1834.6227536000001</v>
      </c>
      <c r="AU25"/>
      <c r="AW25" s="5">
        <f t="shared" si="18"/>
        <v>48641.23878</v>
      </c>
      <c r="AX25" s="5">
        <f t="shared" si="19"/>
        <v>48641.23878</v>
      </c>
      <c r="AY25" s="36">
        <f>AW$7*'2014A'!$F25</f>
        <v>11227.1843236</v>
      </c>
      <c r="AZ25"/>
      <c r="BB25" s="5">
        <f t="shared" si="20"/>
        <v>2651.6379</v>
      </c>
      <c r="BC25" s="5">
        <f t="shared" si="21"/>
        <v>2651.6379</v>
      </c>
      <c r="BD25" s="36">
        <f>BB$7*'2014A'!$F25</f>
        <v>612.040898</v>
      </c>
      <c r="BE25"/>
      <c r="BG25" s="5">
        <f t="shared" si="22"/>
        <v>3634.0294799999997</v>
      </c>
      <c r="BH25" s="5">
        <f t="shared" si="23"/>
        <v>3634.0294799999997</v>
      </c>
      <c r="BI25" s="36">
        <f>BG$7*'2014A'!$F25</f>
        <v>838.7927576</v>
      </c>
      <c r="BJ25"/>
      <c r="BL25" s="5">
        <f t="shared" si="24"/>
        <v>33659.55528</v>
      </c>
      <c r="BM25" s="5">
        <f t="shared" si="25"/>
        <v>33659.55528</v>
      </c>
      <c r="BN25" s="36">
        <f>BL$7*'2014A'!$F25</f>
        <v>7769.169553600001</v>
      </c>
      <c r="BO25"/>
      <c r="BQ25" s="5">
        <f t="shared" si="26"/>
        <v>240.15900000000002</v>
      </c>
      <c r="BR25" s="5">
        <f t="shared" si="27"/>
        <v>240.15900000000002</v>
      </c>
      <c r="BS25" s="36">
        <f>BQ$7*'2014A'!$F25</f>
        <v>55.43258</v>
      </c>
      <c r="BT25"/>
      <c r="BV25" s="5">
        <f t="shared" si="28"/>
        <v>81.65406</v>
      </c>
      <c r="BW25" s="5">
        <f t="shared" si="29"/>
        <v>81.65406</v>
      </c>
      <c r="BX25" s="36">
        <f>BV$7*'2014A'!$F25</f>
        <v>18.8470772</v>
      </c>
      <c r="BY25"/>
      <c r="CA25" s="5">
        <f t="shared" si="30"/>
        <v>4546.63368</v>
      </c>
      <c r="CB25" s="5">
        <f t="shared" si="31"/>
        <v>4546.63368</v>
      </c>
      <c r="CC25" s="36">
        <f>CA$7*'2014A'!$F25</f>
        <v>1049.4365616</v>
      </c>
      <c r="CD25"/>
      <c r="CF25" s="5">
        <f t="shared" si="32"/>
        <v>13233.74979</v>
      </c>
      <c r="CG25" s="5">
        <f t="shared" si="33"/>
        <v>13233.74979</v>
      </c>
      <c r="CH25" s="36">
        <f>CF$7*'2014A'!$F25</f>
        <v>3054.5634098</v>
      </c>
      <c r="CI25"/>
      <c r="CK25" s="5">
        <f t="shared" si="34"/>
        <v>671.7388500000001</v>
      </c>
      <c r="CL25" s="5">
        <f t="shared" si="35"/>
        <v>671.7388500000001</v>
      </c>
      <c r="CM25" s="36">
        <f>CK$7*'2014A'!$F25</f>
        <v>155.048187</v>
      </c>
      <c r="CN25"/>
      <c r="CP25" s="5">
        <f t="shared" si="36"/>
        <v>8873.30997</v>
      </c>
      <c r="CQ25" s="5">
        <f t="shared" si="37"/>
        <v>8873.30997</v>
      </c>
      <c r="CR25" s="36">
        <f>CP$7*'2014A'!$F25</f>
        <v>2048.1034014</v>
      </c>
      <c r="CS25"/>
      <c r="CU25" s="5">
        <f t="shared" si="38"/>
        <v>190556.70140999998</v>
      </c>
      <c r="CV25" s="5">
        <f t="shared" si="39"/>
        <v>190556.70140999998</v>
      </c>
      <c r="CW25" s="36">
        <f>CU$7*'2014A'!$F25</f>
        <v>43983.567534199996</v>
      </c>
      <c r="CX25"/>
      <c r="CZ25" s="5">
        <f t="shared" si="40"/>
        <v>3711.02163</v>
      </c>
      <c r="DA25" s="36">
        <f t="shared" si="41"/>
        <v>3711.02163</v>
      </c>
      <c r="DB25" s="36">
        <f>CZ$7*'2014A'!$F25</f>
        <v>856.5637906000001</v>
      </c>
      <c r="DC25"/>
      <c r="DE25" s="5">
        <f t="shared" si="42"/>
        <v>4249.11906</v>
      </c>
      <c r="DF25" s="36">
        <f t="shared" si="43"/>
        <v>4249.11906</v>
      </c>
      <c r="DG25" s="36">
        <f>DE$7*'2014A'!$F25</f>
        <v>980.7653772000001</v>
      </c>
      <c r="DJ25" s="5">
        <f t="shared" si="44"/>
        <v>1013.4709799999999</v>
      </c>
      <c r="DK25" s="36">
        <f t="shared" si="45"/>
        <v>1013.4709799999999</v>
      </c>
      <c r="DL25" s="36">
        <f>DJ$7*'2014A'!$F25</f>
        <v>233.9254876</v>
      </c>
      <c r="DO25" s="5">
        <f t="shared" si="46"/>
        <v>14660.15298</v>
      </c>
      <c r="DP25" s="5">
        <f t="shared" si="47"/>
        <v>14660.15298</v>
      </c>
      <c r="DQ25" s="36">
        <f>DO$7*'2014A'!$F25</f>
        <v>3383.8003276</v>
      </c>
      <c r="DT25" s="5">
        <f t="shared" si="48"/>
        <v>55136.55084</v>
      </c>
      <c r="DU25" s="5">
        <f t="shared" si="49"/>
        <v>55136.55084</v>
      </c>
      <c r="DV25" s="36">
        <f>DT$7*'2014A'!$F25</f>
        <v>12726.4073608</v>
      </c>
      <c r="DY25" s="5">
        <f t="shared" si="50"/>
        <v>384.96075</v>
      </c>
      <c r="DZ25" s="5">
        <f t="shared" si="51"/>
        <v>384.96075</v>
      </c>
      <c r="EA25" s="36">
        <f>DY$7*'2014A'!$F25</f>
        <v>88.855165</v>
      </c>
      <c r="ED25" s="36">
        <f t="shared" si="52"/>
        <v>5709.9921300000005</v>
      </c>
      <c r="EE25" s="36">
        <f t="shared" si="53"/>
        <v>5709.9921300000005</v>
      </c>
      <c r="EF25" s="36">
        <f>ED$7*'2014A'!$F25</f>
        <v>1317.9585006</v>
      </c>
    </row>
    <row r="26" spans="1:136" ht="12.75">
      <c r="A26" s="37">
        <v>46478</v>
      </c>
      <c r="C26" s="3">
        <v>7665000</v>
      </c>
      <c r="D26" s="3">
        <v>1412700</v>
      </c>
      <c r="E26" s="35">
        <f t="shared" si="0"/>
        <v>9077700</v>
      </c>
      <c r="F26" s="35"/>
      <c r="H26" s="47">
        <f t="shared" si="54"/>
        <v>2422037.289</v>
      </c>
      <c r="I26" s="36">
        <f t="shared" si="1"/>
        <v>446394.26982</v>
      </c>
      <c r="J26" s="36">
        <f t="shared" si="2"/>
        <v>2868431.55882</v>
      </c>
      <c r="K26" s="36">
        <f t="shared" si="3"/>
        <v>103035.01460840002</v>
      </c>
      <c r="L26"/>
      <c r="M26" s="5">
        <f t="shared" si="55"/>
        <v>22328.911500000002</v>
      </c>
      <c r="N26" s="5">
        <f t="shared" si="4"/>
        <v>4115.33637</v>
      </c>
      <c r="O26" s="5">
        <f t="shared" si="5"/>
        <v>26444.247870000003</v>
      </c>
      <c r="P26" s="36">
        <f>N$7*'2014A'!$F26</f>
        <v>949.8861694</v>
      </c>
      <c r="Q26"/>
      <c r="R26" s="5">
        <f t="shared" si="56"/>
        <v>2015.895</v>
      </c>
      <c r="S26" s="5">
        <f t="shared" si="6"/>
        <v>371.5401</v>
      </c>
      <c r="T26" s="5">
        <f t="shared" si="7"/>
        <v>2387.4351</v>
      </c>
      <c r="U26" s="36">
        <f>S$7*'2014A'!$F26</f>
        <v>85.757462</v>
      </c>
      <c r="V26"/>
      <c r="W26" s="5">
        <f t="shared" si="57"/>
        <v>5019.0419999999995</v>
      </c>
      <c r="X26" s="5">
        <f t="shared" si="8"/>
        <v>925.0359599999999</v>
      </c>
      <c r="Y26" s="5">
        <f t="shared" si="9"/>
        <v>5944.07796</v>
      </c>
      <c r="Z26" s="36">
        <f>X$7*'2014A'!$F26</f>
        <v>213.5132552</v>
      </c>
      <c r="AA26"/>
      <c r="AB26" s="5">
        <f t="shared" si="58"/>
        <v>171306.618</v>
      </c>
      <c r="AC26" s="5">
        <f t="shared" si="10"/>
        <v>31572.71484</v>
      </c>
      <c r="AD26" s="5">
        <f t="shared" si="11"/>
        <v>202879.33284</v>
      </c>
      <c r="AE26" s="36">
        <f>AC$7*'2014A'!$F26</f>
        <v>7287.4930408</v>
      </c>
      <c r="AF26"/>
      <c r="AG26" s="5">
        <f t="shared" si="59"/>
        <v>38986.4895</v>
      </c>
      <c r="AH26" s="5">
        <f t="shared" si="12"/>
        <v>7185.41601</v>
      </c>
      <c r="AI26" s="5">
        <f t="shared" si="13"/>
        <v>46171.905510000004</v>
      </c>
      <c r="AJ26" s="36">
        <f>AH$7*'2014A'!$F26</f>
        <v>1658.5101862000001</v>
      </c>
      <c r="AK26"/>
      <c r="AL26" s="5">
        <f t="shared" si="60"/>
        <v>14216.2755</v>
      </c>
      <c r="AM26" s="5">
        <f t="shared" si="14"/>
        <v>2620.13469</v>
      </c>
      <c r="AN26" s="5">
        <f t="shared" si="15"/>
        <v>16836.41019</v>
      </c>
      <c r="AO26" s="36">
        <f>AM$7*'2014A'!$F26</f>
        <v>604.7694478</v>
      </c>
      <c r="AP26"/>
      <c r="AQ26" s="5">
        <f t="shared" si="61"/>
        <v>43126.356</v>
      </c>
      <c r="AR26" s="5">
        <f t="shared" si="16"/>
        <v>7948.41528</v>
      </c>
      <c r="AS26" s="5">
        <f t="shared" si="17"/>
        <v>51074.77128</v>
      </c>
      <c r="AT26" s="36">
        <f>AR$7*'2014A'!$F26</f>
        <v>1834.6227536000001</v>
      </c>
      <c r="AU26"/>
      <c r="AV26" s="5">
        <f t="shared" si="62"/>
        <v>263916.681</v>
      </c>
      <c r="AW26" s="5">
        <f t="shared" si="18"/>
        <v>48641.23878</v>
      </c>
      <c r="AX26" s="5">
        <f t="shared" si="19"/>
        <v>312557.91978</v>
      </c>
      <c r="AY26" s="36">
        <f>AW$7*'2014A'!$F26</f>
        <v>11227.1843236</v>
      </c>
      <c r="AZ26"/>
      <c r="BA26" s="5">
        <f t="shared" si="63"/>
        <v>14387.205</v>
      </c>
      <c r="BB26" s="5">
        <f t="shared" si="20"/>
        <v>2651.6379</v>
      </c>
      <c r="BC26" s="5">
        <f t="shared" si="21"/>
        <v>17038.8429</v>
      </c>
      <c r="BD26" s="36">
        <f>BB$7*'2014A'!$F26</f>
        <v>612.040898</v>
      </c>
      <c r="BE26"/>
      <c r="BF26" s="5">
        <f t="shared" si="64"/>
        <v>19717.446</v>
      </c>
      <c r="BG26" s="5">
        <f t="shared" si="22"/>
        <v>3634.0294799999997</v>
      </c>
      <c r="BH26" s="5">
        <f t="shared" si="23"/>
        <v>23351.47548</v>
      </c>
      <c r="BI26" s="36">
        <f>BG$7*'2014A'!$F26</f>
        <v>838.7927576</v>
      </c>
      <c r="BJ26"/>
      <c r="BK26" s="5">
        <f t="shared" si="65"/>
        <v>182629.356</v>
      </c>
      <c r="BL26" s="5">
        <f t="shared" si="24"/>
        <v>33659.55528</v>
      </c>
      <c r="BM26" s="5">
        <f t="shared" si="25"/>
        <v>216288.91128</v>
      </c>
      <c r="BN26" s="36">
        <f>BL$7*'2014A'!$F26</f>
        <v>7769.169553600001</v>
      </c>
      <c r="BO26"/>
      <c r="BP26" s="5">
        <f t="shared" si="66"/>
        <v>1303.0500000000002</v>
      </c>
      <c r="BQ26" s="5">
        <f t="shared" si="26"/>
        <v>240.15900000000002</v>
      </c>
      <c r="BR26" s="5">
        <f t="shared" si="27"/>
        <v>1543.2090000000003</v>
      </c>
      <c r="BS26" s="36">
        <f>BQ$7*'2014A'!$F26</f>
        <v>55.43258</v>
      </c>
      <c r="BT26"/>
      <c r="BU26" s="5">
        <f t="shared" si="67"/>
        <v>443.03700000000003</v>
      </c>
      <c r="BV26" s="5">
        <f t="shared" si="28"/>
        <v>81.65406</v>
      </c>
      <c r="BW26" s="5">
        <f t="shared" si="29"/>
        <v>524.69106</v>
      </c>
      <c r="BX26" s="36">
        <f>BV$7*'2014A'!$F26</f>
        <v>18.8470772</v>
      </c>
      <c r="BY26"/>
      <c r="BZ26" s="5">
        <f t="shared" si="68"/>
        <v>24669.036</v>
      </c>
      <c r="CA26" s="5">
        <f t="shared" si="30"/>
        <v>4546.63368</v>
      </c>
      <c r="CB26" s="5">
        <f t="shared" si="31"/>
        <v>29215.66968</v>
      </c>
      <c r="CC26" s="36">
        <f>CA$7*'2014A'!$F26</f>
        <v>1049.4365616</v>
      </c>
      <c r="CD26"/>
      <c r="CE26" s="5">
        <f t="shared" si="69"/>
        <v>71803.4205</v>
      </c>
      <c r="CF26" s="5">
        <f t="shared" si="32"/>
        <v>13233.74979</v>
      </c>
      <c r="CG26" s="5">
        <f t="shared" si="33"/>
        <v>85037.17029</v>
      </c>
      <c r="CH26" s="36">
        <f>CF$7*'2014A'!$F26</f>
        <v>3054.5634098</v>
      </c>
      <c r="CI26"/>
      <c r="CJ26" s="5">
        <f t="shared" si="70"/>
        <v>3644.7075</v>
      </c>
      <c r="CK26" s="5">
        <f t="shared" si="34"/>
        <v>671.7388500000001</v>
      </c>
      <c r="CL26" s="5">
        <f t="shared" si="35"/>
        <v>4316.44635</v>
      </c>
      <c r="CM26" s="36">
        <f>CK$7*'2014A'!$F26</f>
        <v>155.048187</v>
      </c>
      <c r="CN26"/>
      <c r="CO26" s="5">
        <f t="shared" si="71"/>
        <v>48144.6315</v>
      </c>
      <c r="CP26" s="5">
        <f t="shared" si="36"/>
        <v>8873.30997</v>
      </c>
      <c r="CQ26" s="5">
        <f t="shared" si="37"/>
        <v>57017.941470000005</v>
      </c>
      <c r="CR26" s="36">
        <f>CP$7*'2014A'!$F26</f>
        <v>2048.1034014</v>
      </c>
      <c r="CS26"/>
      <c r="CT26" s="5">
        <f t="shared" si="72"/>
        <v>1033918.8194999999</v>
      </c>
      <c r="CU26" s="5">
        <f t="shared" si="38"/>
        <v>190556.70140999998</v>
      </c>
      <c r="CV26" s="5">
        <f t="shared" si="39"/>
        <v>1224475.52091</v>
      </c>
      <c r="CW26" s="36">
        <f>CU$7*'2014A'!$F26</f>
        <v>43983.567534199996</v>
      </c>
      <c r="CX26"/>
      <c r="CY26" s="5">
        <f t="shared" si="73"/>
        <v>20135.1885</v>
      </c>
      <c r="CZ26" s="5">
        <f t="shared" si="40"/>
        <v>3711.02163</v>
      </c>
      <c r="DA26" s="36">
        <f t="shared" si="41"/>
        <v>23846.21013</v>
      </c>
      <c r="DB26" s="36">
        <f>CZ$7*'2014A'!$F26</f>
        <v>856.5637906000001</v>
      </c>
      <c r="DC26"/>
      <c r="DD26" s="5">
        <f t="shared" si="74"/>
        <v>23054.787</v>
      </c>
      <c r="DE26" s="5">
        <f t="shared" si="42"/>
        <v>4249.11906</v>
      </c>
      <c r="DF26" s="36">
        <f t="shared" si="43"/>
        <v>27303.90606</v>
      </c>
      <c r="DG26" s="36">
        <f>DE$7*'2014A'!$F26</f>
        <v>980.7653772000001</v>
      </c>
      <c r="DI26" s="5">
        <f t="shared" si="75"/>
        <v>5498.871</v>
      </c>
      <c r="DJ26" s="5">
        <f t="shared" si="44"/>
        <v>1013.4709799999999</v>
      </c>
      <c r="DK26" s="36">
        <f t="shared" si="45"/>
        <v>6512.34198</v>
      </c>
      <c r="DL26" s="36">
        <f>DJ$7*'2014A'!$F26</f>
        <v>233.9254876</v>
      </c>
      <c r="DN26" s="5">
        <f t="shared" si="76"/>
        <v>79542.77100000001</v>
      </c>
      <c r="DO26" s="5">
        <f t="shared" si="46"/>
        <v>14660.15298</v>
      </c>
      <c r="DP26" s="5">
        <f t="shared" si="47"/>
        <v>94202.92398</v>
      </c>
      <c r="DQ26" s="36">
        <f>DO$7*'2014A'!$F26</f>
        <v>3383.8003276</v>
      </c>
      <c r="DS26" s="5">
        <f t="shared" si="77"/>
        <v>299158.818</v>
      </c>
      <c r="DT26" s="5">
        <f t="shared" si="48"/>
        <v>55136.55084</v>
      </c>
      <c r="DU26" s="5">
        <f t="shared" si="49"/>
        <v>354295.36884</v>
      </c>
      <c r="DV26" s="36">
        <f>DT$7*'2014A'!$F26</f>
        <v>12726.4073608</v>
      </c>
      <c r="DX26" s="5">
        <f t="shared" si="78"/>
        <v>2088.7125</v>
      </c>
      <c r="DY26" s="5">
        <f t="shared" si="50"/>
        <v>384.96075</v>
      </c>
      <c r="DZ26" s="5">
        <f t="shared" si="51"/>
        <v>2473.6732500000003</v>
      </c>
      <c r="EA26" s="36">
        <f>DY$7*'2014A'!$F26</f>
        <v>88.855165</v>
      </c>
      <c r="EC26" s="5">
        <f t="shared" si="79"/>
        <v>30981.163500000002</v>
      </c>
      <c r="ED26" s="36">
        <f t="shared" si="52"/>
        <v>5709.9921300000005</v>
      </c>
      <c r="EE26" s="36">
        <f t="shared" si="53"/>
        <v>36691.15563</v>
      </c>
      <c r="EF26" s="36">
        <f>ED$7*'2014A'!$F26</f>
        <v>1317.9585006</v>
      </c>
    </row>
    <row r="27" spans="1:136" ht="12.75">
      <c r="A27" s="37">
        <v>46661</v>
      </c>
      <c r="D27" s="3">
        <v>1259400</v>
      </c>
      <c r="E27" s="35">
        <f t="shared" si="0"/>
        <v>1259400</v>
      </c>
      <c r="F27" s="35"/>
      <c r="H27" s="47"/>
      <c r="I27" s="36">
        <f t="shared" si="1"/>
        <v>397953.52403999993</v>
      </c>
      <c r="J27" s="36">
        <f t="shared" si="2"/>
        <v>397953.52403999993</v>
      </c>
      <c r="K27" s="36">
        <f t="shared" si="3"/>
        <v>103035.01460840002</v>
      </c>
      <c r="L27"/>
      <c r="N27" s="5">
        <f t="shared" si="4"/>
        <v>3668.75814</v>
      </c>
      <c r="O27" s="5">
        <f t="shared" si="5"/>
        <v>3668.75814</v>
      </c>
      <c r="P27" s="36">
        <f>N$7*'2014A'!$F27</f>
        <v>949.8861694</v>
      </c>
      <c r="Q27"/>
      <c r="S27" s="5">
        <f t="shared" si="6"/>
        <v>331.2222</v>
      </c>
      <c r="T27" s="5">
        <f t="shared" si="7"/>
        <v>331.2222</v>
      </c>
      <c r="U27" s="36">
        <f>S$7*'2014A'!$F27</f>
        <v>85.757462</v>
      </c>
      <c r="V27"/>
      <c r="X27" s="5">
        <f t="shared" si="8"/>
        <v>824.65512</v>
      </c>
      <c r="Y27" s="5">
        <f t="shared" si="9"/>
        <v>824.65512</v>
      </c>
      <c r="Z27" s="36">
        <f>X$7*'2014A'!$F27</f>
        <v>213.5132552</v>
      </c>
      <c r="AA27"/>
      <c r="AC27" s="5">
        <f t="shared" si="10"/>
        <v>28146.58248</v>
      </c>
      <c r="AD27" s="5">
        <f t="shared" si="11"/>
        <v>28146.58248</v>
      </c>
      <c r="AE27" s="36">
        <f>AC$7*'2014A'!$F27</f>
        <v>7287.4930408</v>
      </c>
      <c r="AF27"/>
      <c r="AH27" s="5">
        <f t="shared" si="12"/>
        <v>6405.6862200000005</v>
      </c>
      <c r="AI27" s="5">
        <f t="shared" si="13"/>
        <v>6405.6862200000005</v>
      </c>
      <c r="AJ27" s="36">
        <f>AH$7*'2014A'!$F27</f>
        <v>1658.5101862000001</v>
      </c>
      <c r="AK27"/>
      <c r="AM27" s="5">
        <f t="shared" si="14"/>
        <v>2335.8091799999997</v>
      </c>
      <c r="AN27" s="5">
        <f t="shared" si="15"/>
        <v>2335.8091799999997</v>
      </c>
      <c r="AO27" s="36">
        <f>AM$7*'2014A'!$F27</f>
        <v>604.7694478</v>
      </c>
      <c r="AP27"/>
      <c r="AR27" s="5">
        <f t="shared" si="16"/>
        <v>7085.88816</v>
      </c>
      <c r="AS27" s="5">
        <f t="shared" si="17"/>
        <v>7085.88816</v>
      </c>
      <c r="AT27" s="36">
        <f>AR$7*'2014A'!$F27</f>
        <v>1834.6227536000001</v>
      </c>
      <c r="AU27"/>
      <c r="AW27" s="5">
        <f t="shared" si="18"/>
        <v>43362.90516</v>
      </c>
      <c r="AX27" s="5">
        <f t="shared" si="19"/>
        <v>43362.90516</v>
      </c>
      <c r="AY27" s="36">
        <f>AW$7*'2014A'!$F27</f>
        <v>11227.1843236</v>
      </c>
      <c r="AZ27"/>
      <c r="BB27" s="5">
        <f t="shared" si="20"/>
        <v>2363.8938</v>
      </c>
      <c r="BC27" s="5">
        <f t="shared" si="21"/>
        <v>2363.8938</v>
      </c>
      <c r="BD27" s="36">
        <f>BB$7*'2014A'!$F27</f>
        <v>612.040898</v>
      </c>
      <c r="BE27"/>
      <c r="BG27" s="5">
        <f t="shared" si="22"/>
        <v>3239.68056</v>
      </c>
      <c r="BH27" s="5">
        <f t="shared" si="23"/>
        <v>3239.68056</v>
      </c>
      <c r="BI27" s="36">
        <f>BG$7*'2014A'!$F27</f>
        <v>838.7927576</v>
      </c>
      <c r="BJ27"/>
      <c r="BL27" s="5">
        <f t="shared" si="24"/>
        <v>30006.96816</v>
      </c>
      <c r="BM27" s="5">
        <f t="shared" si="25"/>
        <v>30006.96816</v>
      </c>
      <c r="BN27" s="36">
        <f>BL$7*'2014A'!$F27</f>
        <v>7769.169553600001</v>
      </c>
      <c r="BO27"/>
      <c r="BQ27" s="5">
        <f t="shared" si="26"/>
        <v>214.098</v>
      </c>
      <c r="BR27" s="5">
        <f t="shared" si="27"/>
        <v>214.098</v>
      </c>
      <c r="BS27" s="36">
        <f>BQ$7*'2014A'!$F27</f>
        <v>55.43258</v>
      </c>
      <c r="BT27"/>
      <c r="BV27" s="5">
        <f t="shared" si="28"/>
        <v>72.79332000000001</v>
      </c>
      <c r="BW27" s="5">
        <f t="shared" si="29"/>
        <v>72.79332000000001</v>
      </c>
      <c r="BX27" s="36">
        <f>BV$7*'2014A'!$F27</f>
        <v>18.8470772</v>
      </c>
      <c r="BY27"/>
      <c r="CA27" s="5">
        <f t="shared" si="30"/>
        <v>4053.2529600000003</v>
      </c>
      <c r="CB27" s="5">
        <f t="shared" si="31"/>
        <v>4053.2529600000003</v>
      </c>
      <c r="CC27" s="36">
        <f>CA$7*'2014A'!$F27</f>
        <v>1049.4365616</v>
      </c>
      <c r="CD27"/>
      <c r="CF27" s="5">
        <f t="shared" si="32"/>
        <v>11797.68138</v>
      </c>
      <c r="CG27" s="5">
        <f t="shared" si="33"/>
        <v>11797.68138</v>
      </c>
      <c r="CH27" s="36">
        <f>CF$7*'2014A'!$F27</f>
        <v>3054.5634098</v>
      </c>
      <c r="CI27"/>
      <c r="CK27" s="5">
        <f t="shared" si="34"/>
        <v>598.8447</v>
      </c>
      <c r="CL27" s="5">
        <f t="shared" si="35"/>
        <v>598.8447</v>
      </c>
      <c r="CM27" s="36">
        <f>CK$7*'2014A'!$F27</f>
        <v>155.048187</v>
      </c>
      <c r="CN27"/>
      <c r="CP27" s="5">
        <f t="shared" si="36"/>
        <v>7910.417340000001</v>
      </c>
      <c r="CQ27" s="5">
        <f t="shared" si="37"/>
        <v>7910.417340000001</v>
      </c>
      <c r="CR27" s="36">
        <f>CP$7*'2014A'!$F27</f>
        <v>2048.1034014</v>
      </c>
      <c r="CS27"/>
      <c r="CU27" s="5">
        <f t="shared" si="38"/>
        <v>169878.32502</v>
      </c>
      <c r="CV27" s="5">
        <f t="shared" si="39"/>
        <v>169878.32502</v>
      </c>
      <c r="CW27" s="36">
        <f>CU$7*'2014A'!$F27</f>
        <v>43983.567534199996</v>
      </c>
      <c r="CX27"/>
      <c r="CZ27" s="5">
        <f t="shared" si="40"/>
        <v>3308.31786</v>
      </c>
      <c r="DA27" s="36">
        <f t="shared" si="41"/>
        <v>3308.31786</v>
      </c>
      <c r="DB27" s="36">
        <f>CZ$7*'2014A'!$F27</f>
        <v>856.5637906000001</v>
      </c>
      <c r="DC27"/>
      <c r="DE27" s="5">
        <f t="shared" si="42"/>
        <v>3788.0233200000002</v>
      </c>
      <c r="DF27" s="36">
        <f t="shared" si="43"/>
        <v>3788.0233200000002</v>
      </c>
      <c r="DG27" s="36">
        <f>DE$7*'2014A'!$F27</f>
        <v>980.7653772000001</v>
      </c>
      <c r="DJ27" s="5">
        <f t="shared" si="44"/>
        <v>903.49356</v>
      </c>
      <c r="DK27" s="36">
        <f t="shared" si="45"/>
        <v>903.49356</v>
      </c>
      <c r="DL27" s="36">
        <f>DJ$7*'2014A'!$F27</f>
        <v>233.9254876</v>
      </c>
      <c r="DO27" s="5">
        <f t="shared" si="46"/>
        <v>13069.29756</v>
      </c>
      <c r="DP27" s="5">
        <f t="shared" si="47"/>
        <v>13069.29756</v>
      </c>
      <c r="DQ27" s="36">
        <f>DO$7*'2014A'!$F27</f>
        <v>3383.8003276</v>
      </c>
      <c r="DT27" s="5">
        <f t="shared" si="48"/>
        <v>49153.37448</v>
      </c>
      <c r="DU27" s="5">
        <f t="shared" si="49"/>
        <v>49153.37448</v>
      </c>
      <c r="DV27" s="36">
        <f>DT$7*'2014A'!$F27</f>
        <v>12726.4073608</v>
      </c>
      <c r="DY27" s="5">
        <f t="shared" si="50"/>
        <v>343.1865</v>
      </c>
      <c r="DZ27" s="5">
        <f t="shared" si="51"/>
        <v>343.1865</v>
      </c>
      <c r="EA27" s="36">
        <f>DY$7*'2014A'!$F27</f>
        <v>88.855165</v>
      </c>
      <c r="ED27" s="36">
        <f t="shared" si="52"/>
        <v>5090.3688600000005</v>
      </c>
      <c r="EE27" s="36">
        <f t="shared" si="53"/>
        <v>5090.3688600000005</v>
      </c>
      <c r="EF27" s="36">
        <f>ED$7*'2014A'!$F27</f>
        <v>1317.9585006</v>
      </c>
    </row>
    <row r="28" spans="1:136" ht="12.75">
      <c r="A28" s="37">
        <v>46844</v>
      </c>
      <c r="C28" s="3">
        <v>7970000</v>
      </c>
      <c r="D28" s="3">
        <v>1259400</v>
      </c>
      <c r="E28" s="35">
        <f t="shared" si="0"/>
        <v>9229400</v>
      </c>
      <c r="F28" s="35"/>
      <c r="H28" s="47">
        <f t="shared" si="54"/>
        <v>2518413.202</v>
      </c>
      <c r="I28" s="36">
        <f t="shared" si="1"/>
        <v>397953.52403999993</v>
      </c>
      <c r="J28" s="36">
        <f t="shared" si="2"/>
        <v>2916366.72604</v>
      </c>
      <c r="K28" s="36">
        <f t="shared" si="3"/>
        <v>103035.01460840002</v>
      </c>
      <c r="L28"/>
      <c r="M28" s="5">
        <f t="shared" si="55"/>
        <v>23217.407</v>
      </c>
      <c r="N28" s="5">
        <f t="shared" si="4"/>
        <v>3668.75814</v>
      </c>
      <c r="O28" s="5">
        <f t="shared" si="5"/>
        <v>26886.165139999997</v>
      </c>
      <c r="P28" s="36">
        <f>N$7*'2014A'!$F28</f>
        <v>949.8861694</v>
      </c>
      <c r="Q28"/>
      <c r="R28" s="5">
        <f t="shared" si="56"/>
        <v>2096.11</v>
      </c>
      <c r="S28" s="5">
        <f t="shared" si="6"/>
        <v>331.2222</v>
      </c>
      <c r="T28" s="5">
        <f t="shared" si="7"/>
        <v>2427.3322000000003</v>
      </c>
      <c r="U28" s="36">
        <f>S$7*'2014A'!$F28</f>
        <v>85.757462</v>
      </c>
      <c r="V28"/>
      <c r="W28" s="5">
        <f t="shared" si="57"/>
        <v>5218.755999999999</v>
      </c>
      <c r="X28" s="5">
        <f t="shared" si="8"/>
        <v>824.65512</v>
      </c>
      <c r="Y28" s="5">
        <f t="shared" si="9"/>
        <v>6043.41112</v>
      </c>
      <c r="Z28" s="36">
        <f>X$7*'2014A'!$F28</f>
        <v>213.5132552</v>
      </c>
      <c r="AA28"/>
      <c r="AB28" s="5">
        <f t="shared" si="58"/>
        <v>178123.124</v>
      </c>
      <c r="AC28" s="5">
        <f t="shared" si="10"/>
        <v>28146.58248</v>
      </c>
      <c r="AD28" s="5">
        <f t="shared" si="11"/>
        <v>206269.70648000002</v>
      </c>
      <c r="AE28" s="36">
        <f>AC$7*'2014A'!$F28</f>
        <v>7287.4930408</v>
      </c>
      <c r="AF28"/>
      <c r="AG28" s="5">
        <f t="shared" si="59"/>
        <v>40537.811</v>
      </c>
      <c r="AH28" s="5">
        <f t="shared" si="12"/>
        <v>6405.6862200000005</v>
      </c>
      <c r="AI28" s="5">
        <f t="shared" si="13"/>
        <v>46943.497220000005</v>
      </c>
      <c r="AJ28" s="36">
        <f>AH$7*'2014A'!$F28</f>
        <v>1658.5101862000001</v>
      </c>
      <c r="AK28"/>
      <c r="AL28" s="5">
        <f t="shared" si="60"/>
        <v>14781.958999999999</v>
      </c>
      <c r="AM28" s="5">
        <f t="shared" si="14"/>
        <v>2335.8091799999997</v>
      </c>
      <c r="AN28" s="5">
        <f t="shared" si="15"/>
        <v>17117.76818</v>
      </c>
      <c r="AO28" s="36">
        <f>AM$7*'2014A'!$F28</f>
        <v>604.7694478</v>
      </c>
      <c r="AP28"/>
      <c r="AQ28" s="5">
        <f t="shared" si="61"/>
        <v>44842.408</v>
      </c>
      <c r="AR28" s="5">
        <f t="shared" si="16"/>
        <v>7085.88816</v>
      </c>
      <c r="AS28" s="5">
        <f t="shared" si="17"/>
        <v>51928.296160000005</v>
      </c>
      <c r="AT28" s="36">
        <f>AR$7*'2014A'!$F28</f>
        <v>1834.6227536000001</v>
      </c>
      <c r="AU28"/>
      <c r="AV28" s="5">
        <f t="shared" si="62"/>
        <v>274418.25800000003</v>
      </c>
      <c r="AW28" s="5">
        <f t="shared" si="18"/>
        <v>43362.90516</v>
      </c>
      <c r="AX28" s="5">
        <f t="shared" si="19"/>
        <v>317781.16316000005</v>
      </c>
      <c r="AY28" s="36">
        <f>AW$7*'2014A'!$F28</f>
        <v>11227.1843236</v>
      </c>
      <c r="AZ28"/>
      <c r="BA28" s="5">
        <f t="shared" si="63"/>
        <v>14959.69</v>
      </c>
      <c r="BB28" s="5">
        <f t="shared" si="20"/>
        <v>2363.8938</v>
      </c>
      <c r="BC28" s="5">
        <f t="shared" si="21"/>
        <v>17323.5838</v>
      </c>
      <c r="BD28" s="36">
        <f>BB$7*'2014A'!$F28</f>
        <v>612.040898</v>
      </c>
      <c r="BE28"/>
      <c r="BF28" s="5">
        <f t="shared" si="64"/>
        <v>20502.028</v>
      </c>
      <c r="BG28" s="5">
        <f t="shared" si="22"/>
        <v>3239.68056</v>
      </c>
      <c r="BH28" s="5">
        <f t="shared" si="23"/>
        <v>23741.70856</v>
      </c>
      <c r="BI28" s="36">
        <f>BG$7*'2014A'!$F28</f>
        <v>838.7927576</v>
      </c>
      <c r="BJ28"/>
      <c r="BK28" s="5">
        <f t="shared" si="65"/>
        <v>189896.408</v>
      </c>
      <c r="BL28" s="5">
        <f t="shared" si="24"/>
        <v>30006.96816</v>
      </c>
      <c r="BM28" s="5">
        <f t="shared" si="25"/>
        <v>219903.37615999999</v>
      </c>
      <c r="BN28" s="36">
        <f>BL$7*'2014A'!$F28</f>
        <v>7769.169553600001</v>
      </c>
      <c r="BO28"/>
      <c r="BP28" s="5">
        <f t="shared" si="66"/>
        <v>1354.9</v>
      </c>
      <c r="BQ28" s="5">
        <f t="shared" si="26"/>
        <v>214.098</v>
      </c>
      <c r="BR28" s="5">
        <f t="shared" si="27"/>
        <v>1568.998</v>
      </c>
      <c r="BS28" s="36">
        <f>BQ$7*'2014A'!$F28</f>
        <v>55.43258</v>
      </c>
      <c r="BT28"/>
      <c r="BU28" s="5">
        <f t="shared" si="67"/>
        <v>460.666</v>
      </c>
      <c r="BV28" s="5">
        <f t="shared" si="28"/>
        <v>72.79332000000001</v>
      </c>
      <c r="BW28" s="5">
        <f t="shared" si="29"/>
        <v>533.45932</v>
      </c>
      <c r="BX28" s="36">
        <f>BV$7*'2014A'!$F28</f>
        <v>18.8470772</v>
      </c>
      <c r="BY28"/>
      <c r="BZ28" s="5">
        <f t="shared" si="68"/>
        <v>25650.648</v>
      </c>
      <c r="CA28" s="5">
        <f t="shared" si="30"/>
        <v>4053.2529600000003</v>
      </c>
      <c r="CB28" s="5">
        <f t="shared" si="31"/>
        <v>29703.900960000003</v>
      </c>
      <c r="CC28" s="36">
        <f>CA$7*'2014A'!$F28</f>
        <v>1049.4365616</v>
      </c>
      <c r="CD28"/>
      <c r="CE28" s="5">
        <f t="shared" si="69"/>
        <v>74660.569</v>
      </c>
      <c r="CF28" s="5">
        <f t="shared" si="32"/>
        <v>11797.68138</v>
      </c>
      <c r="CG28" s="5">
        <f t="shared" si="33"/>
        <v>86458.25038</v>
      </c>
      <c r="CH28" s="36">
        <f>CF$7*'2014A'!$F28</f>
        <v>3054.5634098</v>
      </c>
      <c r="CI28"/>
      <c r="CJ28" s="5">
        <f t="shared" si="70"/>
        <v>3789.735</v>
      </c>
      <c r="CK28" s="5">
        <f t="shared" si="34"/>
        <v>598.8447</v>
      </c>
      <c r="CL28" s="5">
        <f t="shared" si="35"/>
        <v>4388.5797</v>
      </c>
      <c r="CM28" s="36">
        <f>CK$7*'2014A'!$F28</f>
        <v>155.048187</v>
      </c>
      <c r="CN28"/>
      <c r="CO28" s="5">
        <f t="shared" si="71"/>
        <v>50060.367000000006</v>
      </c>
      <c r="CP28" s="5">
        <f t="shared" si="36"/>
        <v>7910.417340000001</v>
      </c>
      <c r="CQ28" s="5">
        <f t="shared" si="37"/>
        <v>57970.784340000006</v>
      </c>
      <c r="CR28" s="36">
        <f>CP$7*'2014A'!$F28</f>
        <v>2048.1034014</v>
      </c>
      <c r="CS28"/>
      <c r="CT28" s="5">
        <f t="shared" si="72"/>
        <v>1075059.751</v>
      </c>
      <c r="CU28" s="5">
        <f t="shared" si="38"/>
        <v>169878.32502</v>
      </c>
      <c r="CV28" s="5">
        <f t="shared" si="39"/>
        <v>1244938.07602</v>
      </c>
      <c r="CW28" s="36">
        <f>CU$7*'2014A'!$F28</f>
        <v>43983.567534199996</v>
      </c>
      <c r="CX28"/>
      <c r="CY28" s="5">
        <f t="shared" si="73"/>
        <v>20936.393</v>
      </c>
      <c r="CZ28" s="5">
        <f t="shared" si="40"/>
        <v>3308.31786</v>
      </c>
      <c r="DA28" s="36">
        <f t="shared" si="41"/>
        <v>24244.71086</v>
      </c>
      <c r="DB28" s="36">
        <f>CZ$7*'2014A'!$F28</f>
        <v>856.5637906000001</v>
      </c>
      <c r="DC28"/>
      <c r="DD28" s="5">
        <f t="shared" si="74"/>
        <v>23972.166</v>
      </c>
      <c r="DE28" s="5">
        <f t="shared" si="42"/>
        <v>3788.0233200000002</v>
      </c>
      <c r="DF28" s="36">
        <f t="shared" si="43"/>
        <v>27760.18932</v>
      </c>
      <c r="DG28" s="36">
        <f>DE$7*'2014A'!$F28</f>
        <v>980.7653772000001</v>
      </c>
      <c r="DI28" s="5">
        <f t="shared" si="75"/>
        <v>5717.678</v>
      </c>
      <c r="DJ28" s="5">
        <f t="shared" si="44"/>
        <v>903.49356</v>
      </c>
      <c r="DK28" s="36">
        <f t="shared" si="45"/>
        <v>6621.17156</v>
      </c>
      <c r="DL28" s="36">
        <f>DJ$7*'2014A'!$F28</f>
        <v>233.9254876</v>
      </c>
      <c r="DN28" s="5">
        <f t="shared" si="76"/>
        <v>82707.878</v>
      </c>
      <c r="DO28" s="5">
        <f t="shared" si="46"/>
        <v>13069.29756</v>
      </c>
      <c r="DP28" s="5">
        <f t="shared" si="47"/>
        <v>95777.17556</v>
      </c>
      <c r="DQ28" s="36">
        <f>DO$7*'2014A'!$F28</f>
        <v>3383.8003276</v>
      </c>
      <c r="DS28" s="5">
        <f t="shared" si="77"/>
        <v>311062.724</v>
      </c>
      <c r="DT28" s="5">
        <f t="shared" si="48"/>
        <v>49153.37448</v>
      </c>
      <c r="DU28" s="5">
        <f t="shared" si="49"/>
        <v>360216.09848</v>
      </c>
      <c r="DV28" s="36">
        <f>DT$7*'2014A'!$F28</f>
        <v>12726.4073608</v>
      </c>
      <c r="DX28" s="5">
        <f t="shared" si="78"/>
        <v>2171.8250000000003</v>
      </c>
      <c r="DY28" s="5">
        <f t="shared" si="50"/>
        <v>343.1865</v>
      </c>
      <c r="DZ28" s="5">
        <f t="shared" si="51"/>
        <v>2515.0115000000005</v>
      </c>
      <c r="EA28" s="36">
        <f>DY$7*'2014A'!$F28</f>
        <v>88.855165</v>
      </c>
      <c r="EC28" s="5">
        <f t="shared" si="79"/>
        <v>32213.943000000003</v>
      </c>
      <c r="ED28" s="36">
        <f t="shared" si="52"/>
        <v>5090.3688600000005</v>
      </c>
      <c r="EE28" s="36">
        <f t="shared" si="53"/>
        <v>37304.31186</v>
      </c>
      <c r="EF28" s="36">
        <f>ED$7*'2014A'!$F28</f>
        <v>1317.9585006</v>
      </c>
    </row>
    <row r="29" spans="1:136" ht="12.75">
      <c r="A29" s="37">
        <v>47027</v>
      </c>
      <c r="D29" s="3">
        <v>1100000</v>
      </c>
      <c r="E29" s="35">
        <f t="shared" si="0"/>
        <v>1100000</v>
      </c>
      <c r="F29" s="35"/>
      <c r="H29" s="47"/>
      <c r="I29" s="36">
        <f t="shared" si="1"/>
        <v>347585.26000000007</v>
      </c>
      <c r="J29" s="36">
        <f t="shared" si="2"/>
        <v>347585.26000000007</v>
      </c>
      <c r="K29" s="36">
        <f t="shared" si="3"/>
        <v>103035.01460840002</v>
      </c>
      <c r="L29"/>
      <c r="N29" s="5">
        <f t="shared" si="4"/>
        <v>3204.41</v>
      </c>
      <c r="O29" s="5">
        <f t="shared" si="5"/>
        <v>3204.41</v>
      </c>
      <c r="P29" s="36">
        <f>N$7*'2014A'!$F29</f>
        <v>949.8861694</v>
      </c>
      <c r="Q29"/>
      <c r="S29" s="5">
        <f t="shared" si="6"/>
        <v>289.3</v>
      </c>
      <c r="T29" s="5">
        <f t="shared" si="7"/>
        <v>289.3</v>
      </c>
      <c r="U29" s="36">
        <f>S$7*'2014A'!$F29</f>
        <v>85.757462</v>
      </c>
      <c r="V29"/>
      <c r="X29" s="5">
        <f t="shared" si="8"/>
        <v>720.28</v>
      </c>
      <c r="Y29" s="5">
        <f t="shared" si="9"/>
        <v>720.28</v>
      </c>
      <c r="Z29" s="36">
        <f>X$7*'2014A'!$F29</f>
        <v>213.5132552</v>
      </c>
      <c r="AA29"/>
      <c r="AC29" s="5">
        <f t="shared" si="10"/>
        <v>24584.12</v>
      </c>
      <c r="AD29" s="5">
        <f t="shared" si="11"/>
        <v>24584.12</v>
      </c>
      <c r="AE29" s="36">
        <f>AC$7*'2014A'!$F29</f>
        <v>7287.4930408</v>
      </c>
      <c r="AF29"/>
      <c r="AH29" s="5">
        <f t="shared" si="12"/>
        <v>5594.93</v>
      </c>
      <c r="AI29" s="5">
        <f t="shared" si="13"/>
        <v>5594.93</v>
      </c>
      <c r="AJ29" s="36">
        <f>AH$7*'2014A'!$F29</f>
        <v>1658.5101862000001</v>
      </c>
      <c r="AK29"/>
      <c r="AM29" s="5">
        <f t="shared" si="14"/>
        <v>2040.1699999999998</v>
      </c>
      <c r="AN29" s="5">
        <f t="shared" si="15"/>
        <v>2040.1699999999998</v>
      </c>
      <c r="AO29" s="36">
        <f>AM$7*'2014A'!$F29</f>
        <v>604.7694478</v>
      </c>
      <c r="AP29"/>
      <c r="AR29" s="5">
        <f t="shared" si="16"/>
        <v>6189.04</v>
      </c>
      <c r="AS29" s="5">
        <f t="shared" si="17"/>
        <v>6189.04</v>
      </c>
      <c r="AT29" s="36">
        <f>AR$7*'2014A'!$F29</f>
        <v>1834.6227536000001</v>
      </c>
      <c r="AU29"/>
      <c r="AW29" s="5">
        <f t="shared" si="18"/>
        <v>37874.54</v>
      </c>
      <c r="AX29" s="5">
        <f t="shared" si="19"/>
        <v>37874.54</v>
      </c>
      <c r="AY29" s="36">
        <f>AW$7*'2014A'!$F29</f>
        <v>11227.1843236</v>
      </c>
      <c r="AZ29"/>
      <c r="BB29" s="5">
        <f t="shared" si="20"/>
        <v>2064.7</v>
      </c>
      <c r="BC29" s="5">
        <f t="shared" si="21"/>
        <v>2064.7</v>
      </c>
      <c r="BD29" s="36">
        <f>BB$7*'2014A'!$F29</f>
        <v>612.040898</v>
      </c>
      <c r="BE29"/>
      <c r="BG29" s="5">
        <f t="shared" si="22"/>
        <v>2829.64</v>
      </c>
      <c r="BH29" s="5">
        <f t="shared" si="23"/>
        <v>2829.64</v>
      </c>
      <c r="BI29" s="36">
        <f>BG$7*'2014A'!$F29</f>
        <v>838.7927576</v>
      </c>
      <c r="BJ29"/>
      <c r="BL29" s="5">
        <f t="shared" si="24"/>
        <v>26209.04</v>
      </c>
      <c r="BM29" s="5">
        <f t="shared" si="25"/>
        <v>26209.04</v>
      </c>
      <c r="BN29" s="36">
        <f>BL$7*'2014A'!$F29</f>
        <v>7769.169553600001</v>
      </c>
      <c r="BO29"/>
      <c r="BQ29" s="5">
        <f t="shared" si="26"/>
        <v>187</v>
      </c>
      <c r="BR29" s="5">
        <f t="shared" si="27"/>
        <v>187</v>
      </c>
      <c r="BS29" s="36">
        <f>BQ$7*'2014A'!$F29</f>
        <v>55.43258</v>
      </c>
      <c r="BT29"/>
      <c r="BV29" s="5">
        <f t="shared" si="28"/>
        <v>63.580000000000005</v>
      </c>
      <c r="BW29" s="5">
        <f t="shared" si="29"/>
        <v>63.580000000000005</v>
      </c>
      <c r="BX29" s="36">
        <f>BV$7*'2014A'!$F29</f>
        <v>18.8470772</v>
      </c>
      <c r="BY29"/>
      <c r="CA29" s="5">
        <f t="shared" si="30"/>
        <v>3540.2400000000002</v>
      </c>
      <c r="CB29" s="5">
        <f t="shared" si="31"/>
        <v>3540.2400000000002</v>
      </c>
      <c r="CC29" s="36">
        <f>CA$7*'2014A'!$F29</f>
        <v>1049.4365616</v>
      </c>
      <c r="CD29"/>
      <c r="CF29" s="5">
        <f t="shared" si="32"/>
        <v>10304.47</v>
      </c>
      <c r="CG29" s="5">
        <f t="shared" si="33"/>
        <v>10304.47</v>
      </c>
      <c r="CH29" s="36">
        <f>CF$7*'2014A'!$F29</f>
        <v>3054.5634098</v>
      </c>
      <c r="CI29"/>
      <c r="CK29" s="5">
        <f t="shared" si="34"/>
        <v>523.0500000000001</v>
      </c>
      <c r="CL29" s="5">
        <f t="shared" si="35"/>
        <v>523.0500000000001</v>
      </c>
      <c r="CM29" s="36">
        <f>CK$7*'2014A'!$F29</f>
        <v>155.048187</v>
      </c>
      <c r="CN29"/>
      <c r="CP29" s="5">
        <f t="shared" si="36"/>
        <v>6909.21</v>
      </c>
      <c r="CQ29" s="5">
        <f t="shared" si="37"/>
        <v>6909.21</v>
      </c>
      <c r="CR29" s="36">
        <f>CP$7*'2014A'!$F29</f>
        <v>2048.1034014</v>
      </c>
      <c r="CS29"/>
      <c r="CU29" s="5">
        <f t="shared" si="38"/>
        <v>148377.12999999998</v>
      </c>
      <c r="CV29" s="5">
        <f t="shared" si="39"/>
        <v>148377.12999999998</v>
      </c>
      <c r="CW29" s="36">
        <f>CU$7*'2014A'!$F29</f>
        <v>43983.567534199996</v>
      </c>
      <c r="CX29"/>
      <c r="CZ29" s="5">
        <f t="shared" si="40"/>
        <v>2889.59</v>
      </c>
      <c r="DA29" s="36">
        <f t="shared" si="41"/>
        <v>2889.59</v>
      </c>
      <c r="DB29" s="36">
        <f>CZ$7*'2014A'!$F29</f>
        <v>856.5637906000001</v>
      </c>
      <c r="DC29"/>
      <c r="DE29" s="5">
        <f t="shared" si="42"/>
        <v>3308.5800000000004</v>
      </c>
      <c r="DF29" s="36">
        <f t="shared" si="43"/>
        <v>3308.5800000000004</v>
      </c>
      <c r="DG29" s="36">
        <f>DE$7*'2014A'!$F29</f>
        <v>980.7653772000001</v>
      </c>
      <c r="DJ29" s="5">
        <f t="shared" si="44"/>
        <v>789.14</v>
      </c>
      <c r="DK29" s="36">
        <f t="shared" si="45"/>
        <v>789.14</v>
      </c>
      <c r="DL29" s="36">
        <f>DJ$7*'2014A'!$F29</f>
        <v>233.9254876</v>
      </c>
      <c r="DO29" s="5">
        <f t="shared" si="46"/>
        <v>11415.14</v>
      </c>
      <c r="DP29" s="5">
        <f t="shared" si="47"/>
        <v>11415.14</v>
      </c>
      <c r="DQ29" s="36">
        <f>DO$7*'2014A'!$F29</f>
        <v>3383.8003276</v>
      </c>
      <c r="DT29" s="5">
        <f t="shared" si="48"/>
        <v>42932.12</v>
      </c>
      <c r="DU29" s="5">
        <f t="shared" si="49"/>
        <v>42932.12</v>
      </c>
      <c r="DV29" s="36">
        <f>DT$7*'2014A'!$F29</f>
        <v>12726.4073608</v>
      </c>
      <c r="DY29" s="5">
        <f t="shared" si="50"/>
        <v>299.75</v>
      </c>
      <c r="DZ29" s="5">
        <f t="shared" si="51"/>
        <v>299.75</v>
      </c>
      <c r="EA29" s="36">
        <f>DY$7*'2014A'!$F29</f>
        <v>88.855165</v>
      </c>
      <c r="ED29" s="36">
        <f t="shared" si="52"/>
        <v>4446.09</v>
      </c>
      <c r="EE29" s="36">
        <f t="shared" si="53"/>
        <v>4446.09</v>
      </c>
      <c r="EF29" s="36">
        <f>ED$7*'2014A'!$F29</f>
        <v>1317.9585006</v>
      </c>
    </row>
    <row r="30" spans="1:136" ht="12.75">
      <c r="A30" s="37">
        <v>47209</v>
      </c>
      <c r="C30" s="3">
        <v>8290000</v>
      </c>
      <c r="D30" s="3">
        <v>1100000</v>
      </c>
      <c r="E30" s="35">
        <f t="shared" si="0"/>
        <v>9390000</v>
      </c>
      <c r="F30" s="35"/>
      <c r="H30" s="47">
        <f t="shared" si="54"/>
        <v>2619528.914</v>
      </c>
      <c r="I30" s="36">
        <f t="shared" si="1"/>
        <v>347585.26000000007</v>
      </c>
      <c r="J30" s="36">
        <f t="shared" si="2"/>
        <v>2967114.174</v>
      </c>
      <c r="K30" s="36">
        <f t="shared" si="3"/>
        <v>103035.01460840002</v>
      </c>
      <c r="L30"/>
      <c r="M30" s="5">
        <f t="shared" si="55"/>
        <v>24149.599000000002</v>
      </c>
      <c r="N30" s="5">
        <f t="shared" si="4"/>
        <v>3204.41</v>
      </c>
      <c r="O30" s="5">
        <f t="shared" si="5"/>
        <v>27354.009000000002</v>
      </c>
      <c r="P30" s="36">
        <f>N$7*'2014A'!$F30</f>
        <v>949.8861694</v>
      </c>
      <c r="Q30"/>
      <c r="R30" s="5">
        <f t="shared" si="56"/>
        <v>2180.27</v>
      </c>
      <c r="S30" s="5">
        <f t="shared" si="6"/>
        <v>289.3</v>
      </c>
      <c r="T30" s="5">
        <f t="shared" si="7"/>
        <v>2469.57</v>
      </c>
      <c r="U30" s="36">
        <f>S$7*'2014A'!$F30</f>
        <v>85.757462</v>
      </c>
      <c r="V30"/>
      <c r="W30" s="5">
        <f t="shared" si="57"/>
        <v>5428.2919999999995</v>
      </c>
      <c r="X30" s="5">
        <f t="shared" si="8"/>
        <v>720.28</v>
      </c>
      <c r="Y30" s="5">
        <f t="shared" si="9"/>
        <v>6148.571999999999</v>
      </c>
      <c r="Z30" s="36">
        <f>X$7*'2014A'!$F30</f>
        <v>213.5132552</v>
      </c>
      <c r="AA30"/>
      <c r="AB30" s="5">
        <f t="shared" si="58"/>
        <v>185274.868</v>
      </c>
      <c r="AC30" s="5">
        <f t="shared" si="10"/>
        <v>24584.12</v>
      </c>
      <c r="AD30" s="5">
        <f t="shared" si="11"/>
        <v>209858.98799999998</v>
      </c>
      <c r="AE30" s="36">
        <f>AC$7*'2014A'!$F30</f>
        <v>7287.4930408</v>
      </c>
      <c r="AF30"/>
      <c r="AG30" s="5">
        <f t="shared" si="59"/>
        <v>42165.427</v>
      </c>
      <c r="AH30" s="5">
        <f t="shared" si="12"/>
        <v>5594.93</v>
      </c>
      <c r="AI30" s="5">
        <f t="shared" si="13"/>
        <v>47760.357</v>
      </c>
      <c r="AJ30" s="36">
        <f>AH$7*'2014A'!$F30</f>
        <v>1658.5101862000001</v>
      </c>
      <c r="AK30"/>
      <c r="AL30" s="5">
        <f t="shared" si="60"/>
        <v>15375.463</v>
      </c>
      <c r="AM30" s="5">
        <f t="shared" si="14"/>
        <v>2040.1699999999998</v>
      </c>
      <c r="AN30" s="5">
        <f t="shared" si="15"/>
        <v>17415.632999999998</v>
      </c>
      <c r="AO30" s="36">
        <f>AM$7*'2014A'!$F30</f>
        <v>604.7694478</v>
      </c>
      <c r="AP30"/>
      <c r="AQ30" s="5">
        <f t="shared" si="61"/>
        <v>46642.856</v>
      </c>
      <c r="AR30" s="5">
        <f t="shared" si="16"/>
        <v>6189.04</v>
      </c>
      <c r="AS30" s="5">
        <f t="shared" si="17"/>
        <v>52831.896</v>
      </c>
      <c r="AT30" s="36">
        <f>AR$7*'2014A'!$F30</f>
        <v>1834.6227536000001</v>
      </c>
      <c r="AU30"/>
      <c r="AV30" s="5">
        <f t="shared" si="62"/>
        <v>285436.306</v>
      </c>
      <c r="AW30" s="5">
        <f t="shared" si="18"/>
        <v>37874.54</v>
      </c>
      <c r="AX30" s="5">
        <f t="shared" si="19"/>
        <v>323310.84599999996</v>
      </c>
      <c r="AY30" s="36">
        <f>AW$7*'2014A'!$F30</f>
        <v>11227.1843236</v>
      </c>
      <c r="AZ30"/>
      <c r="BA30" s="5">
        <f t="shared" si="63"/>
        <v>15560.33</v>
      </c>
      <c r="BB30" s="5">
        <f t="shared" si="20"/>
        <v>2064.7</v>
      </c>
      <c r="BC30" s="5">
        <f t="shared" si="21"/>
        <v>17625.03</v>
      </c>
      <c r="BD30" s="36">
        <f>BB$7*'2014A'!$F30</f>
        <v>612.040898</v>
      </c>
      <c r="BE30"/>
      <c r="BF30" s="5">
        <f t="shared" si="64"/>
        <v>21325.196</v>
      </c>
      <c r="BG30" s="5">
        <f t="shared" si="22"/>
        <v>2829.64</v>
      </c>
      <c r="BH30" s="5">
        <f t="shared" si="23"/>
        <v>24154.836</v>
      </c>
      <c r="BI30" s="36">
        <f>BG$7*'2014A'!$F30</f>
        <v>838.7927576</v>
      </c>
      <c r="BJ30"/>
      <c r="BK30" s="5">
        <f t="shared" si="65"/>
        <v>197520.856</v>
      </c>
      <c r="BL30" s="5">
        <f t="shared" si="24"/>
        <v>26209.04</v>
      </c>
      <c r="BM30" s="5">
        <f t="shared" si="25"/>
        <v>223729.896</v>
      </c>
      <c r="BN30" s="36">
        <f>BL$7*'2014A'!$F30</f>
        <v>7769.169553600001</v>
      </c>
      <c r="BO30"/>
      <c r="BP30" s="5">
        <f t="shared" si="66"/>
        <v>1409.3000000000002</v>
      </c>
      <c r="BQ30" s="5">
        <f t="shared" si="26"/>
        <v>187</v>
      </c>
      <c r="BR30" s="5">
        <f t="shared" si="27"/>
        <v>1596.3000000000002</v>
      </c>
      <c r="BS30" s="36">
        <f>BQ$7*'2014A'!$F30</f>
        <v>55.43258</v>
      </c>
      <c r="BT30"/>
      <c r="BU30" s="5">
        <f t="shared" si="67"/>
        <v>479.16200000000003</v>
      </c>
      <c r="BV30" s="5">
        <f t="shared" si="28"/>
        <v>63.580000000000005</v>
      </c>
      <c r="BW30" s="5">
        <f t="shared" si="29"/>
        <v>542.7420000000001</v>
      </c>
      <c r="BX30" s="36">
        <f>BV$7*'2014A'!$F30</f>
        <v>18.8470772</v>
      </c>
      <c r="BY30"/>
      <c r="BZ30" s="5">
        <f t="shared" si="68"/>
        <v>26680.536</v>
      </c>
      <c r="CA30" s="5">
        <f t="shared" si="30"/>
        <v>3540.2400000000002</v>
      </c>
      <c r="CB30" s="5">
        <f t="shared" si="31"/>
        <v>30220.776</v>
      </c>
      <c r="CC30" s="36">
        <f>CA$7*'2014A'!$F30</f>
        <v>1049.4365616</v>
      </c>
      <c r="CD30"/>
      <c r="CE30" s="5">
        <f t="shared" si="69"/>
        <v>77658.233</v>
      </c>
      <c r="CF30" s="5">
        <f t="shared" si="32"/>
        <v>10304.47</v>
      </c>
      <c r="CG30" s="5">
        <f t="shared" si="33"/>
        <v>87962.703</v>
      </c>
      <c r="CH30" s="36">
        <f>CF$7*'2014A'!$F30</f>
        <v>3054.5634098</v>
      </c>
      <c r="CI30"/>
      <c r="CJ30" s="5">
        <f t="shared" si="70"/>
        <v>3941.895</v>
      </c>
      <c r="CK30" s="5">
        <f t="shared" si="34"/>
        <v>523.0500000000001</v>
      </c>
      <c r="CL30" s="5">
        <f t="shared" si="35"/>
        <v>4464.945</v>
      </c>
      <c r="CM30" s="36">
        <f>CK$7*'2014A'!$F30</f>
        <v>155.048187</v>
      </c>
      <c r="CN30"/>
      <c r="CO30" s="5">
        <f t="shared" si="71"/>
        <v>52070.319</v>
      </c>
      <c r="CP30" s="5">
        <f t="shared" si="36"/>
        <v>6909.21</v>
      </c>
      <c r="CQ30" s="5">
        <f t="shared" si="37"/>
        <v>58979.529</v>
      </c>
      <c r="CR30" s="36">
        <f>CP$7*'2014A'!$F30</f>
        <v>2048.1034014</v>
      </c>
      <c r="CS30"/>
      <c r="CT30" s="5">
        <f t="shared" si="72"/>
        <v>1118224.007</v>
      </c>
      <c r="CU30" s="5">
        <f t="shared" si="38"/>
        <v>148377.12999999998</v>
      </c>
      <c r="CV30" s="5">
        <f t="shared" si="39"/>
        <v>1266601.1369999999</v>
      </c>
      <c r="CW30" s="36">
        <f>CU$7*'2014A'!$F30</f>
        <v>43983.567534199996</v>
      </c>
      <c r="CX30"/>
      <c r="CY30" s="5">
        <f t="shared" si="73"/>
        <v>21777.001</v>
      </c>
      <c r="CZ30" s="5">
        <f t="shared" si="40"/>
        <v>2889.59</v>
      </c>
      <c r="DA30" s="36">
        <f t="shared" si="41"/>
        <v>24666.591</v>
      </c>
      <c r="DB30" s="36">
        <f>CZ$7*'2014A'!$F30</f>
        <v>856.5637906000001</v>
      </c>
      <c r="DC30"/>
      <c r="DD30" s="5">
        <f t="shared" si="74"/>
        <v>24934.662</v>
      </c>
      <c r="DE30" s="5">
        <f t="shared" si="42"/>
        <v>3308.5800000000004</v>
      </c>
      <c r="DF30" s="36">
        <f t="shared" si="43"/>
        <v>28243.242000000002</v>
      </c>
      <c r="DG30" s="36">
        <f>DE$7*'2014A'!$F30</f>
        <v>980.7653772000001</v>
      </c>
      <c r="DI30" s="5">
        <f t="shared" si="75"/>
        <v>5947.246</v>
      </c>
      <c r="DJ30" s="5">
        <f t="shared" si="44"/>
        <v>789.14</v>
      </c>
      <c r="DK30" s="36">
        <f t="shared" si="45"/>
        <v>6736.386</v>
      </c>
      <c r="DL30" s="36">
        <f>DJ$7*'2014A'!$F30</f>
        <v>233.9254876</v>
      </c>
      <c r="DN30" s="5">
        <f t="shared" si="76"/>
        <v>86028.64600000001</v>
      </c>
      <c r="DO30" s="5">
        <f t="shared" si="46"/>
        <v>11415.14</v>
      </c>
      <c r="DP30" s="5">
        <f t="shared" si="47"/>
        <v>97443.78600000001</v>
      </c>
      <c r="DQ30" s="36">
        <f>DO$7*'2014A'!$F30</f>
        <v>3383.8003276</v>
      </c>
      <c r="DS30" s="5">
        <f t="shared" si="77"/>
        <v>323552.068</v>
      </c>
      <c r="DT30" s="5">
        <f t="shared" si="48"/>
        <v>42932.12</v>
      </c>
      <c r="DU30" s="5">
        <f t="shared" si="49"/>
        <v>366484.188</v>
      </c>
      <c r="DV30" s="36">
        <f>DT$7*'2014A'!$F30</f>
        <v>12726.4073608</v>
      </c>
      <c r="DX30" s="5">
        <f t="shared" si="78"/>
        <v>2259.025</v>
      </c>
      <c r="DY30" s="5">
        <f t="shared" si="50"/>
        <v>299.75</v>
      </c>
      <c r="DZ30" s="5">
        <f t="shared" si="51"/>
        <v>2558.775</v>
      </c>
      <c r="EA30" s="36">
        <f>DY$7*'2014A'!$F30</f>
        <v>88.855165</v>
      </c>
      <c r="EC30" s="5">
        <f t="shared" si="79"/>
        <v>33507.351</v>
      </c>
      <c r="ED30" s="36">
        <f t="shared" si="52"/>
        <v>4446.09</v>
      </c>
      <c r="EE30" s="36">
        <f t="shared" si="53"/>
        <v>37953.441000000006</v>
      </c>
      <c r="EF30" s="36">
        <f>ED$7*'2014A'!$F30</f>
        <v>1317.9585006</v>
      </c>
    </row>
    <row r="31" spans="1:136" ht="12.75">
      <c r="A31" s="37">
        <v>47392</v>
      </c>
      <c r="D31" s="3">
        <v>934200</v>
      </c>
      <c r="E31" s="35">
        <f t="shared" si="0"/>
        <v>934200</v>
      </c>
      <c r="F31" s="35"/>
      <c r="H31" s="47"/>
      <c r="I31" s="36">
        <f t="shared" si="1"/>
        <v>295194.68172</v>
      </c>
      <c r="J31" s="36">
        <f t="shared" si="2"/>
        <v>295194.68172</v>
      </c>
      <c r="K31" s="36">
        <f t="shared" si="3"/>
        <v>103035.01460840002</v>
      </c>
      <c r="L31"/>
      <c r="N31" s="5">
        <f t="shared" si="4"/>
        <v>2721.41802</v>
      </c>
      <c r="O31" s="5">
        <f t="shared" si="5"/>
        <v>2721.41802</v>
      </c>
      <c r="P31" s="36">
        <f>N$7*'2014A'!$F31</f>
        <v>949.8861694</v>
      </c>
      <c r="Q31"/>
      <c r="S31" s="5">
        <f t="shared" si="6"/>
        <v>245.6946</v>
      </c>
      <c r="T31" s="5">
        <f t="shared" si="7"/>
        <v>245.6946</v>
      </c>
      <c r="U31" s="36">
        <f>S$7*'2014A'!$F31</f>
        <v>85.757462</v>
      </c>
      <c r="V31"/>
      <c r="X31" s="5">
        <f t="shared" si="8"/>
        <v>611.71416</v>
      </c>
      <c r="Y31" s="5">
        <f t="shared" si="9"/>
        <v>611.71416</v>
      </c>
      <c r="Z31" s="36">
        <f>X$7*'2014A'!$F31</f>
        <v>213.5132552</v>
      </c>
      <c r="AA31"/>
      <c r="AC31" s="5">
        <f t="shared" si="10"/>
        <v>20878.62264</v>
      </c>
      <c r="AD31" s="5">
        <f t="shared" si="11"/>
        <v>20878.62264</v>
      </c>
      <c r="AE31" s="36">
        <f>AC$7*'2014A'!$F31</f>
        <v>7287.4930408</v>
      </c>
      <c r="AF31"/>
      <c r="AH31" s="5">
        <f t="shared" si="12"/>
        <v>4751.62146</v>
      </c>
      <c r="AI31" s="5">
        <f t="shared" si="13"/>
        <v>4751.62146</v>
      </c>
      <c r="AJ31" s="36">
        <f>AH$7*'2014A'!$F31</f>
        <v>1658.5101862000001</v>
      </c>
      <c r="AK31"/>
      <c r="AM31" s="5">
        <f t="shared" si="14"/>
        <v>1732.66074</v>
      </c>
      <c r="AN31" s="5">
        <f t="shared" si="15"/>
        <v>1732.66074</v>
      </c>
      <c r="AO31" s="36">
        <f>AM$7*'2014A'!$F31</f>
        <v>604.7694478</v>
      </c>
      <c r="AP31"/>
      <c r="AR31" s="5">
        <f t="shared" si="16"/>
        <v>5256.18288</v>
      </c>
      <c r="AS31" s="5">
        <f t="shared" si="17"/>
        <v>5256.18288</v>
      </c>
      <c r="AT31" s="36">
        <f>AR$7*'2014A'!$F31</f>
        <v>1834.6227536000001</v>
      </c>
      <c r="AU31"/>
      <c r="AW31" s="5">
        <f t="shared" si="18"/>
        <v>32165.81388</v>
      </c>
      <c r="AX31" s="5">
        <f t="shared" si="19"/>
        <v>32165.81388</v>
      </c>
      <c r="AY31" s="36">
        <f>AW$7*'2014A'!$F31</f>
        <v>11227.1843236</v>
      </c>
      <c r="AZ31"/>
      <c r="BB31" s="5">
        <f t="shared" si="20"/>
        <v>1753.4934</v>
      </c>
      <c r="BC31" s="5">
        <f t="shared" si="21"/>
        <v>1753.4934</v>
      </c>
      <c r="BD31" s="36">
        <f>BB$7*'2014A'!$F31</f>
        <v>612.040898</v>
      </c>
      <c r="BE31"/>
      <c r="BG31" s="5">
        <f t="shared" si="22"/>
        <v>2403.1360799999998</v>
      </c>
      <c r="BH31" s="5">
        <f t="shared" si="23"/>
        <v>2403.1360799999998</v>
      </c>
      <c r="BI31" s="36">
        <f>BG$7*'2014A'!$F31</f>
        <v>838.7927576</v>
      </c>
      <c r="BJ31"/>
      <c r="BL31" s="5">
        <f t="shared" si="24"/>
        <v>22258.622880000003</v>
      </c>
      <c r="BM31" s="5">
        <f t="shared" si="25"/>
        <v>22258.622880000003</v>
      </c>
      <c r="BN31" s="36">
        <f>BL$7*'2014A'!$F31</f>
        <v>7769.169553600001</v>
      </c>
      <c r="BO31"/>
      <c r="BQ31" s="5">
        <f t="shared" si="26"/>
        <v>158.81400000000002</v>
      </c>
      <c r="BR31" s="5">
        <f t="shared" si="27"/>
        <v>158.81400000000002</v>
      </c>
      <c r="BS31" s="36">
        <f>BQ$7*'2014A'!$F31</f>
        <v>55.43258</v>
      </c>
      <c r="BT31"/>
      <c r="BV31" s="5">
        <f t="shared" si="28"/>
        <v>53.99676</v>
      </c>
      <c r="BW31" s="5">
        <f t="shared" si="29"/>
        <v>53.99676</v>
      </c>
      <c r="BX31" s="36">
        <f>BV$7*'2014A'!$F31</f>
        <v>18.8470772</v>
      </c>
      <c r="BY31"/>
      <c r="CA31" s="5">
        <f t="shared" si="30"/>
        <v>3006.62928</v>
      </c>
      <c r="CB31" s="5">
        <f t="shared" si="31"/>
        <v>3006.62928</v>
      </c>
      <c r="CC31" s="36">
        <f>CA$7*'2014A'!$F31</f>
        <v>1049.4365616</v>
      </c>
      <c r="CD31"/>
      <c r="CF31" s="5">
        <f t="shared" si="32"/>
        <v>8751.305339999999</v>
      </c>
      <c r="CG31" s="5">
        <f t="shared" si="33"/>
        <v>8751.305339999999</v>
      </c>
      <c r="CH31" s="36">
        <f>CF$7*'2014A'!$F31</f>
        <v>3054.5634098</v>
      </c>
      <c r="CI31"/>
      <c r="CK31" s="5">
        <f t="shared" si="34"/>
        <v>444.2121</v>
      </c>
      <c r="CL31" s="5">
        <f t="shared" si="35"/>
        <v>444.2121</v>
      </c>
      <c r="CM31" s="36">
        <f>CK$7*'2014A'!$F31</f>
        <v>155.048187</v>
      </c>
      <c r="CN31"/>
      <c r="CP31" s="5">
        <f t="shared" si="36"/>
        <v>5867.803620000001</v>
      </c>
      <c r="CQ31" s="5">
        <f t="shared" si="37"/>
        <v>5867.803620000001</v>
      </c>
      <c r="CR31" s="36">
        <f>CP$7*'2014A'!$F31</f>
        <v>2048.1034014</v>
      </c>
      <c r="CS31"/>
      <c r="CU31" s="5">
        <f t="shared" si="38"/>
        <v>126012.64985999999</v>
      </c>
      <c r="CV31" s="5">
        <f t="shared" si="39"/>
        <v>126012.64985999999</v>
      </c>
      <c r="CW31" s="36">
        <f>CU$7*'2014A'!$F31</f>
        <v>43983.567534199996</v>
      </c>
      <c r="CX31"/>
      <c r="CZ31" s="5">
        <f t="shared" si="40"/>
        <v>2454.0499800000002</v>
      </c>
      <c r="DA31" s="36">
        <f t="shared" si="41"/>
        <v>2454.0499800000002</v>
      </c>
      <c r="DB31" s="36">
        <f>CZ$7*'2014A'!$F31</f>
        <v>856.5637906000001</v>
      </c>
      <c r="DC31"/>
      <c r="DE31" s="5">
        <f t="shared" si="42"/>
        <v>2809.8867600000003</v>
      </c>
      <c r="DF31" s="36">
        <f t="shared" si="43"/>
        <v>2809.8867600000003</v>
      </c>
      <c r="DG31" s="36">
        <f>DE$7*'2014A'!$F31</f>
        <v>980.7653772000001</v>
      </c>
      <c r="DJ31" s="5">
        <f t="shared" si="44"/>
        <v>670.19508</v>
      </c>
      <c r="DK31" s="36">
        <f t="shared" si="45"/>
        <v>670.19508</v>
      </c>
      <c r="DL31" s="36">
        <f>DJ$7*'2014A'!$F31</f>
        <v>233.9254876</v>
      </c>
      <c r="DO31" s="5">
        <f t="shared" si="46"/>
        <v>9694.56708</v>
      </c>
      <c r="DP31" s="5">
        <f t="shared" si="47"/>
        <v>9694.56708</v>
      </c>
      <c r="DQ31" s="36">
        <f>DO$7*'2014A'!$F31</f>
        <v>3383.8003276</v>
      </c>
      <c r="DT31" s="5">
        <f t="shared" si="48"/>
        <v>36461.07864</v>
      </c>
      <c r="DU31" s="5">
        <f t="shared" si="49"/>
        <v>36461.07864</v>
      </c>
      <c r="DV31" s="36">
        <f>DT$7*'2014A'!$F31</f>
        <v>12726.4073608</v>
      </c>
      <c r="DY31" s="5">
        <f t="shared" si="50"/>
        <v>254.5695</v>
      </c>
      <c r="DZ31" s="5">
        <f t="shared" si="51"/>
        <v>254.5695</v>
      </c>
      <c r="EA31" s="36">
        <f>DY$7*'2014A'!$F31</f>
        <v>88.855165</v>
      </c>
      <c r="ED31" s="36">
        <f t="shared" si="52"/>
        <v>3775.9429800000003</v>
      </c>
      <c r="EE31" s="36">
        <f t="shared" si="53"/>
        <v>3775.9429800000003</v>
      </c>
      <c r="EF31" s="36">
        <f>ED$7*'2014A'!$F31</f>
        <v>1317.9585006</v>
      </c>
    </row>
    <row r="32" spans="1:136" ht="12.75">
      <c r="A32" s="37">
        <v>11049</v>
      </c>
      <c r="C32" s="3">
        <v>8625000</v>
      </c>
      <c r="D32" s="3">
        <v>934200</v>
      </c>
      <c r="E32" s="35">
        <f t="shared" si="0"/>
        <v>9559200</v>
      </c>
      <c r="F32" s="35"/>
      <c r="H32" s="47">
        <f t="shared" si="54"/>
        <v>2725384.4250000007</v>
      </c>
      <c r="I32" s="36">
        <f t="shared" si="1"/>
        <v>295194.68172</v>
      </c>
      <c r="J32" s="36">
        <f t="shared" si="2"/>
        <v>3020579.1067200005</v>
      </c>
      <c r="K32" s="36">
        <f t="shared" si="3"/>
        <v>103035.01460840002</v>
      </c>
      <c r="L32"/>
      <c r="M32" s="5">
        <f t="shared" si="55"/>
        <v>25125.4875</v>
      </c>
      <c r="N32" s="5">
        <f t="shared" si="4"/>
        <v>2721.41802</v>
      </c>
      <c r="O32" s="5">
        <f t="shared" si="5"/>
        <v>27846.90552</v>
      </c>
      <c r="P32" s="36">
        <f>N$7*'2014A'!$F32</f>
        <v>949.8861694</v>
      </c>
      <c r="Q32"/>
      <c r="R32" s="5">
        <f t="shared" si="56"/>
        <v>2268.375</v>
      </c>
      <c r="S32" s="5">
        <f t="shared" si="6"/>
        <v>245.6946</v>
      </c>
      <c r="T32" s="5">
        <f t="shared" si="7"/>
        <v>2514.0696</v>
      </c>
      <c r="U32" s="36">
        <f>S$7*'2014A'!$F32</f>
        <v>85.757462</v>
      </c>
      <c r="V32"/>
      <c r="W32" s="5">
        <f t="shared" si="57"/>
        <v>5647.65</v>
      </c>
      <c r="X32" s="5">
        <f t="shared" si="8"/>
        <v>611.71416</v>
      </c>
      <c r="Y32" s="5">
        <f t="shared" si="9"/>
        <v>6259.364159999999</v>
      </c>
      <c r="Z32" s="36">
        <f>X$7*'2014A'!$F32</f>
        <v>213.5132552</v>
      </c>
      <c r="AA32"/>
      <c r="AB32" s="5">
        <f t="shared" si="58"/>
        <v>192761.85</v>
      </c>
      <c r="AC32" s="5">
        <f t="shared" si="10"/>
        <v>20878.62264</v>
      </c>
      <c r="AD32" s="5">
        <f t="shared" si="11"/>
        <v>213640.47264</v>
      </c>
      <c r="AE32" s="36">
        <f>AC$7*'2014A'!$F32</f>
        <v>7287.4930408</v>
      </c>
      <c r="AF32"/>
      <c r="AG32" s="5">
        <f t="shared" si="59"/>
        <v>43869.3375</v>
      </c>
      <c r="AH32" s="5">
        <f t="shared" si="12"/>
        <v>4751.62146</v>
      </c>
      <c r="AI32" s="5">
        <f t="shared" si="13"/>
        <v>48620.95896</v>
      </c>
      <c r="AJ32" s="36">
        <f>AH$7*'2014A'!$F32</f>
        <v>1658.5101862000001</v>
      </c>
      <c r="AK32"/>
      <c r="AL32" s="5">
        <f t="shared" si="60"/>
        <v>15996.787499999999</v>
      </c>
      <c r="AM32" s="5">
        <f t="shared" si="14"/>
        <v>1732.66074</v>
      </c>
      <c r="AN32" s="5">
        <f t="shared" si="15"/>
        <v>17729.448239999998</v>
      </c>
      <c r="AO32" s="36">
        <f>AM$7*'2014A'!$F32</f>
        <v>604.7694478</v>
      </c>
      <c r="AP32"/>
      <c r="AQ32" s="5">
        <f t="shared" si="61"/>
        <v>48527.700000000004</v>
      </c>
      <c r="AR32" s="5">
        <f t="shared" si="16"/>
        <v>5256.18288</v>
      </c>
      <c r="AS32" s="5">
        <f t="shared" si="17"/>
        <v>53783.882880000005</v>
      </c>
      <c r="AT32" s="36">
        <f>AR$7*'2014A'!$F32</f>
        <v>1834.6227536000001</v>
      </c>
      <c r="AU32"/>
      <c r="AV32" s="5">
        <f t="shared" si="62"/>
        <v>296970.825</v>
      </c>
      <c r="AW32" s="5">
        <f t="shared" si="18"/>
        <v>32165.81388</v>
      </c>
      <c r="AX32" s="5">
        <f t="shared" si="19"/>
        <v>329136.63888</v>
      </c>
      <c r="AY32" s="36">
        <f>AW$7*'2014A'!$F32</f>
        <v>11227.1843236</v>
      </c>
      <c r="AZ32"/>
      <c r="BA32" s="5">
        <f t="shared" si="63"/>
        <v>16189.125</v>
      </c>
      <c r="BB32" s="5">
        <f t="shared" si="20"/>
        <v>1753.4934</v>
      </c>
      <c r="BC32" s="5">
        <f t="shared" si="21"/>
        <v>17942.6184</v>
      </c>
      <c r="BD32" s="36">
        <f>BB$7*'2014A'!$F32</f>
        <v>612.040898</v>
      </c>
      <c r="BE32"/>
      <c r="BF32" s="5">
        <f t="shared" si="64"/>
        <v>22186.949999999997</v>
      </c>
      <c r="BG32" s="5">
        <f t="shared" si="22"/>
        <v>2403.1360799999998</v>
      </c>
      <c r="BH32" s="5">
        <f t="shared" si="23"/>
        <v>24590.086079999997</v>
      </c>
      <c r="BI32" s="36">
        <f>BG$7*'2014A'!$F32</f>
        <v>838.7927576</v>
      </c>
      <c r="BJ32"/>
      <c r="BK32" s="5">
        <f t="shared" si="65"/>
        <v>205502.7</v>
      </c>
      <c r="BL32" s="5">
        <f t="shared" si="24"/>
        <v>22258.622880000003</v>
      </c>
      <c r="BM32" s="5">
        <f t="shared" si="25"/>
        <v>227761.32288000002</v>
      </c>
      <c r="BN32" s="36">
        <f>BL$7*'2014A'!$F32</f>
        <v>7769.169553600001</v>
      </c>
      <c r="BO32"/>
      <c r="BP32" s="5">
        <f t="shared" si="66"/>
        <v>1466.25</v>
      </c>
      <c r="BQ32" s="5">
        <f t="shared" si="26"/>
        <v>158.81400000000002</v>
      </c>
      <c r="BR32" s="5">
        <f t="shared" si="27"/>
        <v>1625.064</v>
      </c>
      <c r="BS32" s="36">
        <f>BQ$7*'2014A'!$F32</f>
        <v>55.43258</v>
      </c>
      <c r="BT32"/>
      <c r="BU32" s="5">
        <f t="shared" si="67"/>
        <v>498.52500000000003</v>
      </c>
      <c r="BV32" s="5">
        <f t="shared" si="28"/>
        <v>53.99676</v>
      </c>
      <c r="BW32" s="5">
        <f t="shared" si="29"/>
        <v>552.5217600000001</v>
      </c>
      <c r="BX32" s="36">
        <f>BV$7*'2014A'!$F32</f>
        <v>18.8470772</v>
      </c>
      <c r="BY32"/>
      <c r="BZ32" s="5">
        <f t="shared" si="68"/>
        <v>27758.7</v>
      </c>
      <c r="CA32" s="5">
        <f t="shared" si="30"/>
        <v>3006.62928</v>
      </c>
      <c r="CB32" s="5">
        <f t="shared" si="31"/>
        <v>30765.32928</v>
      </c>
      <c r="CC32" s="36">
        <f>CA$7*'2014A'!$F32</f>
        <v>1049.4365616</v>
      </c>
      <c r="CD32"/>
      <c r="CE32" s="5">
        <f t="shared" si="69"/>
        <v>80796.41249999999</v>
      </c>
      <c r="CF32" s="5">
        <f t="shared" si="32"/>
        <v>8751.305339999999</v>
      </c>
      <c r="CG32" s="5">
        <f t="shared" si="33"/>
        <v>89547.71784</v>
      </c>
      <c r="CH32" s="36">
        <f>CF$7*'2014A'!$F32</f>
        <v>3054.5634098</v>
      </c>
      <c r="CI32"/>
      <c r="CJ32" s="5">
        <f t="shared" si="70"/>
        <v>4101.1875</v>
      </c>
      <c r="CK32" s="5">
        <f t="shared" si="34"/>
        <v>444.2121</v>
      </c>
      <c r="CL32" s="5">
        <f t="shared" si="35"/>
        <v>4545.3996</v>
      </c>
      <c r="CM32" s="36">
        <f>CK$7*'2014A'!$F32</f>
        <v>155.048187</v>
      </c>
      <c r="CN32"/>
      <c r="CO32" s="5">
        <f t="shared" si="71"/>
        <v>54174.4875</v>
      </c>
      <c r="CP32" s="5">
        <f t="shared" si="36"/>
        <v>5867.803620000001</v>
      </c>
      <c r="CQ32" s="5">
        <f t="shared" si="37"/>
        <v>60042.29112</v>
      </c>
      <c r="CR32" s="36">
        <f>CP$7*'2014A'!$F32</f>
        <v>2048.1034014</v>
      </c>
      <c r="CS32"/>
      <c r="CT32" s="5">
        <f t="shared" si="72"/>
        <v>1163411.5875</v>
      </c>
      <c r="CU32" s="5">
        <f t="shared" si="38"/>
        <v>126012.64985999999</v>
      </c>
      <c r="CV32" s="5">
        <f t="shared" si="39"/>
        <v>1289424.23736</v>
      </c>
      <c r="CW32" s="36">
        <f>CU$7*'2014A'!$F32</f>
        <v>43983.567534199996</v>
      </c>
      <c r="CX32"/>
      <c r="CY32" s="5">
        <f t="shared" si="73"/>
        <v>22657.0125</v>
      </c>
      <c r="CZ32" s="5">
        <f t="shared" si="40"/>
        <v>2454.0499800000002</v>
      </c>
      <c r="DA32" s="36">
        <f t="shared" si="41"/>
        <v>25111.06248</v>
      </c>
      <c r="DB32" s="36">
        <f>CZ$7*'2014A'!$F32</f>
        <v>856.5637906000001</v>
      </c>
      <c r="DC32"/>
      <c r="DD32" s="5">
        <f t="shared" si="74"/>
        <v>25942.275</v>
      </c>
      <c r="DE32" s="5">
        <f t="shared" si="42"/>
        <v>2809.8867600000003</v>
      </c>
      <c r="DF32" s="36">
        <f t="shared" si="43"/>
        <v>28752.161760000003</v>
      </c>
      <c r="DG32" s="36">
        <f>DE$7*'2014A'!$F32</f>
        <v>980.7653772000001</v>
      </c>
      <c r="DI32" s="5">
        <f t="shared" si="75"/>
        <v>6187.575</v>
      </c>
      <c r="DJ32" s="5">
        <f t="shared" si="44"/>
        <v>670.19508</v>
      </c>
      <c r="DK32" s="36">
        <f t="shared" si="45"/>
        <v>6857.77008</v>
      </c>
      <c r="DL32" s="36">
        <f>DJ$7*'2014A'!$F32</f>
        <v>233.9254876</v>
      </c>
      <c r="DN32" s="5">
        <f t="shared" si="76"/>
        <v>89505.075</v>
      </c>
      <c r="DO32" s="5">
        <f t="shared" si="46"/>
        <v>9694.56708</v>
      </c>
      <c r="DP32" s="5">
        <f t="shared" si="47"/>
        <v>99199.64207999999</v>
      </c>
      <c r="DQ32" s="36">
        <f>DO$7*'2014A'!$F32</f>
        <v>3383.8003276</v>
      </c>
      <c r="DS32" s="5">
        <f t="shared" si="77"/>
        <v>336626.85</v>
      </c>
      <c r="DT32" s="5">
        <f t="shared" si="48"/>
        <v>36461.07864</v>
      </c>
      <c r="DU32" s="5">
        <f t="shared" si="49"/>
        <v>373087.92864</v>
      </c>
      <c r="DV32" s="36">
        <f>DT$7*'2014A'!$F32</f>
        <v>12726.4073608</v>
      </c>
      <c r="DX32" s="5">
        <f t="shared" si="78"/>
        <v>2350.3125</v>
      </c>
      <c r="DY32" s="5">
        <f t="shared" si="50"/>
        <v>254.5695</v>
      </c>
      <c r="DZ32" s="5">
        <f t="shared" si="51"/>
        <v>2604.882</v>
      </c>
      <c r="EA32" s="36">
        <f>DY$7*'2014A'!$F32</f>
        <v>88.855165</v>
      </c>
      <c r="EC32" s="5">
        <f t="shared" si="79"/>
        <v>34861.387500000004</v>
      </c>
      <c r="ED32" s="36">
        <f t="shared" si="52"/>
        <v>3775.9429800000003</v>
      </c>
      <c r="EE32" s="36">
        <f t="shared" si="53"/>
        <v>38637.330480000004</v>
      </c>
      <c r="EF32" s="36">
        <f>ED$7*'2014A'!$F32</f>
        <v>1317.9585006</v>
      </c>
    </row>
    <row r="33" spans="1:136" ht="12.75">
      <c r="A33" s="37">
        <v>11232</v>
      </c>
      <c r="D33" s="3">
        <v>761700</v>
      </c>
      <c r="E33" s="35">
        <f t="shared" si="0"/>
        <v>761700</v>
      </c>
      <c r="F33" s="35"/>
      <c r="H33" s="47"/>
      <c r="I33" s="36">
        <f t="shared" si="1"/>
        <v>240686.99322</v>
      </c>
      <c r="J33" s="36">
        <f t="shared" si="2"/>
        <v>240686.99322</v>
      </c>
      <c r="K33" s="36">
        <f t="shared" si="3"/>
        <v>103035.01460840002</v>
      </c>
      <c r="L33"/>
      <c r="N33" s="5">
        <f t="shared" si="4"/>
        <v>2218.90827</v>
      </c>
      <c r="O33" s="5">
        <f t="shared" si="5"/>
        <v>2218.90827</v>
      </c>
      <c r="P33" s="36">
        <f>N$7*'2014A'!$F33</f>
        <v>949.8861694</v>
      </c>
      <c r="Q33"/>
      <c r="S33" s="5">
        <f t="shared" si="6"/>
        <v>200.3271</v>
      </c>
      <c r="T33" s="5">
        <f t="shared" si="7"/>
        <v>200.3271</v>
      </c>
      <c r="U33" s="36">
        <f>S$7*'2014A'!$F33</f>
        <v>85.757462</v>
      </c>
      <c r="V33"/>
      <c r="X33" s="5">
        <f t="shared" si="8"/>
        <v>498.76115999999996</v>
      </c>
      <c r="Y33" s="5">
        <f t="shared" si="9"/>
        <v>498.76115999999996</v>
      </c>
      <c r="Z33" s="36">
        <f>X$7*'2014A'!$F33</f>
        <v>213.5132552</v>
      </c>
      <c r="AA33"/>
      <c r="AC33" s="5">
        <f t="shared" si="10"/>
        <v>17023.38564</v>
      </c>
      <c r="AD33" s="5">
        <f t="shared" si="11"/>
        <v>17023.38564</v>
      </c>
      <c r="AE33" s="36">
        <f>AC$7*'2014A'!$F33</f>
        <v>7287.4930408</v>
      </c>
      <c r="AF33"/>
      <c r="AH33" s="5">
        <f t="shared" si="12"/>
        <v>3874.23471</v>
      </c>
      <c r="AI33" s="5">
        <f t="shared" si="13"/>
        <v>3874.23471</v>
      </c>
      <c r="AJ33" s="36">
        <f>AH$7*'2014A'!$F33</f>
        <v>1658.5101862000001</v>
      </c>
      <c r="AK33"/>
      <c r="AM33" s="5">
        <f t="shared" si="14"/>
        <v>1412.72499</v>
      </c>
      <c r="AN33" s="5">
        <f t="shared" si="15"/>
        <v>1412.72499</v>
      </c>
      <c r="AO33" s="36">
        <f>AM$7*'2014A'!$F33</f>
        <v>604.7694478</v>
      </c>
      <c r="AP33"/>
      <c r="AR33" s="5">
        <f t="shared" si="16"/>
        <v>4285.62888</v>
      </c>
      <c r="AS33" s="5">
        <f t="shared" si="17"/>
        <v>4285.62888</v>
      </c>
      <c r="AT33" s="36">
        <f>AR$7*'2014A'!$F33</f>
        <v>1834.6227536000001</v>
      </c>
      <c r="AU33"/>
      <c r="AW33" s="5">
        <f t="shared" si="18"/>
        <v>26226.397380000002</v>
      </c>
      <c r="AX33" s="5">
        <f t="shared" si="19"/>
        <v>26226.397380000002</v>
      </c>
      <c r="AY33" s="36">
        <f>AW$7*'2014A'!$F33</f>
        <v>11227.1843236</v>
      </c>
      <c r="AZ33"/>
      <c r="BB33" s="5">
        <f t="shared" si="20"/>
        <v>1429.7109</v>
      </c>
      <c r="BC33" s="5">
        <f t="shared" si="21"/>
        <v>1429.7109</v>
      </c>
      <c r="BD33" s="36">
        <f>BB$7*'2014A'!$F33</f>
        <v>612.040898</v>
      </c>
      <c r="BE33"/>
      <c r="BG33" s="5">
        <f t="shared" si="22"/>
        <v>1959.39708</v>
      </c>
      <c r="BH33" s="5">
        <f t="shared" si="23"/>
        <v>1959.39708</v>
      </c>
      <c r="BI33" s="36">
        <f>BG$7*'2014A'!$F33</f>
        <v>838.7927576</v>
      </c>
      <c r="BJ33"/>
      <c r="BL33" s="5">
        <f t="shared" si="24"/>
        <v>18148.568880000003</v>
      </c>
      <c r="BM33" s="5">
        <f t="shared" si="25"/>
        <v>18148.568880000003</v>
      </c>
      <c r="BN33" s="36">
        <f>BL$7*'2014A'!$F33</f>
        <v>7769.169553600001</v>
      </c>
      <c r="BO33"/>
      <c r="BQ33" s="5">
        <f t="shared" si="26"/>
        <v>129.489</v>
      </c>
      <c r="BR33" s="5">
        <f t="shared" si="27"/>
        <v>129.489</v>
      </c>
      <c r="BS33" s="36">
        <f>BQ$7*'2014A'!$F33</f>
        <v>55.43258</v>
      </c>
      <c r="BT33"/>
      <c r="BV33" s="5">
        <f t="shared" si="28"/>
        <v>44.02626</v>
      </c>
      <c r="BW33" s="5">
        <f t="shared" si="29"/>
        <v>44.02626</v>
      </c>
      <c r="BX33" s="36">
        <f>BV$7*'2014A'!$F33</f>
        <v>18.8470772</v>
      </c>
      <c r="BY33"/>
      <c r="CA33" s="5">
        <f t="shared" si="30"/>
        <v>2451.45528</v>
      </c>
      <c r="CB33" s="5">
        <f t="shared" si="31"/>
        <v>2451.45528</v>
      </c>
      <c r="CC33" s="36">
        <f>CA$7*'2014A'!$F33</f>
        <v>1049.4365616</v>
      </c>
      <c r="CD33"/>
      <c r="CF33" s="5">
        <f t="shared" si="32"/>
        <v>7135.37709</v>
      </c>
      <c r="CG33" s="5">
        <f t="shared" si="33"/>
        <v>7135.37709</v>
      </c>
      <c r="CH33" s="36">
        <f>CF$7*'2014A'!$F33</f>
        <v>3054.5634098</v>
      </c>
      <c r="CI33"/>
      <c r="CK33" s="5">
        <f t="shared" si="34"/>
        <v>362.18835</v>
      </c>
      <c r="CL33" s="5">
        <f t="shared" si="35"/>
        <v>362.18835</v>
      </c>
      <c r="CM33" s="36">
        <f>CK$7*'2014A'!$F33</f>
        <v>155.048187</v>
      </c>
      <c r="CN33"/>
      <c r="CP33" s="5">
        <f t="shared" si="36"/>
        <v>4784.31387</v>
      </c>
      <c r="CQ33" s="5">
        <f t="shared" si="37"/>
        <v>4784.31387</v>
      </c>
      <c r="CR33" s="36">
        <f>CP$7*'2014A'!$F33</f>
        <v>2048.1034014</v>
      </c>
      <c r="CS33"/>
      <c r="CU33" s="5">
        <f t="shared" si="38"/>
        <v>102744.41811</v>
      </c>
      <c r="CV33" s="5">
        <f t="shared" si="39"/>
        <v>102744.41811</v>
      </c>
      <c r="CW33" s="36">
        <f>CU$7*'2014A'!$F33</f>
        <v>43983.567534199996</v>
      </c>
      <c r="CX33"/>
      <c r="CZ33" s="5">
        <f t="shared" si="40"/>
        <v>2000.90973</v>
      </c>
      <c r="DA33" s="36">
        <f t="shared" si="41"/>
        <v>2000.90973</v>
      </c>
      <c r="DB33" s="36">
        <f>CZ$7*'2014A'!$F33</f>
        <v>856.5637906000001</v>
      </c>
      <c r="DC33"/>
      <c r="DE33" s="5">
        <f t="shared" si="42"/>
        <v>2291.04126</v>
      </c>
      <c r="DF33" s="36">
        <f t="shared" si="43"/>
        <v>2291.04126</v>
      </c>
      <c r="DG33" s="36">
        <f>DE$7*'2014A'!$F33</f>
        <v>980.7653772000001</v>
      </c>
      <c r="DJ33" s="5">
        <f t="shared" si="44"/>
        <v>546.44358</v>
      </c>
      <c r="DK33" s="36">
        <f t="shared" si="45"/>
        <v>546.44358</v>
      </c>
      <c r="DL33" s="36">
        <f>DJ$7*'2014A'!$F33</f>
        <v>233.9254876</v>
      </c>
      <c r="DO33" s="5">
        <f t="shared" si="46"/>
        <v>7904.46558</v>
      </c>
      <c r="DP33" s="5">
        <f t="shared" si="47"/>
        <v>7904.46558</v>
      </c>
      <c r="DQ33" s="36">
        <f>DO$7*'2014A'!$F33</f>
        <v>3383.8003276</v>
      </c>
      <c r="DT33" s="5">
        <f t="shared" si="48"/>
        <v>29728.54164</v>
      </c>
      <c r="DU33" s="5">
        <f t="shared" si="49"/>
        <v>29728.54164</v>
      </c>
      <c r="DV33" s="36">
        <f>DT$7*'2014A'!$F33</f>
        <v>12726.4073608</v>
      </c>
      <c r="DY33" s="5">
        <f t="shared" si="50"/>
        <v>207.56325</v>
      </c>
      <c r="DZ33" s="5">
        <f t="shared" si="51"/>
        <v>207.56325</v>
      </c>
      <c r="EA33" s="36">
        <f>DY$7*'2014A'!$F33</f>
        <v>88.855165</v>
      </c>
      <c r="ED33" s="36">
        <f t="shared" si="52"/>
        <v>3078.7152300000002</v>
      </c>
      <c r="EE33" s="36">
        <f t="shared" si="53"/>
        <v>3078.7152300000002</v>
      </c>
      <c r="EF33" s="36">
        <f>ED$7*'2014A'!$F33</f>
        <v>1317.9585006</v>
      </c>
    </row>
    <row r="34" spans="1:136" ht="12.75">
      <c r="A34" s="37">
        <v>11414</v>
      </c>
      <c r="C34" s="3">
        <v>8970000</v>
      </c>
      <c r="D34" s="3">
        <v>761700</v>
      </c>
      <c r="E34" s="35">
        <f t="shared" si="0"/>
        <v>9731700</v>
      </c>
      <c r="F34" s="35"/>
      <c r="H34" s="47">
        <f t="shared" si="54"/>
        <v>2834399.802</v>
      </c>
      <c r="I34" s="36">
        <f t="shared" si="1"/>
        <v>240686.99322</v>
      </c>
      <c r="J34" s="36">
        <f t="shared" si="2"/>
        <v>3075086.79522</v>
      </c>
      <c r="K34" s="36">
        <f t="shared" si="3"/>
        <v>103035.01460840002</v>
      </c>
      <c r="L34"/>
      <c r="M34" s="5">
        <f t="shared" si="55"/>
        <v>26130.507</v>
      </c>
      <c r="N34" s="5">
        <f t="shared" si="4"/>
        <v>2218.90827</v>
      </c>
      <c r="O34" s="5">
        <f t="shared" si="5"/>
        <v>28349.41527</v>
      </c>
      <c r="P34" s="36">
        <f>N$7*'2014A'!$F34</f>
        <v>949.8861694</v>
      </c>
      <c r="Q34"/>
      <c r="R34" s="5">
        <f t="shared" si="56"/>
        <v>2359.11</v>
      </c>
      <c r="S34" s="5">
        <f t="shared" si="6"/>
        <v>200.3271</v>
      </c>
      <c r="T34" s="5">
        <f t="shared" si="7"/>
        <v>2559.4371</v>
      </c>
      <c r="U34" s="36">
        <f>S$7*'2014A'!$F34</f>
        <v>85.757462</v>
      </c>
      <c r="V34"/>
      <c r="W34" s="5">
        <f t="shared" si="57"/>
        <v>5873.556</v>
      </c>
      <c r="X34" s="5">
        <f t="shared" si="8"/>
        <v>498.76115999999996</v>
      </c>
      <c r="Y34" s="5">
        <f t="shared" si="9"/>
        <v>6372.31716</v>
      </c>
      <c r="Z34" s="36">
        <f>X$7*'2014A'!$F34</f>
        <v>213.5132552</v>
      </c>
      <c r="AA34"/>
      <c r="AB34" s="5">
        <f t="shared" si="58"/>
        <v>200472.324</v>
      </c>
      <c r="AC34" s="5">
        <f t="shared" si="10"/>
        <v>17023.38564</v>
      </c>
      <c r="AD34" s="5">
        <f t="shared" si="11"/>
        <v>217495.70964</v>
      </c>
      <c r="AE34" s="36">
        <f>AC$7*'2014A'!$F34</f>
        <v>7287.4930408</v>
      </c>
      <c r="AF34"/>
      <c r="AG34" s="5">
        <f t="shared" si="59"/>
        <v>45624.111000000004</v>
      </c>
      <c r="AH34" s="5">
        <f t="shared" si="12"/>
        <v>3874.23471</v>
      </c>
      <c r="AI34" s="5">
        <f t="shared" si="13"/>
        <v>49498.34571</v>
      </c>
      <c r="AJ34" s="36">
        <f>AH$7*'2014A'!$F34</f>
        <v>1658.5101862000001</v>
      </c>
      <c r="AK34"/>
      <c r="AL34" s="5">
        <f t="shared" si="60"/>
        <v>16636.659</v>
      </c>
      <c r="AM34" s="5">
        <f t="shared" si="14"/>
        <v>1412.72499</v>
      </c>
      <c r="AN34" s="5">
        <f t="shared" si="15"/>
        <v>18049.38399</v>
      </c>
      <c r="AO34" s="36">
        <f>AM$7*'2014A'!$F34</f>
        <v>604.7694478</v>
      </c>
      <c r="AP34"/>
      <c r="AQ34" s="5">
        <f t="shared" si="61"/>
        <v>50468.808000000005</v>
      </c>
      <c r="AR34" s="5">
        <f t="shared" si="16"/>
        <v>4285.62888</v>
      </c>
      <c r="AS34" s="5">
        <f t="shared" si="17"/>
        <v>54754.43688000001</v>
      </c>
      <c r="AT34" s="36">
        <f>AR$7*'2014A'!$F34</f>
        <v>1834.6227536000001</v>
      </c>
      <c r="AU34"/>
      <c r="AV34" s="5">
        <f t="shared" si="62"/>
        <v>308849.658</v>
      </c>
      <c r="AW34" s="5">
        <f t="shared" si="18"/>
        <v>26226.397380000002</v>
      </c>
      <c r="AX34" s="5">
        <f t="shared" si="19"/>
        <v>335076.05538</v>
      </c>
      <c r="AY34" s="36">
        <f>AW$7*'2014A'!$F34</f>
        <v>11227.1843236</v>
      </c>
      <c r="AZ34"/>
      <c r="BA34" s="5">
        <f t="shared" si="63"/>
        <v>16836.69</v>
      </c>
      <c r="BB34" s="5">
        <f t="shared" si="20"/>
        <v>1429.7109</v>
      </c>
      <c r="BC34" s="5">
        <f t="shared" si="21"/>
        <v>18266.4009</v>
      </c>
      <c r="BD34" s="36">
        <f>BB$7*'2014A'!$F34</f>
        <v>612.040898</v>
      </c>
      <c r="BE34"/>
      <c r="BF34" s="5">
        <f t="shared" si="64"/>
        <v>23074.428</v>
      </c>
      <c r="BG34" s="5">
        <f t="shared" si="22"/>
        <v>1959.39708</v>
      </c>
      <c r="BH34" s="5">
        <f t="shared" si="23"/>
        <v>25033.82508</v>
      </c>
      <c r="BI34" s="36">
        <f>BG$7*'2014A'!$F34</f>
        <v>838.7927576</v>
      </c>
      <c r="BJ34"/>
      <c r="BK34" s="5">
        <f t="shared" si="65"/>
        <v>213722.80800000002</v>
      </c>
      <c r="BL34" s="5">
        <f t="shared" si="24"/>
        <v>18148.568880000003</v>
      </c>
      <c r="BM34" s="5">
        <f t="shared" si="25"/>
        <v>231871.37688000003</v>
      </c>
      <c r="BN34" s="36">
        <f>BL$7*'2014A'!$F34</f>
        <v>7769.169553600001</v>
      </c>
      <c r="BO34"/>
      <c r="BP34" s="5">
        <f t="shared" si="66"/>
        <v>1524.9</v>
      </c>
      <c r="BQ34" s="5">
        <f t="shared" si="26"/>
        <v>129.489</v>
      </c>
      <c r="BR34" s="5">
        <f t="shared" si="27"/>
        <v>1654.3890000000001</v>
      </c>
      <c r="BS34" s="36">
        <f>BQ$7*'2014A'!$F34</f>
        <v>55.43258</v>
      </c>
      <c r="BT34"/>
      <c r="BU34" s="5">
        <f t="shared" si="67"/>
        <v>518.466</v>
      </c>
      <c r="BV34" s="5">
        <f t="shared" si="28"/>
        <v>44.02626</v>
      </c>
      <c r="BW34" s="5">
        <f t="shared" si="29"/>
        <v>562.49226</v>
      </c>
      <c r="BX34" s="36">
        <f>BV$7*'2014A'!$F34</f>
        <v>18.8470772</v>
      </c>
      <c r="BY34"/>
      <c r="BZ34" s="5">
        <f t="shared" si="68"/>
        <v>28869.048000000003</v>
      </c>
      <c r="CA34" s="5">
        <f t="shared" si="30"/>
        <v>2451.45528</v>
      </c>
      <c r="CB34" s="5">
        <f t="shared" si="31"/>
        <v>31320.503280000004</v>
      </c>
      <c r="CC34" s="36">
        <f>CA$7*'2014A'!$F34</f>
        <v>1049.4365616</v>
      </c>
      <c r="CD34"/>
      <c r="CE34" s="5">
        <f t="shared" si="69"/>
        <v>84028.269</v>
      </c>
      <c r="CF34" s="5">
        <f t="shared" si="32"/>
        <v>7135.37709</v>
      </c>
      <c r="CG34" s="5">
        <f t="shared" si="33"/>
        <v>91163.64609</v>
      </c>
      <c r="CH34" s="36">
        <f>CF$7*'2014A'!$F34</f>
        <v>3054.5634098</v>
      </c>
      <c r="CI34"/>
      <c r="CJ34" s="5">
        <f t="shared" si="70"/>
        <v>4265.235</v>
      </c>
      <c r="CK34" s="5">
        <f t="shared" si="34"/>
        <v>362.18835</v>
      </c>
      <c r="CL34" s="5">
        <f t="shared" si="35"/>
        <v>4627.42335</v>
      </c>
      <c r="CM34" s="36">
        <f>CK$7*'2014A'!$F34</f>
        <v>155.048187</v>
      </c>
      <c r="CN34"/>
      <c r="CO34" s="5">
        <f t="shared" si="71"/>
        <v>56341.467000000004</v>
      </c>
      <c r="CP34" s="5">
        <f t="shared" si="36"/>
        <v>4784.31387</v>
      </c>
      <c r="CQ34" s="5">
        <f t="shared" si="37"/>
        <v>61125.78087</v>
      </c>
      <c r="CR34" s="36">
        <f>CP$7*'2014A'!$F34</f>
        <v>2048.1034014</v>
      </c>
      <c r="CS34"/>
      <c r="CT34" s="5">
        <f t="shared" si="72"/>
        <v>1209948.051</v>
      </c>
      <c r="CU34" s="5">
        <f t="shared" si="38"/>
        <v>102744.41811</v>
      </c>
      <c r="CV34" s="5">
        <f t="shared" si="39"/>
        <v>1312692.46911</v>
      </c>
      <c r="CW34" s="36">
        <f>CU$7*'2014A'!$F34</f>
        <v>43983.567534199996</v>
      </c>
      <c r="CX34"/>
      <c r="CY34" s="5">
        <f t="shared" si="73"/>
        <v>23563.293</v>
      </c>
      <c r="CZ34" s="5">
        <f t="shared" si="40"/>
        <v>2000.90973</v>
      </c>
      <c r="DA34" s="36">
        <f t="shared" si="41"/>
        <v>25564.20273</v>
      </c>
      <c r="DB34" s="36">
        <f>CZ$7*'2014A'!$F34</f>
        <v>856.5637906000001</v>
      </c>
      <c r="DC34"/>
      <c r="DD34" s="5">
        <f t="shared" si="74"/>
        <v>26979.966</v>
      </c>
      <c r="DE34" s="5">
        <f t="shared" si="42"/>
        <v>2291.04126</v>
      </c>
      <c r="DF34" s="36">
        <f t="shared" si="43"/>
        <v>29271.00726</v>
      </c>
      <c r="DG34" s="36">
        <f>DE$7*'2014A'!$F34</f>
        <v>980.7653772000001</v>
      </c>
      <c r="DI34" s="5">
        <f t="shared" si="75"/>
        <v>6435.0779999999995</v>
      </c>
      <c r="DJ34" s="5">
        <f t="shared" si="44"/>
        <v>546.44358</v>
      </c>
      <c r="DK34" s="36">
        <f t="shared" si="45"/>
        <v>6981.52158</v>
      </c>
      <c r="DL34" s="36">
        <f>DJ$7*'2014A'!$F34</f>
        <v>233.9254876</v>
      </c>
      <c r="DN34" s="5">
        <f t="shared" si="76"/>
        <v>93085.278</v>
      </c>
      <c r="DO34" s="5">
        <f t="shared" si="46"/>
        <v>7904.46558</v>
      </c>
      <c r="DP34" s="5">
        <f t="shared" si="47"/>
        <v>100989.74358000001</v>
      </c>
      <c r="DQ34" s="36">
        <f>DO$7*'2014A'!$F34</f>
        <v>3383.8003276</v>
      </c>
      <c r="DS34" s="5">
        <f t="shared" si="77"/>
        <v>350091.924</v>
      </c>
      <c r="DT34" s="5">
        <f t="shared" si="48"/>
        <v>29728.54164</v>
      </c>
      <c r="DU34" s="5">
        <f t="shared" si="49"/>
        <v>379820.46564</v>
      </c>
      <c r="DV34" s="36">
        <f>DT$7*'2014A'!$F34</f>
        <v>12726.4073608</v>
      </c>
      <c r="DX34" s="5">
        <f t="shared" si="78"/>
        <v>2444.3250000000003</v>
      </c>
      <c r="DY34" s="5">
        <f t="shared" si="50"/>
        <v>207.56325</v>
      </c>
      <c r="DZ34" s="5">
        <f t="shared" si="51"/>
        <v>2651.8882500000004</v>
      </c>
      <c r="EA34" s="36">
        <f>DY$7*'2014A'!$F34</f>
        <v>88.855165</v>
      </c>
      <c r="EC34" s="5">
        <f t="shared" si="79"/>
        <v>36255.843</v>
      </c>
      <c r="ED34" s="36">
        <f t="shared" si="52"/>
        <v>3078.7152300000002</v>
      </c>
      <c r="EE34" s="36">
        <f t="shared" si="53"/>
        <v>39334.55823</v>
      </c>
      <c r="EF34" s="36">
        <f>ED$7*'2014A'!$F34</f>
        <v>1317.9585006</v>
      </c>
    </row>
    <row r="35" spans="1:136" ht="12.75">
      <c r="A35" s="37">
        <v>11597</v>
      </c>
      <c r="D35" s="3">
        <v>582300</v>
      </c>
      <c r="E35" s="35">
        <f t="shared" si="0"/>
        <v>582300</v>
      </c>
      <c r="F35" s="35"/>
      <c r="H35" s="47"/>
      <c r="I35" s="36">
        <f t="shared" si="1"/>
        <v>183998.99718</v>
      </c>
      <c r="J35" s="36">
        <f t="shared" si="2"/>
        <v>183998.99718</v>
      </c>
      <c r="K35" s="36">
        <f t="shared" si="3"/>
        <v>103035.01460840002</v>
      </c>
      <c r="L35"/>
      <c r="N35" s="5">
        <f t="shared" si="4"/>
        <v>1696.2981300000001</v>
      </c>
      <c r="O35" s="5">
        <f t="shared" si="5"/>
        <v>1696.2981300000001</v>
      </c>
      <c r="P35" s="36">
        <f>N$7*'2014A'!$F35</f>
        <v>949.8861694</v>
      </c>
      <c r="Q35"/>
      <c r="S35" s="5">
        <f t="shared" si="6"/>
        <v>153.1449</v>
      </c>
      <c r="T35" s="5">
        <f t="shared" si="7"/>
        <v>153.1449</v>
      </c>
      <c r="U35" s="36">
        <f>S$7*'2014A'!$F35</f>
        <v>85.757462</v>
      </c>
      <c r="V35"/>
      <c r="X35" s="5">
        <f t="shared" si="8"/>
        <v>381.29004</v>
      </c>
      <c r="Y35" s="5">
        <f t="shared" si="9"/>
        <v>381.29004</v>
      </c>
      <c r="Z35" s="36">
        <f>X$7*'2014A'!$F35</f>
        <v>213.5132552</v>
      </c>
      <c r="AA35"/>
      <c r="AC35" s="5">
        <f t="shared" si="10"/>
        <v>13013.93916</v>
      </c>
      <c r="AD35" s="5">
        <f t="shared" si="11"/>
        <v>13013.93916</v>
      </c>
      <c r="AE35" s="36">
        <f>AC$7*'2014A'!$F35</f>
        <v>7287.4930408</v>
      </c>
      <c r="AF35"/>
      <c r="AH35" s="5">
        <f t="shared" si="12"/>
        <v>2961.7524900000003</v>
      </c>
      <c r="AI35" s="5">
        <f t="shared" si="13"/>
        <v>2961.7524900000003</v>
      </c>
      <c r="AJ35" s="36">
        <f>AH$7*'2014A'!$F35</f>
        <v>1658.5101862000001</v>
      </c>
      <c r="AK35"/>
      <c r="AM35" s="5">
        <f t="shared" si="14"/>
        <v>1079.99181</v>
      </c>
      <c r="AN35" s="5">
        <f t="shared" si="15"/>
        <v>1079.99181</v>
      </c>
      <c r="AO35" s="36">
        <f>AM$7*'2014A'!$F35</f>
        <v>604.7694478</v>
      </c>
      <c r="AP35"/>
      <c r="AR35" s="5">
        <f t="shared" si="16"/>
        <v>3276.25272</v>
      </c>
      <c r="AS35" s="5">
        <f t="shared" si="17"/>
        <v>3276.25272</v>
      </c>
      <c r="AT35" s="36">
        <f>AR$7*'2014A'!$F35</f>
        <v>1834.6227536000001</v>
      </c>
      <c r="AU35"/>
      <c r="AW35" s="5">
        <f t="shared" si="18"/>
        <v>20049.40422</v>
      </c>
      <c r="AX35" s="5">
        <f t="shared" si="19"/>
        <v>20049.40422</v>
      </c>
      <c r="AY35" s="36">
        <f>AW$7*'2014A'!$F35</f>
        <v>11227.1843236</v>
      </c>
      <c r="AZ35"/>
      <c r="BB35" s="5">
        <f t="shared" si="20"/>
        <v>1092.9771</v>
      </c>
      <c r="BC35" s="5">
        <f t="shared" si="21"/>
        <v>1092.9771</v>
      </c>
      <c r="BD35" s="36">
        <f>BB$7*'2014A'!$F35</f>
        <v>612.040898</v>
      </c>
      <c r="BE35"/>
      <c r="BG35" s="5">
        <f t="shared" si="22"/>
        <v>1497.90852</v>
      </c>
      <c r="BH35" s="5">
        <f t="shared" si="23"/>
        <v>1497.90852</v>
      </c>
      <c r="BI35" s="36">
        <f>BG$7*'2014A'!$F35</f>
        <v>838.7927576</v>
      </c>
      <c r="BJ35"/>
      <c r="BL35" s="5">
        <f t="shared" si="24"/>
        <v>13874.112720000001</v>
      </c>
      <c r="BM35" s="5">
        <f t="shared" si="25"/>
        <v>13874.112720000001</v>
      </c>
      <c r="BN35" s="36">
        <f>BL$7*'2014A'!$F35</f>
        <v>7769.169553600001</v>
      </c>
      <c r="BO35"/>
      <c r="BQ35" s="5">
        <f t="shared" si="26"/>
        <v>98.99100000000001</v>
      </c>
      <c r="BR35" s="5">
        <f t="shared" si="27"/>
        <v>98.99100000000001</v>
      </c>
      <c r="BS35" s="36">
        <f>BQ$7*'2014A'!$F35</f>
        <v>55.43258</v>
      </c>
      <c r="BT35"/>
      <c r="BV35" s="5">
        <f t="shared" si="28"/>
        <v>33.65694</v>
      </c>
      <c r="BW35" s="5">
        <f t="shared" si="29"/>
        <v>33.65694</v>
      </c>
      <c r="BX35" s="36">
        <f>BV$7*'2014A'!$F35</f>
        <v>18.8470772</v>
      </c>
      <c r="BY35"/>
      <c r="CA35" s="5">
        <f t="shared" si="30"/>
        <v>1874.0743200000002</v>
      </c>
      <c r="CB35" s="5">
        <f t="shared" si="31"/>
        <v>1874.0743200000002</v>
      </c>
      <c r="CC35" s="36">
        <f>CA$7*'2014A'!$F35</f>
        <v>1049.4365616</v>
      </c>
      <c r="CD35"/>
      <c r="CF35" s="5">
        <f t="shared" si="32"/>
        <v>5454.81171</v>
      </c>
      <c r="CG35" s="5">
        <f t="shared" si="33"/>
        <v>5454.81171</v>
      </c>
      <c r="CH35" s="36">
        <f>CF$7*'2014A'!$F35</f>
        <v>3054.5634098</v>
      </c>
      <c r="CI35"/>
      <c r="CK35" s="5">
        <f t="shared" si="34"/>
        <v>276.88365</v>
      </c>
      <c r="CL35" s="5">
        <f t="shared" si="35"/>
        <v>276.88365</v>
      </c>
      <c r="CM35" s="36">
        <f>CK$7*'2014A'!$F35</f>
        <v>155.048187</v>
      </c>
      <c r="CN35"/>
      <c r="CP35" s="5">
        <f t="shared" si="36"/>
        <v>3657.48453</v>
      </c>
      <c r="CQ35" s="5">
        <f t="shared" si="37"/>
        <v>3657.48453</v>
      </c>
      <c r="CR35" s="36">
        <f>CP$7*'2014A'!$F35</f>
        <v>2048.1034014</v>
      </c>
      <c r="CS35"/>
      <c r="CU35" s="5">
        <f t="shared" si="38"/>
        <v>78545.45709</v>
      </c>
      <c r="CV35" s="5">
        <f t="shared" si="39"/>
        <v>78545.45709</v>
      </c>
      <c r="CW35" s="36">
        <f>CU$7*'2014A'!$F35</f>
        <v>43983.567534199996</v>
      </c>
      <c r="CX35"/>
      <c r="CZ35" s="5">
        <f t="shared" si="40"/>
        <v>1529.64387</v>
      </c>
      <c r="DA35" s="36">
        <f t="shared" si="41"/>
        <v>1529.64387</v>
      </c>
      <c r="DB35" s="36">
        <f>CZ$7*'2014A'!$F35</f>
        <v>856.5637906000001</v>
      </c>
      <c r="DC35"/>
      <c r="DE35" s="5">
        <f t="shared" si="42"/>
        <v>1751.4419400000002</v>
      </c>
      <c r="DF35" s="36">
        <f t="shared" si="43"/>
        <v>1751.4419400000002</v>
      </c>
      <c r="DG35" s="36">
        <f>DE$7*'2014A'!$F35</f>
        <v>980.7653772000001</v>
      </c>
      <c r="DJ35" s="5">
        <f t="shared" si="44"/>
        <v>417.74201999999997</v>
      </c>
      <c r="DK35" s="36">
        <f t="shared" si="45"/>
        <v>417.74201999999997</v>
      </c>
      <c r="DL35" s="36">
        <f>DJ$7*'2014A'!$F35</f>
        <v>233.9254876</v>
      </c>
      <c r="DO35" s="5">
        <f t="shared" si="46"/>
        <v>6042.76002</v>
      </c>
      <c r="DP35" s="5">
        <f t="shared" si="47"/>
        <v>6042.76002</v>
      </c>
      <c r="DQ35" s="36">
        <f>DO$7*'2014A'!$F35</f>
        <v>3383.8003276</v>
      </c>
      <c r="DT35" s="5">
        <f t="shared" si="48"/>
        <v>22726.70316</v>
      </c>
      <c r="DU35" s="5">
        <f t="shared" si="49"/>
        <v>22726.70316</v>
      </c>
      <c r="DV35" s="36">
        <f>DT$7*'2014A'!$F35</f>
        <v>12726.4073608</v>
      </c>
      <c r="DY35" s="5">
        <f t="shared" si="50"/>
        <v>158.67675</v>
      </c>
      <c r="DZ35" s="5">
        <f t="shared" si="51"/>
        <v>158.67675</v>
      </c>
      <c r="EA35" s="36">
        <f>DY$7*'2014A'!$F35</f>
        <v>88.855165</v>
      </c>
      <c r="ED35" s="36">
        <f t="shared" si="52"/>
        <v>2353.59837</v>
      </c>
      <c r="EE35" s="36">
        <f t="shared" si="53"/>
        <v>2353.59837</v>
      </c>
      <c r="EF35" s="36">
        <f>ED$7*'2014A'!$F35</f>
        <v>1317.9585006</v>
      </c>
    </row>
    <row r="36" spans="1:136" ht="12.75">
      <c r="A36" s="37">
        <v>11780</v>
      </c>
      <c r="C36" s="3">
        <v>9325000</v>
      </c>
      <c r="D36" s="3">
        <v>582300</v>
      </c>
      <c r="E36" s="35">
        <f t="shared" si="0"/>
        <v>9907300</v>
      </c>
      <c r="F36" s="35"/>
      <c r="H36" s="47">
        <f t="shared" si="54"/>
        <v>2946575.0449999995</v>
      </c>
      <c r="I36" s="36">
        <f t="shared" si="1"/>
        <v>183998.99718</v>
      </c>
      <c r="J36" s="36">
        <f t="shared" si="2"/>
        <v>3130574.0421799994</v>
      </c>
      <c r="K36" s="36">
        <f t="shared" si="3"/>
        <v>103035.01460840002</v>
      </c>
      <c r="L36"/>
      <c r="M36" s="5">
        <f t="shared" si="55"/>
        <v>27164.6575</v>
      </c>
      <c r="N36" s="5">
        <f t="shared" si="4"/>
        <v>1696.2981300000001</v>
      </c>
      <c r="O36" s="5">
        <f t="shared" si="5"/>
        <v>28860.95563</v>
      </c>
      <c r="P36" s="36">
        <f>N$7*'2014A'!$F36</f>
        <v>949.8861694</v>
      </c>
      <c r="Q36"/>
      <c r="R36" s="5">
        <f t="shared" si="56"/>
        <v>2452.475</v>
      </c>
      <c r="S36" s="5">
        <f t="shared" si="6"/>
        <v>153.1449</v>
      </c>
      <c r="T36" s="5">
        <f t="shared" si="7"/>
        <v>2605.6198999999997</v>
      </c>
      <c r="U36" s="36">
        <f>S$7*'2014A'!$F36</f>
        <v>85.757462</v>
      </c>
      <c r="V36"/>
      <c r="W36" s="5">
        <f t="shared" si="57"/>
        <v>6106.01</v>
      </c>
      <c r="X36" s="5">
        <f t="shared" si="8"/>
        <v>381.29004</v>
      </c>
      <c r="Y36" s="5">
        <f t="shared" si="9"/>
        <v>6487.30004</v>
      </c>
      <c r="Z36" s="36">
        <f>X$7*'2014A'!$F36</f>
        <v>213.5132552</v>
      </c>
      <c r="AA36"/>
      <c r="AB36" s="5">
        <f t="shared" si="58"/>
        <v>208406.29</v>
      </c>
      <c r="AC36" s="5">
        <f t="shared" si="10"/>
        <v>13013.93916</v>
      </c>
      <c r="AD36" s="5">
        <f t="shared" si="11"/>
        <v>221420.22916000002</v>
      </c>
      <c r="AE36" s="36">
        <f>AC$7*'2014A'!$F36</f>
        <v>7287.4930408</v>
      </c>
      <c r="AF36"/>
      <c r="AG36" s="5">
        <f t="shared" si="59"/>
        <v>47429.747500000005</v>
      </c>
      <c r="AH36" s="5">
        <f t="shared" si="12"/>
        <v>2961.7524900000003</v>
      </c>
      <c r="AI36" s="5">
        <f t="shared" si="13"/>
        <v>50391.499990000004</v>
      </c>
      <c r="AJ36" s="36">
        <f>AH$7*'2014A'!$F36</f>
        <v>1658.5101862000001</v>
      </c>
      <c r="AK36"/>
      <c r="AL36" s="5">
        <f t="shared" si="60"/>
        <v>17295.0775</v>
      </c>
      <c r="AM36" s="5">
        <f t="shared" si="14"/>
        <v>1079.99181</v>
      </c>
      <c r="AN36" s="5">
        <f t="shared" si="15"/>
        <v>18375.06931</v>
      </c>
      <c r="AO36" s="36">
        <f>AM$7*'2014A'!$F36</f>
        <v>604.7694478</v>
      </c>
      <c r="AP36"/>
      <c r="AQ36" s="5">
        <f t="shared" si="61"/>
        <v>52466.18</v>
      </c>
      <c r="AR36" s="5">
        <f t="shared" si="16"/>
        <v>3276.25272</v>
      </c>
      <c r="AS36" s="5">
        <f t="shared" si="17"/>
        <v>55742.43272</v>
      </c>
      <c r="AT36" s="36">
        <f>AR$7*'2014A'!$F36</f>
        <v>1834.6227536000001</v>
      </c>
      <c r="AU36"/>
      <c r="AV36" s="5">
        <f t="shared" si="62"/>
        <v>321072.805</v>
      </c>
      <c r="AW36" s="5">
        <f t="shared" si="18"/>
        <v>20049.40422</v>
      </c>
      <c r="AX36" s="5">
        <f t="shared" si="19"/>
        <v>341122.20922</v>
      </c>
      <c r="AY36" s="36">
        <f>AW$7*'2014A'!$F36</f>
        <v>11227.1843236</v>
      </c>
      <c r="AZ36"/>
      <c r="BA36" s="5">
        <f t="shared" si="63"/>
        <v>17503.025</v>
      </c>
      <c r="BB36" s="5">
        <f t="shared" si="20"/>
        <v>1092.9771</v>
      </c>
      <c r="BC36" s="5">
        <f t="shared" si="21"/>
        <v>18596.0021</v>
      </c>
      <c r="BD36" s="36">
        <f>BB$7*'2014A'!$F36</f>
        <v>612.040898</v>
      </c>
      <c r="BE36"/>
      <c r="BF36" s="5">
        <f t="shared" si="64"/>
        <v>23987.629999999997</v>
      </c>
      <c r="BG36" s="5">
        <f t="shared" si="22"/>
        <v>1497.90852</v>
      </c>
      <c r="BH36" s="5">
        <f t="shared" si="23"/>
        <v>25485.53852</v>
      </c>
      <c r="BI36" s="36">
        <f>BG$7*'2014A'!$F36</f>
        <v>838.7927576</v>
      </c>
      <c r="BJ36"/>
      <c r="BK36" s="5">
        <f t="shared" si="65"/>
        <v>222181.18000000002</v>
      </c>
      <c r="BL36" s="5">
        <f t="shared" si="24"/>
        <v>13874.112720000001</v>
      </c>
      <c r="BM36" s="5">
        <f t="shared" si="25"/>
        <v>236055.29272000003</v>
      </c>
      <c r="BN36" s="36">
        <f>BL$7*'2014A'!$F36</f>
        <v>7769.169553600001</v>
      </c>
      <c r="BO36"/>
      <c r="BP36" s="5">
        <f t="shared" si="66"/>
        <v>1585.2500000000002</v>
      </c>
      <c r="BQ36" s="5">
        <f t="shared" si="26"/>
        <v>98.99100000000001</v>
      </c>
      <c r="BR36" s="5">
        <f t="shared" si="27"/>
        <v>1684.2410000000002</v>
      </c>
      <c r="BS36" s="36">
        <f>BQ$7*'2014A'!$F36</f>
        <v>55.43258</v>
      </c>
      <c r="BT36"/>
      <c r="BU36" s="5">
        <f t="shared" si="67"/>
        <v>538.985</v>
      </c>
      <c r="BV36" s="5">
        <f t="shared" si="28"/>
        <v>33.65694</v>
      </c>
      <c r="BW36" s="5">
        <f t="shared" si="29"/>
        <v>572.64194</v>
      </c>
      <c r="BX36" s="36">
        <f>BV$7*'2014A'!$F36</f>
        <v>18.8470772</v>
      </c>
      <c r="BY36"/>
      <c r="BZ36" s="5">
        <f t="shared" si="68"/>
        <v>30011.58</v>
      </c>
      <c r="CA36" s="5">
        <f t="shared" si="30"/>
        <v>1874.0743200000002</v>
      </c>
      <c r="CB36" s="5">
        <f t="shared" si="31"/>
        <v>31885.65432</v>
      </c>
      <c r="CC36" s="36">
        <f>CA$7*'2014A'!$F36</f>
        <v>1049.4365616</v>
      </c>
      <c r="CD36"/>
      <c r="CE36" s="5">
        <f t="shared" si="69"/>
        <v>87353.80249999999</v>
      </c>
      <c r="CF36" s="5">
        <f t="shared" si="32"/>
        <v>5454.81171</v>
      </c>
      <c r="CG36" s="5">
        <f t="shared" si="33"/>
        <v>92808.61420999999</v>
      </c>
      <c r="CH36" s="36">
        <f>CF$7*'2014A'!$F36</f>
        <v>3054.5634098</v>
      </c>
      <c r="CI36"/>
      <c r="CJ36" s="5">
        <f t="shared" si="70"/>
        <v>4434.0375</v>
      </c>
      <c r="CK36" s="5">
        <f t="shared" si="34"/>
        <v>276.88365</v>
      </c>
      <c r="CL36" s="5">
        <f t="shared" si="35"/>
        <v>4710.92115</v>
      </c>
      <c r="CM36" s="36">
        <f>CK$7*'2014A'!$F36</f>
        <v>155.048187</v>
      </c>
      <c r="CN36"/>
      <c r="CO36" s="5">
        <f t="shared" si="71"/>
        <v>58571.25750000001</v>
      </c>
      <c r="CP36" s="5">
        <f t="shared" si="36"/>
        <v>3657.48453</v>
      </c>
      <c r="CQ36" s="5">
        <f t="shared" si="37"/>
        <v>62228.74203000001</v>
      </c>
      <c r="CR36" s="36">
        <f>CP$7*'2014A'!$F36</f>
        <v>2048.1034014</v>
      </c>
      <c r="CS36"/>
      <c r="CT36" s="5">
        <f t="shared" si="72"/>
        <v>1257833.3975</v>
      </c>
      <c r="CU36" s="5">
        <f t="shared" si="38"/>
        <v>78545.45709</v>
      </c>
      <c r="CV36" s="5">
        <f t="shared" si="39"/>
        <v>1336378.85459</v>
      </c>
      <c r="CW36" s="36">
        <f>CU$7*'2014A'!$F36</f>
        <v>43983.567534199996</v>
      </c>
      <c r="CX36"/>
      <c r="CY36" s="5">
        <f t="shared" si="73"/>
        <v>24495.842500000002</v>
      </c>
      <c r="CZ36" s="5">
        <f t="shared" si="40"/>
        <v>1529.64387</v>
      </c>
      <c r="DA36" s="36">
        <f t="shared" si="41"/>
        <v>26025.486370000002</v>
      </c>
      <c r="DB36" s="36">
        <f>CZ$7*'2014A'!$F36</f>
        <v>856.5637906000001</v>
      </c>
      <c r="DC36"/>
      <c r="DD36" s="5">
        <f t="shared" si="74"/>
        <v>28047.735</v>
      </c>
      <c r="DE36" s="5">
        <f t="shared" si="42"/>
        <v>1751.4419400000002</v>
      </c>
      <c r="DF36" s="36">
        <f t="shared" si="43"/>
        <v>29799.17694</v>
      </c>
      <c r="DG36" s="36">
        <f>DE$7*'2014A'!$F36</f>
        <v>980.7653772000001</v>
      </c>
      <c r="DI36" s="5">
        <f t="shared" si="75"/>
        <v>6689.755</v>
      </c>
      <c r="DJ36" s="5">
        <f t="shared" si="44"/>
        <v>417.74201999999997</v>
      </c>
      <c r="DK36" s="36">
        <f t="shared" si="45"/>
        <v>7107.49702</v>
      </c>
      <c r="DL36" s="36">
        <f>DJ$7*'2014A'!$F36</f>
        <v>233.9254876</v>
      </c>
      <c r="DN36" s="5">
        <f t="shared" si="76"/>
        <v>96769.255</v>
      </c>
      <c r="DO36" s="5">
        <f t="shared" si="46"/>
        <v>6042.76002</v>
      </c>
      <c r="DP36" s="5">
        <f t="shared" si="47"/>
        <v>102812.01502</v>
      </c>
      <c r="DQ36" s="36">
        <f>DO$7*'2014A'!$F36</f>
        <v>3383.8003276</v>
      </c>
      <c r="DS36" s="5">
        <f t="shared" si="77"/>
        <v>363947.29</v>
      </c>
      <c r="DT36" s="5">
        <f t="shared" si="48"/>
        <v>22726.70316</v>
      </c>
      <c r="DU36" s="5">
        <f t="shared" si="49"/>
        <v>386673.99315999995</v>
      </c>
      <c r="DV36" s="36">
        <f>DT$7*'2014A'!$F36</f>
        <v>12726.4073608</v>
      </c>
      <c r="DX36" s="5">
        <f t="shared" si="78"/>
        <v>2541.0625</v>
      </c>
      <c r="DY36" s="5">
        <f t="shared" si="50"/>
        <v>158.67675</v>
      </c>
      <c r="DZ36" s="5">
        <f t="shared" si="51"/>
        <v>2699.73925</v>
      </c>
      <c r="EA36" s="36">
        <f>DY$7*'2014A'!$F36</f>
        <v>88.855165</v>
      </c>
      <c r="EC36" s="5">
        <f t="shared" si="79"/>
        <v>37690.7175</v>
      </c>
      <c r="ED36" s="36">
        <f t="shared" si="52"/>
        <v>2353.59837</v>
      </c>
      <c r="EE36" s="36">
        <f t="shared" si="53"/>
        <v>40044.31587</v>
      </c>
      <c r="EF36" s="36">
        <f>ED$7*'2014A'!$F36</f>
        <v>1317.9585006</v>
      </c>
    </row>
    <row r="37" spans="1:136" ht="12.75">
      <c r="A37" s="37">
        <v>11963</v>
      </c>
      <c r="D37" s="3">
        <v>395800</v>
      </c>
      <c r="E37" s="35">
        <f t="shared" si="0"/>
        <v>395800</v>
      </c>
      <c r="F37" s="35"/>
      <c r="H37" s="47"/>
      <c r="I37" s="36">
        <f t="shared" si="1"/>
        <v>125067.49628000002</v>
      </c>
      <c r="J37" s="36">
        <f t="shared" si="2"/>
        <v>125067.49628000002</v>
      </c>
      <c r="K37" s="36">
        <f t="shared" si="3"/>
        <v>103035.01460840002</v>
      </c>
      <c r="L37"/>
      <c r="N37" s="5">
        <f t="shared" si="4"/>
        <v>1153.00498</v>
      </c>
      <c r="O37" s="5">
        <f t="shared" si="5"/>
        <v>1153.00498</v>
      </c>
      <c r="P37" s="36">
        <f>N$7*'2014A'!$F37</f>
        <v>949.8861694</v>
      </c>
      <c r="Q37"/>
      <c r="S37" s="5">
        <f t="shared" si="6"/>
        <v>104.0954</v>
      </c>
      <c r="T37" s="5">
        <f t="shared" si="7"/>
        <v>104.0954</v>
      </c>
      <c r="U37" s="36">
        <f>S$7*'2014A'!$F37</f>
        <v>85.757462</v>
      </c>
      <c r="V37"/>
      <c r="X37" s="5">
        <f t="shared" si="8"/>
        <v>259.16983999999997</v>
      </c>
      <c r="Y37" s="5">
        <f t="shared" si="9"/>
        <v>259.16983999999997</v>
      </c>
      <c r="Z37" s="36">
        <f>X$7*'2014A'!$F37</f>
        <v>213.5132552</v>
      </c>
      <c r="AA37"/>
      <c r="AC37" s="5">
        <f t="shared" si="10"/>
        <v>8845.81336</v>
      </c>
      <c r="AD37" s="5">
        <f t="shared" si="11"/>
        <v>8845.81336</v>
      </c>
      <c r="AE37" s="36">
        <f>AC$7*'2014A'!$F37</f>
        <v>7287.4930408</v>
      </c>
      <c r="AF37"/>
      <c r="AH37" s="5">
        <f t="shared" si="12"/>
        <v>2013.1575400000002</v>
      </c>
      <c r="AI37" s="5">
        <f t="shared" si="13"/>
        <v>2013.1575400000002</v>
      </c>
      <c r="AJ37" s="36">
        <f>AH$7*'2014A'!$F37</f>
        <v>1658.5101862000001</v>
      </c>
      <c r="AK37"/>
      <c r="AM37" s="5">
        <f t="shared" si="14"/>
        <v>734.09026</v>
      </c>
      <c r="AN37" s="5">
        <f t="shared" si="15"/>
        <v>734.09026</v>
      </c>
      <c r="AO37" s="36">
        <f>AM$7*'2014A'!$F37</f>
        <v>604.7694478</v>
      </c>
      <c r="AP37"/>
      <c r="AR37" s="5">
        <f t="shared" si="16"/>
        <v>2226.9291200000002</v>
      </c>
      <c r="AS37" s="5">
        <f t="shared" si="17"/>
        <v>2226.9291200000002</v>
      </c>
      <c r="AT37" s="36">
        <f>AR$7*'2014A'!$F37</f>
        <v>1834.6227536000001</v>
      </c>
      <c r="AU37"/>
      <c r="AW37" s="5">
        <f t="shared" si="18"/>
        <v>13627.948120000001</v>
      </c>
      <c r="AX37" s="5">
        <f t="shared" si="19"/>
        <v>13627.948120000001</v>
      </c>
      <c r="AY37" s="36">
        <f>AW$7*'2014A'!$F37</f>
        <v>11227.1843236</v>
      </c>
      <c r="AZ37"/>
      <c r="BB37" s="5">
        <f t="shared" si="20"/>
        <v>742.9166</v>
      </c>
      <c r="BC37" s="5">
        <f t="shared" si="21"/>
        <v>742.9166</v>
      </c>
      <c r="BD37" s="36">
        <f>BB$7*'2014A'!$F37</f>
        <v>612.040898</v>
      </c>
      <c r="BE37"/>
      <c r="BG37" s="5">
        <f t="shared" si="22"/>
        <v>1018.1559199999999</v>
      </c>
      <c r="BH37" s="5">
        <f t="shared" si="23"/>
        <v>1018.1559199999999</v>
      </c>
      <c r="BI37" s="36">
        <f>BG$7*'2014A'!$F37</f>
        <v>838.7927576</v>
      </c>
      <c r="BJ37"/>
      <c r="BL37" s="5">
        <f t="shared" si="24"/>
        <v>9430.48912</v>
      </c>
      <c r="BM37" s="5">
        <f t="shared" si="25"/>
        <v>9430.48912</v>
      </c>
      <c r="BN37" s="36">
        <f>BL$7*'2014A'!$F37</f>
        <v>7769.169553600001</v>
      </c>
      <c r="BO37"/>
      <c r="BQ37" s="5">
        <f t="shared" si="26"/>
        <v>67.286</v>
      </c>
      <c r="BR37" s="5">
        <f t="shared" si="27"/>
        <v>67.286</v>
      </c>
      <c r="BS37" s="36">
        <f>BQ$7*'2014A'!$F37</f>
        <v>55.43258</v>
      </c>
      <c r="BT37"/>
      <c r="BV37" s="5">
        <f t="shared" si="28"/>
        <v>22.87724</v>
      </c>
      <c r="BW37" s="5">
        <f t="shared" si="29"/>
        <v>22.87724</v>
      </c>
      <c r="BX37" s="36">
        <f>BV$7*'2014A'!$F37</f>
        <v>18.8470772</v>
      </c>
      <c r="BY37"/>
      <c r="CA37" s="5">
        <f t="shared" si="30"/>
        <v>1273.84272</v>
      </c>
      <c r="CB37" s="5">
        <f t="shared" si="31"/>
        <v>1273.84272</v>
      </c>
      <c r="CC37" s="36">
        <f>CA$7*'2014A'!$F37</f>
        <v>1049.4365616</v>
      </c>
      <c r="CD37"/>
      <c r="CF37" s="5">
        <f t="shared" si="32"/>
        <v>3707.73566</v>
      </c>
      <c r="CG37" s="5">
        <f t="shared" si="33"/>
        <v>3707.73566</v>
      </c>
      <c r="CH37" s="36">
        <f>CF$7*'2014A'!$F37</f>
        <v>3054.5634098</v>
      </c>
      <c r="CI37"/>
      <c r="CK37" s="5">
        <f t="shared" si="34"/>
        <v>188.2029</v>
      </c>
      <c r="CL37" s="5">
        <f t="shared" si="35"/>
        <v>188.2029</v>
      </c>
      <c r="CM37" s="36">
        <f>CK$7*'2014A'!$F37</f>
        <v>155.048187</v>
      </c>
      <c r="CN37"/>
      <c r="CP37" s="5">
        <f t="shared" si="36"/>
        <v>2486.05938</v>
      </c>
      <c r="CQ37" s="5">
        <f t="shared" si="37"/>
        <v>2486.05938</v>
      </c>
      <c r="CR37" s="36">
        <f>CP$7*'2014A'!$F37</f>
        <v>2048.1034014</v>
      </c>
      <c r="CS37"/>
      <c r="CU37" s="5">
        <f t="shared" si="38"/>
        <v>53388.78913999999</v>
      </c>
      <c r="CV37" s="5">
        <f t="shared" si="39"/>
        <v>53388.78913999999</v>
      </c>
      <c r="CW37" s="36">
        <f>CU$7*'2014A'!$F37</f>
        <v>43983.567534199996</v>
      </c>
      <c r="CX37"/>
      <c r="CZ37" s="5">
        <f t="shared" si="40"/>
        <v>1039.72702</v>
      </c>
      <c r="DA37" s="36">
        <f t="shared" si="41"/>
        <v>1039.72702</v>
      </c>
      <c r="DB37" s="36">
        <f>CZ$7*'2014A'!$F37</f>
        <v>856.5637906000001</v>
      </c>
      <c r="DC37"/>
      <c r="DE37" s="5">
        <f t="shared" si="42"/>
        <v>1190.4872400000002</v>
      </c>
      <c r="DF37" s="36">
        <f t="shared" si="43"/>
        <v>1190.4872400000002</v>
      </c>
      <c r="DG37" s="36">
        <f>DE$7*'2014A'!$F37</f>
        <v>980.7653772000001</v>
      </c>
      <c r="DJ37" s="5">
        <f t="shared" si="44"/>
        <v>283.94692</v>
      </c>
      <c r="DK37" s="36">
        <f t="shared" si="45"/>
        <v>283.94692</v>
      </c>
      <c r="DL37" s="36">
        <f>DJ$7*'2014A'!$F37</f>
        <v>233.9254876</v>
      </c>
      <c r="DO37" s="5">
        <f t="shared" si="46"/>
        <v>4107.37492</v>
      </c>
      <c r="DP37" s="5">
        <f t="shared" si="47"/>
        <v>4107.37492</v>
      </c>
      <c r="DQ37" s="36">
        <f>DO$7*'2014A'!$F37</f>
        <v>3383.8003276</v>
      </c>
      <c r="DT37" s="5">
        <f t="shared" si="48"/>
        <v>15447.75736</v>
      </c>
      <c r="DU37" s="5">
        <f t="shared" si="49"/>
        <v>15447.75736</v>
      </c>
      <c r="DV37" s="36">
        <f>DT$7*'2014A'!$F37</f>
        <v>12726.4073608</v>
      </c>
      <c r="DY37" s="5">
        <f t="shared" si="50"/>
        <v>107.8555</v>
      </c>
      <c r="DZ37" s="5">
        <f t="shared" si="51"/>
        <v>107.8555</v>
      </c>
      <c r="EA37" s="36">
        <f>DY$7*'2014A'!$F37</f>
        <v>88.855165</v>
      </c>
      <c r="ED37" s="36">
        <f t="shared" si="52"/>
        <v>1599.78402</v>
      </c>
      <c r="EE37" s="36">
        <f t="shared" si="53"/>
        <v>1599.78402</v>
      </c>
      <c r="EF37" s="36">
        <f>ED$7*'2014A'!$F37</f>
        <v>1317.9585006</v>
      </c>
    </row>
    <row r="38" spans="1:136" ht="12.75">
      <c r="A38" s="37">
        <v>12145</v>
      </c>
      <c r="C38" s="3">
        <v>9700000</v>
      </c>
      <c r="D38" s="3">
        <v>395800</v>
      </c>
      <c r="E38" s="35">
        <f t="shared" si="0"/>
        <v>10095800</v>
      </c>
      <c r="F38" s="35"/>
      <c r="H38" s="47">
        <f t="shared" si="54"/>
        <v>3065070.02</v>
      </c>
      <c r="I38" s="36">
        <f t="shared" si="1"/>
        <v>125067.49628000002</v>
      </c>
      <c r="J38" s="36">
        <f t="shared" si="2"/>
        <v>3190137.51628</v>
      </c>
      <c r="K38" s="36">
        <f t="shared" si="3"/>
        <v>103035.01460840002</v>
      </c>
      <c r="L38"/>
      <c r="M38" s="5">
        <f t="shared" si="55"/>
        <v>28257.07</v>
      </c>
      <c r="N38" s="5">
        <f t="shared" si="4"/>
        <v>1153.00498</v>
      </c>
      <c r="O38" s="5">
        <f t="shared" si="5"/>
        <v>29410.07498</v>
      </c>
      <c r="P38" s="36">
        <f>N$7*'2014A'!$F38</f>
        <v>949.8861694</v>
      </c>
      <c r="Q38"/>
      <c r="R38" s="5">
        <f t="shared" si="56"/>
        <v>2551.1</v>
      </c>
      <c r="S38" s="5">
        <f t="shared" si="6"/>
        <v>104.0954</v>
      </c>
      <c r="T38" s="5">
        <f t="shared" si="7"/>
        <v>2655.1954</v>
      </c>
      <c r="U38" s="36">
        <f>S$7*'2014A'!$F38</f>
        <v>85.757462</v>
      </c>
      <c r="V38"/>
      <c r="W38" s="5">
        <f t="shared" si="57"/>
        <v>6351.5599999999995</v>
      </c>
      <c r="X38" s="5">
        <f t="shared" si="8"/>
        <v>259.16983999999997</v>
      </c>
      <c r="Y38" s="5">
        <f t="shared" si="9"/>
        <v>6610.729839999999</v>
      </c>
      <c r="Z38" s="36">
        <f>X$7*'2014A'!$F38</f>
        <v>213.5132552</v>
      </c>
      <c r="AA38"/>
      <c r="AB38" s="5">
        <f t="shared" si="58"/>
        <v>216787.24</v>
      </c>
      <c r="AC38" s="5">
        <f t="shared" si="10"/>
        <v>8845.81336</v>
      </c>
      <c r="AD38" s="5">
        <f t="shared" si="11"/>
        <v>225633.05336</v>
      </c>
      <c r="AE38" s="36">
        <f>AC$7*'2014A'!$F38</f>
        <v>7287.4930408</v>
      </c>
      <c r="AF38"/>
      <c r="AG38" s="5">
        <f t="shared" si="59"/>
        <v>49337.11</v>
      </c>
      <c r="AH38" s="5">
        <f t="shared" si="12"/>
        <v>2013.1575400000002</v>
      </c>
      <c r="AI38" s="5">
        <f t="shared" si="13"/>
        <v>51350.26754</v>
      </c>
      <c r="AJ38" s="36">
        <f>AH$7*'2014A'!$F38</f>
        <v>1658.5101862000001</v>
      </c>
      <c r="AK38"/>
      <c r="AL38" s="5">
        <f t="shared" si="60"/>
        <v>17990.59</v>
      </c>
      <c r="AM38" s="5">
        <f t="shared" si="14"/>
        <v>734.09026</v>
      </c>
      <c r="AN38" s="5">
        <f t="shared" si="15"/>
        <v>18724.68026</v>
      </c>
      <c r="AO38" s="36">
        <f>AM$7*'2014A'!$F38</f>
        <v>604.7694478</v>
      </c>
      <c r="AP38"/>
      <c r="AQ38" s="5">
        <f t="shared" si="61"/>
        <v>54576.08</v>
      </c>
      <c r="AR38" s="5">
        <f t="shared" si="16"/>
        <v>2226.9291200000002</v>
      </c>
      <c r="AS38" s="5">
        <f t="shared" si="17"/>
        <v>56803.00912</v>
      </c>
      <c r="AT38" s="36">
        <f>AR$7*'2014A'!$F38</f>
        <v>1834.6227536000001</v>
      </c>
      <c r="AU38"/>
      <c r="AV38" s="5">
        <f t="shared" si="62"/>
        <v>333984.58</v>
      </c>
      <c r="AW38" s="5">
        <f t="shared" si="18"/>
        <v>13627.948120000001</v>
      </c>
      <c r="AX38" s="5">
        <f t="shared" si="19"/>
        <v>347612.52812000003</v>
      </c>
      <c r="AY38" s="36">
        <f>AW$7*'2014A'!$F38</f>
        <v>11227.1843236</v>
      </c>
      <c r="AZ38"/>
      <c r="BA38" s="5">
        <f t="shared" si="63"/>
        <v>18206.9</v>
      </c>
      <c r="BB38" s="5">
        <f t="shared" si="20"/>
        <v>742.9166</v>
      </c>
      <c r="BC38" s="5">
        <f t="shared" si="21"/>
        <v>18949.816600000002</v>
      </c>
      <c r="BD38" s="36">
        <f>BB$7*'2014A'!$F38</f>
        <v>612.040898</v>
      </c>
      <c r="BE38"/>
      <c r="BF38" s="5">
        <f t="shared" si="64"/>
        <v>24952.28</v>
      </c>
      <c r="BG38" s="5">
        <f t="shared" si="22"/>
        <v>1018.1559199999999</v>
      </c>
      <c r="BH38" s="5">
        <f t="shared" si="23"/>
        <v>25970.43592</v>
      </c>
      <c r="BI38" s="36">
        <f>BG$7*'2014A'!$F38</f>
        <v>838.7927576</v>
      </c>
      <c r="BJ38"/>
      <c r="BK38" s="5">
        <f t="shared" si="65"/>
        <v>231116.08000000002</v>
      </c>
      <c r="BL38" s="5">
        <f t="shared" si="24"/>
        <v>9430.48912</v>
      </c>
      <c r="BM38" s="5">
        <f t="shared" si="25"/>
        <v>240546.56912000003</v>
      </c>
      <c r="BN38" s="36">
        <f>BL$7*'2014A'!$F38</f>
        <v>7769.169553600001</v>
      </c>
      <c r="BO38"/>
      <c r="BP38" s="5">
        <f t="shared" si="66"/>
        <v>1649.0000000000002</v>
      </c>
      <c r="BQ38" s="5">
        <f t="shared" si="26"/>
        <v>67.286</v>
      </c>
      <c r="BR38" s="5">
        <f t="shared" si="27"/>
        <v>1716.2860000000003</v>
      </c>
      <c r="BS38" s="36">
        <f>BQ$7*'2014A'!$F38</f>
        <v>55.43258</v>
      </c>
      <c r="BT38"/>
      <c r="BU38" s="5">
        <f t="shared" si="67"/>
        <v>560.66</v>
      </c>
      <c r="BV38" s="5">
        <f t="shared" si="28"/>
        <v>22.87724</v>
      </c>
      <c r="BW38" s="5">
        <f t="shared" si="29"/>
        <v>583.53724</v>
      </c>
      <c r="BX38" s="36">
        <f>BV$7*'2014A'!$F38</f>
        <v>18.8470772</v>
      </c>
      <c r="BY38"/>
      <c r="BZ38" s="5">
        <f t="shared" si="68"/>
        <v>31218.480000000003</v>
      </c>
      <c r="CA38" s="5">
        <f t="shared" si="30"/>
        <v>1273.84272</v>
      </c>
      <c r="CB38" s="5">
        <f t="shared" si="31"/>
        <v>32492.322720000004</v>
      </c>
      <c r="CC38" s="36">
        <f>CA$7*'2014A'!$F38</f>
        <v>1049.4365616</v>
      </c>
      <c r="CD38"/>
      <c r="CE38" s="5">
        <f t="shared" si="69"/>
        <v>90866.69</v>
      </c>
      <c r="CF38" s="5">
        <f t="shared" si="32"/>
        <v>3707.73566</v>
      </c>
      <c r="CG38" s="5">
        <f t="shared" si="33"/>
        <v>94574.42566000001</v>
      </c>
      <c r="CH38" s="36">
        <f>CF$7*'2014A'!$F38</f>
        <v>3054.5634098</v>
      </c>
      <c r="CI38"/>
      <c r="CJ38" s="5">
        <f t="shared" si="70"/>
        <v>4612.35</v>
      </c>
      <c r="CK38" s="5">
        <f t="shared" si="34"/>
        <v>188.2029</v>
      </c>
      <c r="CL38" s="5">
        <f t="shared" si="35"/>
        <v>4800.552900000001</v>
      </c>
      <c r="CM38" s="36">
        <f>CK$7*'2014A'!$F38</f>
        <v>155.048187</v>
      </c>
      <c r="CN38"/>
      <c r="CO38" s="5">
        <f t="shared" si="71"/>
        <v>60926.670000000006</v>
      </c>
      <c r="CP38" s="5">
        <f t="shared" si="36"/>
        <v>2486.05938</v>
      </c>
      <c r="CQ38" s="5">
        <f t="shared" si="37"/>
        <v>63412.729380000004</v>
      </c>
      <c r="CR38" s="36">
        <f>CP$7*'2014A'!$F38</f>
        <v>2048.1034014</v>
      </c>
      <c r="CS38"/>
      <c r="CT38" s="5">
        <f t="shared" si="72"/>
        <v>1308416.5099999998</v>
      </c>
      <c r="CU38" s="5">
        <f t="shared" si="38"/>
        <v>53388.78913999999</v>
      </c>
      <c r="CV38" s="5">
        <f t="shared" si="39"/>
        <v>1361805.2991399998</v>
      </c>
      <c r="CW38" s="36">
        <f>CU$7*'2014A'!$F38</f>
        <v>43983.567534199996</v>
      </c>
      <c r="CX38"/>
      <c r="CY38" s="5">
        <f t="shared" si="73"/>
        <v>25480.93</v>
      </c>
      <c r="CZ38" s="5">
        <f t="shared" si="40"/>
        <v>1039.72702</v>
      </c>
      <c r="DA38" s="36">
        <f t="shared" si="41"/>
        <v>26520.65702</v>
      </c>
      <c r="DB38" s="36">
        <f>CZ$7*'2014A'!$F38</f>
        <v>856.5637906000001</v>
      </c>
      <c r="DC38"/>
      <c r="DD38" s="5">
        <f t="shared" si="74"/>
        <v>29175.66</v>
      </c>
      <c r="DE38" s="5">
        <f t="shared" si="42"/>
        <v>1190.4872400000002</v>
      </c>
      <c r="DF38" s="36">
        <f t="shared" si="43"/>
        <v>30366.14724</v>
      </c>
      <c r="DG38" s="36">
        <f>DE$7*'2014A'!$F38</f>
        <v>980.7653772000001</v>
      </c>
      <c r="DI38" s="5">
        <f t="shared" si="75"/>
        <v>6958.78</v>
      </c>
      <c r="DJ38" s="5">
        <f t="shared" si="44"/>
        <v>283.94692</v>
      </c>
      <c r="DK38" s="36">
        <f t="shared" si="45"/>
        <v>7242.72692</v>
      </c>
      <c r="DL38" s="36">
        <f>DJ$7*'2014A'!$F38</f>
        <v>233.9254876</v>
      </c>
      <c r="DN38" s="5">
        <f t="shared" si="76"/>
        <v>100660.78</v>
      </c>
      <c r="DO38" s="5">
        <f t="shared" si="46"/>
        <v>4107.37492</v>
      </c>
      <c r="DP38" s="5">
        <f t="shared" si="47"/>
        <v>104768.15492</v>
      </c>
      <c r="DQ38" s="36">
        <f>DO$7*'2014A'!$F38</f>
        <v>3383.8003276</v>
      </c>
      <c r="DS38" s="5">
        <f t="shared" si="77"/>
        <v>378583.24</v>
      </c>
      <c r="DT38" s="5">
        <f t="shared" si="48"/>
        <v>15447.75736</v>
      </c>
      <c r="DU38" s="5">
        <f t="shared" si="49"/>
        <v>394030.99736</v>
      </c>
      <c r="DV38" s="36">
        <f>DT$7*'2014A'!$F38</f>
        <v>12726.4073608</v>
      </c>
      <c r="DX38" s="5">
        <f t="shared" si="78"/>
        <v>2643.25</v>
      </c>
      <c r="DY38" s="5">
        <f t="shared" si="50"/>
        <v>107.8555</v>
      </c>
      <c r="DZ38" s="5">
        <f t="shared" si="51"/>
        <v>2751.1055</v>
      </c>
      <c r="EA38" s="36">
        <f>DY$7*'2014A'!$F38</f>
        <v>88.855165</v>
      </c>
      <c r="EC38" s="5">
        <f t="shared" si="79"/>
        <v>39206.43</v>
      </c>
      <c r="ED38" s="36">
        <f t="shared" si="52"/>
        <v>1599.78402</v>
      </c>
      <c r="EE38" s="36">
        <f t="shared" si="53"/>
        <v>40806.21402</v>
      </c>
      <c r="EF38" s="36">
        <f>ED$7*'2014A'!$F38</f>
        <v>1317.9585006</v>
      </c>
    </row>
    <row r="39" spans="1:136" ht="12.75">
      <c r="A39" s="37">
        <v>12328</v>
      </c>
      <c r="D39" s="3">
        <v>201800</v>
      </c>
      <c r="E39" s="35">
        <f t="shared" si="0"/>
        <v>201800</v>
      </c>
      <c r="F39" s="35"/>
      <c r="H39" s="47"/>
      <c r="I39" s="36">
        <f t="shared" si="1"/>
        <v>63766.095879999986</v>
      </c>
      <c r="J39" s="36">
        <f t="shared" si="2"/>
        <v>63766.095879999986</v>
      </c>
      <c r="K39" s="36">
        <f t="shared" si="3"/>
        <v>103035.01460840002</v>
      </c>
      <c r="L39"/>
      <c r="N39" s="5">
        <f t="shared" si="4"/>
        <v>587.86358</v>
      </c>
      <c r="O39" s="5">
        <f t="shared" si="5"/>
        <v>587.86358</v>
      </c>
      <c r="P39" s="36">
        <f>N$7*'2014A'!$F39</f>
        <v>949.8861694</v>
      </c>
      <c r="Q39"/>
      <c r="S39" s="5">
        <f t="shared" si="6"/>
        <v>53.0734</v>
      </c>
      <c r="T39" s="5">
        <f t="shared" si="7"/>
        <v>53.0734</v>
      </c>
      <c r="U39" s="36">
        <f>S$7*'2014A'!$F39</f>
        <v>85.757462</v>
      </c>
      <c r="V39"/>
      <c r="X39" s="5">
        <f t="shared" si="8"/>
        <v>132.13864</v>
      </c>
      <c r="Y39" s="5">
        <f t="shared" si="9"/>
        <v>132.13864</v>
      </c>
      <c r="Z39" s="36">
        <f>X$7*'2014A'!$F39</f>
        <v>213.5132552</v>
      </c>
      <c r="AA39"/>
      <c r="AC39" s="5">
        <f t="shared" si="10"/>
        <v>4510.06856</v>
      </c>
      <c r="AD39" s="5">
        <f t="shared" si="11"/>
        <v>4510.06856</v>
      </c>
      <c r="AE39" s="36">
        <f>AC$7*'2014A'!$F39</f>
        <v>7287.4930408</v>
      </c>
      <c r="AF39"/>
      <c r="AH39" s="5">
        <f t="shared" si="12"/>
        <v>1026.41534</v>
      </c>
      <c r="AI39" s="5">
        <f t="shared" si="13"/>
        <v>1026.41534</v>
      </c>
      <c r="AJ39" s="36">
        <f>AH$7*'2014A'!$F39</f>
        <v>1658.5101862000001</v>
      </c>
      <c r="AK39"/>
      <c r="AM39" s="5">
        <f t="shared" si="14"/>
        <v>374.27846</v>
      </c>
      <c r="AN39" s="5">
        <f t="shared" si="15"/>
        <v>374.27846</v>
      </c>
      <c r="AO39" s="36">
        <f>AM$7*'2014A'!$F39</f>
        <v>604.7694478</v>
      </c>
      <c r="AP39"/>
      <c r="AR39" s="5">
        <f t="shared" si="16"/>
        <v>1135.40752</v>
      </c>
      <c r="AS39" s="5">
        <f t="shared" si="17"/>
        <v>1135.40752</v>
      </c>
      <c r="AT39" s="36">
        <f>AR$7*'2014A'!$F39</f>
        <v>1834.6227536000001</v>
      </c>
      <c r="AU39"/>
      <c r="AW39" s="5">
        <f t="shared" si="18"/>
        <v>6948.25652</v>
      </c>
      <c r="AX39" s="5">
        <f t="shared" si="19"/>
        <v>6948.25652</v>
      </c>
      <c r="AY39" s="36">
        <f>AW$7*'2014A'!$F39</f>
        <v>11227.1843236</v>
      </c>
      <c r="AZ39"/>
      <c r="BB39" s="5">
        <f t="shared" si="20"/>
        <v>378.7786</v>
      </c>
      <c r="BC39" s="5">
        <f t="shared" si="21"/>
        <v>378.7786</v>
      </c>
      <c r="BD39" s="36">
        <f>BB$7*'2014A'!$F39</f>
        <v>612.040898</v>
      </c>
      <c r="BE39"/>
      <c r="BG39" s="5">
        <f t="shared" si="22"/>
        <v>519.11032</v>
      </c>
      <c r="BH39" s="5">
        <f t="shared" si="23"/>
        <v>519.11032</v>
      </c>
      <c r="BI39" s="36">
        <f>BG$7*'2014A'!$F39</f>
        <v>838.7927576</v>
      </c>
      <c r="BJ39"/>
      <c r="BL39" s="5">
        <f t="shared" si="24"/>
        <v>4808.16752</v>
      </c>
      <c r="BM39" s="5">
        <f t="shared" si="25"/>
        <v>4808.16752</v>
      </c>
      <c r="BN39" s="36">
        <f>BL$7*'2014A'!$F39</f>
        <v>7769.169553600001</v>
      </c>
      <c r="BO39"/>
      <c r="BQ39" s="5">
        <f t="shared" si="26"/>
        <v>34.306000000000004</v>
      </c>
      <c r="BR39" s="5">
        <f t="shared" si="27"/>
        <v>34.306000000000004</v>
      </c>
      <c r="BS39" s="36">
        <f>BQ$7*'2014A'!$F39</f>
        <v>55.43258</v>
      </c>
      <c r="BT39"/>
      <c r="BV39" s="5">
        <f t="shared" si="28"/>
        <v>11.66404</v>
      </c>
      <c r="BW39" s="5">
        <f t="shared" si="29"/>
        <v>11.66404</v>
      </c>
      <c r="BX39" s="36">
        <f>BV$7*'2014A'!$F39</f>
        <v>18.8470772</v>
      </c>
      <c r="BY39"/>
      <c r="CA39" s="5">
        <f t="shared" si="30"/>
        <v>649.47312</v>
      </c>
      <c r="CB39" s="5">
        <f t="shared" si="31"/>
        <v>649.47312</v>
      </c>
      <c r="CC39" s="36">
        <f>CA$7*'2014A'!$F39</f>
        <v>1049.4365616</v>
      </c>
      <c r="CD39"/>
      <c r="CF39" s="5">
        <f t="shared" si="32"/>
        <v>1890.40186</v>
      </c>
      <c r="CG39" s="5">
        <f t="shared" si="33"/>
        <v>1890.40186</v>
      </c>
      <c r="CH39" s="36">
        <f>CF$7*'2014A'!$F39</f>
        <v>3054.5634098</v>
      </c>
      <c r="CI39"/>
      <c r="CK39" s="5">
        <f t="shared" si="34"/>
        <v>95.9559</v>
      </c>
      <c r="CL39" s="5">
        <f t="shared" si="35"/>
        <v>95.9559</v>
      </c>
      <c r="CM39" s="36">
        <f>CK$7*'2014A'!$F39</f>
        <v>155.048187</v>
      </c>
      <c r="CN39"/>
      <c r="CP39" s="5">
        <f t="shared" si="36"/>
        <v>1267.5259800000001</v>
      </c>
      <c r="CQ39" s="5">
        <f t="shared" si="37"/>
        <v>1267.5259800000001</v>
      </c>
      <c r="CR39" s="36">
        <f>CP$7*'2014A'!$F39</f>
        <v>2048.1034014</v>
      </c>
      <c r="CS39"/>
      <c r="CU39" s="5">
        <f t="shared" si="38"/>
        <v>27220.458939999997</v>
      </c>
      <c r="CV39" s="5">
        <f t="shared" si="39"/>
        <v>27220.458939999997</v>
      </c>
      <c r="CW39" s="36">
        <f>CU$7*'2014A'!$F39</f>
        <v>43983.567534199996</v>
      </c>
      <c r="CX39"/>
      <c r="CZ39" s="5">
        <f t="shared" si="40"/>
        <v>530.10842</v>
      </c>
      <c r="DA39" s="36">
        <f t="shared" si="41"/>
        <v>530.10842</v>
      </c>
      <c r="DB39" s="36">
        <f>CZ$7*'2014A'!$F39</f>
        <v>856.5637906000001</v>
      </c>
      <c r="DC39"/>
      <c r="DE39" s="5">
        <f t="shared" si="42"/>
        <v>606.9740400000001</v>
      </c>
      <c r="DF39" s="36">
        <f t="shared" si="43"/>
        <v>606.9740400000001</v>
      </c>
      <c r="DG39" s="36">
        <f>DE$7*'2014A'!$F39</f>
        <v>980.7653772000001</v>
      </c>
      <c r="DJ39" s="5">
        <f t="shared" si="44"/>
        <v>144.77132</v>
      </c>
      <c r="DK39" s="36">
        <f t="shared" si="45"/>
        <v>144.77132</v>
      </c>
      <c r="DL39" s="36">
        <f>DJ$7*'2014A'!$F39</f>
        <v>233.9254876</v>
      </c>
      <c r="DO39" s="5">
        <f t="shared" si="46"/>
        <v>2094.15932</v>
      </c>
      <c r="DP39" s="5">
        <f t="shared" si="47"/>
        <v>2094.15932</v>
      </c>
      <c r="DQ39" s="36">
        <f>DO$7*'2014A'!$F39</f>
        <v>3383.8003276</v>
      </c>
      <c r="DT39" s="5">
        <f t="shared" si="48"/>
        <v>7876.09256</v>
      </c>
      <c r="DU39" s="5">
        <f t="shared" si="49"/>
        <v>7876.09256</v>
      </c>
      <c r="DV39" s="36">
        <f>DT$7*'2014A'!$F39</f>
        <v>12726.4073608</v>
      </c>
      <c r="DY39" s="5">
        <f t="shared" si="50"/>
        <v>54.990500000000004</v>
      </c>
      <c r="DZ39" s="5">
        <f t="shared" si="51"/>
        <v>54.990500000000004</v>
      </c>
      <c r="EA39" s="36">
        <f>DY$7*'2014A'!$F39</f>
        <v>88.855165</v>
      </c>
      <c r="ED39" s="36">
        <f t="shared" si="52"/>
        <v>815.65542</v>
      </c>
      <c r="EE39" s="36">
        <f t="shared" si="53"/>
        <v>815.65542</v>
      </c>
      <c r="EF39" s="36">
        <f>ED$7*'2014A'!$F39</f>
        <v>1317.9585006</v>
      </c>
    </row>
    <row r="40" spans="1:136" ht="12.75">
      <c r="A40" s="37">
        <v>12510</v>
      </c>
      <c r="C40" s="3">
        <v>10090000</v>
      </c>
      <c r="D40" s="3">
        <v>201800</v>
      </c>
      <c r="E40" s="35">
        <f t="shared" si="0"/>
        <v>10291800</v>
      </c>
      <c r="F40" s="35"/>
      <c r="H40" s="47">
        <f t="shared" si="54"/>
        <v>3188304.794</v>
      </c>
      <c r="I40" s="36">
        <f t="shared" si="1"/>
        <v>63766.095879999986</v>
      </c>
      <c r="J40" s="36">
        <f t="shared" si="2"/>
        <v>3252070.88988</v>
      </c>
      <c r="K40" s="36">
        <f t="shared" si="3"/>
        <v>103035.01460840002</v>
      </c>
      <c r="L40"/>
      <c r="M40" s="5">
        <f t="shared" si="55"/>
        <v>29393.179</v>
      </c>
      <c r="N40" s="5">
        <f t="shared" si="4"/>
        <v>587.86358</v>
      </c>
      <c r="O40" s="5">
        <f t="shared" si="5"/>
        <v>29981.04258</v>
      </c>
      <c r="P40" s="36">
        <f>N$7*'2014A'!$F40</f>
        <v>949.8861694</v>
      </c>
      <c r="Q40"/>
      <c r="R40" s="5">
        <f t="shared" si="56"/>
        <v>2653.67</v>
      </c>
      <c r="S40" s="5">
        <f t="shared" si="6"/>
        <v>53.0734</v>
      </c>
      <c r="T40" s="5">
        <f t="shared" si="7"/>
        <v>2706.7434000000003</v>
      </c>
      <c r="U40" s="36">
        <f>S$7*'2014A'!$F40</f>
        <v>85.757462</v>
      </c>
      <c r="V40"/>
      <c r="W40" s="5">
        <f t="shared" si="57"/>
        <v>6606.932</v>
      </c>
      <c r="X40" s="5">
        <f t="shared" si="8"/>
        <v>132.13864</v>
      </c>
      <c r="Y40" s="5">
        <f t="shared" si="9"/>
        <v>6739.07064</v>
      </c>
      <c r="Z40" s="36">
        <f>X$7*'2014A'!$F40</f>
        <v>213.5132552</v>
      </c>
      <c r="AA40"/>
      <c r="AB40" s="5">
        <f t="shared" si="58"/>
        <v>225503.42799999999</v>
      </c>
      <c r="AC40" s="5">
        <f t="shared" si="10"/>
        <v>4510.06856</v>
      </c>
      <c r="AD40" s="5">
        <f t="shared" si="11"/>
        <v>230013.49656</v>
      </c>
      <c r="AE40" s="36">
        <f>AC$7*'2014A'!$F40</f>
        <v>7287.4930408</v>
      </c>
      <c r="AF40"/>
      <c r="AG40" s="5">
        <f t="shared" si="59"/>
        <v>51320.767</v>
      </c>
      <c r="AH40" s="5">
        <f t="shared" si="12"/>
        <v>1026.41534</v>
      </c>
      <c r="AI40" s="5">
        <f t="shared" si="13"/>
        <v>52347.18234</v>
      </c>
      <c r="AJ40" s="36">
        <f>AH$7*'2014A'!$F40</f>
        <v>1658.5101862000001</v>
      </c>
      <c r="AK40"/>
      <c r="AL40" s="5">
        <f t="shared" si="60"/>
        <v>18713.923</v>
      </c>
      <c r="AM40" s="5">
        <f t="shared" si="14"/>
        <v>374.27846</v>
      </c>
      <c r="AN40" s="5">
        <f t="shared" si="15"/>
        <v>19088.20146</v>
      </c>
      <c r="AO40" s="36">
        <f>AM$7*'2014A'!$F40</f>
        <v>604.7694478</v>
      </c>
      <c r="AP40"/>
      <c r="AQ40" s="5">
        <f t="shared" si="61"/>
        <v>56770.376000000004</v>
      </c>
      <c r="AR40" s="5">
        <f t="shared" si="16"/>
        <v>1135.40752</v>
      </c>
      <c r="AS40" s="5">
        <f t="shared" si="17"/>
        <v>57905.783520000005</v>
      </c>
      <c r="AT40" s="36">
        <f>AR$7*'2014A'!$F40</f>
        <v>1834.6227536000001</v>
      </c>
      <c r="AU40"/>
      <c r="AV40" s="5">
        <f t="shared" si="62"/>
        <v>347412.826</v>
      </c>
      <c r="AW40" s="5">
        <f t="shared" si="18"/>
        <v>6948.25652</v>
      </c>
      <c r="AX40" s="5">
        <f t="shared" si="19"/>
        <v>354361.08252</v>
      </c>
      <c r="AY40" s="36">
        <f>AW$7*'2014A'!$F40</f>
        <v>11227.1843236</v>
      </c>
      <c r="AZ40"/>
      <c r="BA40" s="5">
        <f t="shared" si="63"/>
        <v>18938.93</v>
      </c>
      <c r="BB40" s="5">
        <f t="shared" si="20"/>
        <v>378.7786</v>
      </c>
      <c r="BC40" s="5">
        <f t="shared" si="21"/>
        <v>19317.7086</v>
      </c>
      <c r="BD40" s="36">
        <f>BB$7*'2014A'!$F40</f>
        <v>612.040898</v>
      </c>
      <c r="BE40"/>
      <c r="BF40" s="5">
        <f t="shared" si="64"/>
        <v>25955.516</v>
      </c>
      <c r="BG40" s="5">
        <f t="shared" si="22"/>
        <v>519.11032</v>
      </c>
      <c r="BH40" s="5">
        <f t="shared" si="23"/>
        <v>26474.62632</v>
      </c>
      <c r="BI40" s="36">
        <f>BG$7*'2014A'!$F40</f>
        <v>838.7927576</v>
      </c>
      <c r="BJ40"/>
      <c r="BK40" s="5">
        <f t="shared" si="65"/>
        <v>240408.37600000002</v>
      </c>
      <c r="BL40" s="5">
        <f t="shared" si="24"/>
        <v>4808.16752</v>
      </c>
      <c r="BM40" s="5">
        <f t="shared" si="25"/>
        <v>245216.54352</v>
      </c>
      <c r="BN40" s="36">
        <f>BL$7*'2014A'!$F40</f>
        <v>7769.169553600001</v>
      </c>
      <c r="BO40"/>
      <c r="BP40" s="5">
        <f t="shared" si="66"/>
        <v>1715.3000000000002</v>
      </c>
      <c r="BQ40" s="5">
        <f t="shared" si="26"/>
        <v>34.306000000000004</v>
      </c>
      <c r="BR40" s="5">
        <f t="shared" si="27"/>
        <v>1749.6060000000002</v>
      </c>
      <c r="BS40" s="36">
        <f>BQ$7*'2014A'!$F40</f>
        <v>55.43258</v>
      </c>
      <c r="BT40"/>
      <c r="BU40" s="5">
        <f t="shared" si="67"/>
        <v>583.202</v>
      </c>
      <c r="BV40" s="5">
        <f t="shared" si="28"/>
        <v>11.66404</v>
      </c>
      <c r="BW40" s="5">
        <f t="shared" si="29"/>
        <v>594.86604</v>
      </c>
      <c r="BX40" s="36">
        <f>BV$7*'2014A'!$F40</f>
        <v>18.8470772</v>
      </c>
      <c r="BY40"/>
      <c r="BZ40" s="5">
        <f t="shared" si="68"/>
        <v>32473.656000000003</v>
      </c>
      <c r="CA40" s="5">
        <f t="shared" si="30"/>
        <v>649.47312</v>
      </c>
      <c r="CB40" s="5">
        <f t="shared" si="31"/>
        <v>33123.129120000005</v>
      </c>
      <c r="CC40" s="36">
        <f>CA$7*'2014A'!$F40</f>
        <v>1049.4365616</v>
      </c>
      <c r="CD40"/>
      <c r="CE40" s="5">
        <f t="shared" si="69"/>
        <v>94520.093</v>
      </c>
      <c r="CF40" s="5">
        <f t="shared" si="32"/>
        <v>1890.40186</v>
      </c>
      <c r="CG40" s="5">
        <f t="shared" si="33"/>
        <v>96410.49485999999</v>
      </c>
      <c r="CH40" s="36">
        <f>CF$7*'2014A'!$F40</f>
        <v>3054.5634098</v>
      </c>
      <c r="CI40"/>
      <c r="CJ40" s="5">
        <f t="shared" si="70"/>
        <v>4797.795</v>
      </c>
      <c r="CK40" s="5">
        <f t="shared" si="34"/>
        <v>95.9559</v>
      </c>
      <c r="CL40" s="5">
        <f t="shared" si="35"/>
        <v>4893.7509</v>
      </c>
      <c r="CM40" s="36">
        <f>CK$7*'2014A'!$F40</f>
        <v>155.048187</v>
      </c>
      <c r="CN40"/>
      <c r="CO40" s="5">
        <f t="shared" si="71"/>
        <v>63376.299000000006</v>
      </c>
      <c r="CP40" s="5">
        <f t="shared" si="36"/>
        <v>1267.5259800000001</v>
      </c>
      <c r="CQ40" s="5">
        <f t="shared" si="37"/>
        <v>64643.824980000005</v>
      </c>
      <c r="CR40" s="36">
        <f>CP$7*'2014A'!$F40</f>
        <v>2048.1034014</v>
      </c>
      <c r="CS40"/>
      <c r="CT40" s="5">
        <f t="shared" si="72"/>
        <v>1361022.947</v>
      </c>
      <c r="CU40" s="5">
        <f t="shared" si="38"/>
        <v>27220.458939999997</v>
      </c>
      <c r="CV40" s="5">
        <f t="shared" si="39"/>
        <v>1388243.40594</v>
      </c>
      <c r="CW40" s="36">
        <f>CU$7*'2014A'!$F40</f>
        <v>43983.567534199996</v>
      </c>
      <c r="CX40"/>
      <c r="CY40" s="5">
        <f t="shared" si="73"/>
        <v>26505.421000000002</v>
      </c>
      <c r="CZ40" s="5">
        <f t="shared" si="40"/>
        <v>530.10842</v>
      </c>
      <c r="DA40" s="36">
        <f t="shared" si="41"/>
        <v>27035.529420000003</v>
      </c>
      <c r="DB40" s="36">
        <f>CZ$7*'2014A'!$F40</f>
        <v>856.5637906000001</v>
      </c>
      <c r="DC40"/>
      <c r="DD40" s="5">
        <f t="shared" si="74"/>
        <v>30348.702</v>
      </c>
      <c r="DE40" s="5">
        <f t="shared" si="42"/>
        <v>606.9740400000001</v>
      </c>
      <c r="DF40" s="36">
        <f t="shared" si="43"/>
        <v>30955.676040000002</v>
      </c>
      <c r="DG40" s="36">
        <f>DE$7*'2014A'!$F40</f>
        <v>980.7653772000001</v>
      </c>
      <c r="DI40" s="5">
        <f t="shared" si="75"/>
        <v>7238.566</v>
      </c>
      <c r="DJ40" s="5">
        <f t="shared" si="44"/>
        <v>144.77132</v>
      </c>
      <c r="DK40" s="36">
        <f t="shared" si="45"/>
        <v>7383.33732</v>
      </c>
      <c r="DL40" s="36">
        <f>DJ$7*'2014A'!$F40</f>
        <v>233.9254876</v>
      </c>
      <c r="DN40" s="5">
        <f t="shared" si="76"/>
        <v>104707.966</v>
      </c>
      <c r="DO40" s="5">
        <f t="shared" si="46"/>
        <v>2094.15932</v>
      </c>
      <c r="DP40" s="5">
        <f t="shared" si="47"/>
        <v>106802.12532</v>
      </c>
      <c r="DQ40" s="36">
        <f>DO$7*'2014A'!$F40</f>
        <v>3383.8003276</v>
      </c>
      <c r="DS40" s="5">
        <f t="shared" si="77"/>
        <v>393804.628</v>
      </c>
      <c r="DT40" s="5">
        <f t="shared" si="48"/>
        <v>7876.09256</v>
      </c>
      <c r="DU40" s="5">
        <f t="shared" si="49"/>
        <v>401680.72056000005</v>
      </c>
      <c r="DV40" s="36">
        <f>DT$7*'2014A'!$F40</f>
        <v>12726.4073608</v>
      </c>
      <c r="DX40" s="5">
        <f t="shared" si="78"/>
        <v>2749.525</v>
      </c>
      <c r="DY40" s="5">
        <f t="shared" si="50"/>
        <v>54.990500000000004</v>
      </c>
      <c r="DZ40" s="5">
        <f t="shared" si="51"/>
        <v>2804.5155</v>
      </c>
      <c r="EA40" s="36">
        <f>DY$7*'2014A'!$F40</f>
        <v>88.855165</v>
      </c>
      <c r="EC40" s="5">
        <f t="shared" si="79"/>
        <v>40782.771</v>
      </c>
      <c r="ED40" s="36">
        <f t="shared" si="52"/>
        <v>815.65542</v>
      </c>
      <c r="EE40" s="36">
        <f t="shared" si="53"/>
        <v>41598.42642</v>
      </c>
      <c r="EF40" s="36">
        <f>ED$7*'2014A'!$F40</f>
        <v>1317.9585006</v>
      </c>
    </row>
    <row r="41" spans="2:136" ht="12.75">
      <c r="B41" s="34"/>
      <c r="C41" s="35"/>
      <c r="D41" s="35"/>
      <c r="E41" s="35"/>
      <c r="F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B41"/>
      <c r="DC41"/>
      <c r="DD41"/>
      <c r="DE41"/>
      <c r="DG41"/>
      <c r="DI41"/>
      <c r="DJ41"/>
      <c r="DL41"/>
      <c r="DQ41"/>
      <c r="DV41"/>
      <c r="EA41"/>
      <c r="EF41"/>
    </row>
    <row r="42" spans="1:136" ht="13.5" thickBot="1">
      <c r="A42" s="39" t="s">
        <v>11</v>
      </c>
      <c r="C42" s="40">
        <f>SUM(C9:C41)</f>
        <v>121150000</v>
      </c>
      <c r="D42" s="40">
        <f>SUM(D9:D41)</f>
        <v>46719300</v>
      </c>
      <c r="E42" s="40">
        <f>SUM(E9:E41)</f>
        <v>167869300</v>
      </c>
      <c r="F42" s="40">
        <f>SUM(F9:F41)</f>
        <v>0</v>
      </c>
      <c r="H42" s="40">
        <f>SUM(H9:H41)</f>
        <v>38281776.59</v>
      </c>
      <c r="I42" s="40">
        <f>SUM(I9:I41)</f>
        <v>14762672.761379998</v>
      </c>
      <c r="J42" s="40">
        <f>SUM(J9:J41)</f>
        <v>53044449.35138001</v>
      </c>
      <c r="K42" s="40">
        <f>SUM(K9:K41)</f>
        <v>3297120.467468799</v>
      </c>
      <c r="M42" s="40">
        <f>SUM(M9:M41)</f>
        <v>352922.065</v>
      </c>
      <c r="N42" s="40">
        <f>SUM(N9:N41)</f>
        <v>136097.99283000003</v>
      </c>
      <c r="O42" s="40">
        <f>SUM(O9:O41)</f>
        <v>489020.05782999995</v>
      </c>
      <c r="P42" s="40">
        <f>SUM(P9:P41)</f>
        <v>30396.357420800014</v>
      </c>
      <c r="R42" s="40">
        <f>SUM(R9:R41)</f>
        <v>31862.449999999997</v>
      </c>
      <c r="S42" s="40">
        <f>SUM(S9:S41)</f>
        <v>12287.175899999998</v>
      </c>
      <c r="T42" s="40">
        <f>SUM(T9:T41)</f>
        <v>44149.62589999999</v>
      </c>
      <c r="U42" s="40">
        <f>SUM(U9:U41)</f>
        <v>2744.2387840000006</v>
      </c>
      <c r="W42" s="40">
        <f>SUM(W9:W41)</f>
        <v>79329.01999999999</v>
      </c>
      <c r="X42" s="40">
        <f>SUM(X9:X41)</f>
        <v>30591.79763999999</v>
      </c>
      <c r="Y42" s="40">
        <f>SUM(Y9:Y41)</f>
        <v>109920.81764000004</v>
      </c>
      <c r="Z42" s="40">
        <f>SUM(Z9:Z41)</f>
        <v>6832.424166399995</v>
      </c>
      <c r="AB42" s="40">
        <f>SUM(AB9:AB41)</f>
        <v>2707605.5799999996</v>
      </c>
      <c r="AC42" s="40">
        <f>SUM(AC9:AC41)</f>
        <v>1044138.9795599999</v>
      </c>
      <c r="AD42" s="40">
        <f>SUM(AD9:AD41)</f>
        <v>3751744.5595600004</v>
      </c>
      <c r="AE42" s="40">
        <f>SUM(AE9:AE41)</f>
        <v>233199.77730560018</v>
      </c>
      <c r="AG42" s="40">
        <f>SUM(AG9:AG41)</f>
        <v>616205.2450000001</v>
      </c>
      <c r="AH42" s="40">
        <f>SUM(AH9:AH41)</f>
        <v>237628.37558999995</v>
      </c>
      <c r="AI42" s="40">
        <f>SUM(AI9:AI41)</f>
        <v>853833.62059</v>
      </c>
      <c r="AJ42" s="40">
        <f>SUM(AJ9:AJ41)</f>
        <v>53072.325958400026</v>
      </c>
      <c r="AL42" s="40">
        <f>SUM(AL9:AL41)</f>
        <v>224696.90500000006</v>
      </c>
      <c r="AM42" s="40">
        <f>SUM(AM9:AM41)</f>
        <v>86650.28571000003</v>
      </c>
      <c r="AN42" s="40">
        <f>SUM(AN9:AN41)</f>
        <v>311347.19071000005</v>
      </c>
      <c r="AO42" s="40">
        <f>SUM(AO9:AO41)</f>
        <v>19352.6223296</v>
      </c>
      <c r="AQ42" s="40">
        <f>SUM(AQ9:AQ41)</f>
        <v>681638.3600000001</v>
      </c>
      <c r="AR42" s="40">
        <f>SUM(AR9:AR41)</f>
        <v>262861.46952000004</v>
      </c>
      <c r="AS42" s="40">
        <f>SUM(AS9:AS41)</f>
        <v>944499.82952</v>
      </c>
      <c r="AT42" s="40">
        <f>SUM(AT9:AT41)</f>
        <v>58707.92811520001</v>
      </c>
      <c r="AV42" s="40">
        <f>SUM(AV9:AV41)</f>
        <v>4171364.11</v>
      </c>
      <c r="AW42" s="40">
        <f>SUM(AW9:AW41)</f>
        <v>1608610.9060200003</v>
      </c>
      <c r="AX42" s="40">
        <f>SUM(AX9:AX41)</f>
        <v>5779975.01602</v>
      </c>
      <c r="AY42" s="40">
        <f>SUM(AY9:AY41)</f>
        <v>359269.89835520025</v>
      </c>
      <c r="BA42" s="40">
        <f>SUM(BA9:BA41)</f>
        <v>227398.55</v>
      </c>
      <c r="BB42" s="40">
        <f>SUM(BB9:BB41)</f>
        <v>87692.12610000005</v>
      </c>
      <c r="BC42" s="40">
        <f>SUM(BC9:BC41)</f>
        <v>315090.67610000004</v>
      </c>
      <c r="BD42" s="40">
        <f>SUM(BD9:BD41)</f>
        <v>19585.308735999988</v>
      </c>
      <c r="BF42" s="40">
        <f>SUM(BF9:BF41)</f>
        <v>311646.25999999995</v>
      </c>
      <c r="BG42" s="40">
        <f>SUM(BG9:BG41)</f>
        <v>120180.72731999996</v>
      </c>
      <c r="BH42" s="40">
        <f>SUM(BH9:BH41)</f>
        <v>431826.98732</v>
      </c>
      <c r="BI42" s="40">
        <f>SUM(BI9:BI41)</f>
        <v>26841.368243200002</v>
      </c>
      <c r="BK42" s="40">
        <f>SUM(BK9:BK41)</f>
        <v>2886568.3600000003</v>
      </c>
      <c r="BL42" s="40">
        <f>SUM(BL9:BL41)</f>
        <v>1113152.7295200003</v>
      </c>
      <c r="BM42" s="40">
        <f>SUM(BM9:BM41)</f>
        <v>3999721.0895200004</v>
      </c>
      <c r="BN42" s="40">
        <f>SUM(BN9:BN41)</f>
        <v>248613.4257151999</v>
      </c>
      <c r="BP42" s="40">
        <f>SUM(BP9:BP41)</f>
        <v>20595.500000000004</v>
      </c>
      <c r="BQ42" s="40">
        <f>SUM(BQ9:BQ41)</f>
        <v>7942.280999999999</v>
      </c>
      <c r="BR42" s="40">
        <f>SUM(BR9:BR41)</f>
        <v>28537.781000000003</v>
      </c>
      <c r="BS42" s="40">
        <f>SUM(BS9:BS41)</f>
        <v>1773.8425599999994</v>
      </c>
      <c r="BU42" s="40">
        <f>SUM(BU9:BU41)</f>
        <v>7002.47</v>
      </c>
      <c r="BV42" s="40">
        <f>SUM(BV9:BV41)</f>
        <v>2700.3755399999995</v>
      </c>
      <c r="BW42" s="40">
        <f>SUM(BW9:BW41)</f>
        <v>9702.84554</v>
      </c>
      <c r="BX42" s="40">
        <f>SUM(BX9:BX41)</f>
        <v>603.1064704000003</v>
      </c>
      <c r="BZ42" s="40">
        <f>SUM(BZ9:BZ41)</f>
        <v>389909.16</v>
      </c>
      <c r="CA42" s="40">
        <f>SUM(CA9:CA41)</f>
        <v>150361.39512000003</v>
      </c>
      <c r="CB42" s="40">
        <f>SUM(CB9:CB41)</f>
        <v>540270.5551200002</v>
      </c>
      <c r="CC42" s="40">
        <f>SUM(CC9:CC41)</f>
        <v>33581.96997119999</v>
      </c>
      <c r="CE42" s="40">
        <f>SUM(CE9:CE41)</f>
        <v>1134896.855</v>
      </c>
      <c r="CF42" s="40">
        <f>SUM(CF9:CF41)</f>
        <v>437652.3866099999</v>
      </c>
      <c r="CG42" s="40">
        <f>SUM(CG9:CG41)</f>
        <v>1572549.2416100001</v>
      </c>
      <c r="CH42" s="40">
        <f>SUM(CH9:CH41)</f>
        <v>97746.02911360002</v>
      </c>
      <c r="CJ42" s="40">
        <f>SUM(CJ9:CJ41)</f>
        <v>57606.825</v>
      </c>
      <c r="CK42" s="40">
        <f>SUM(CK9:CK41)</f>
        <v>22215.027150000005</v>
      </c>
      <c r="CL42" s="40">
        <f>SUM(CL9:CL41)</f>
        <v>79821.85214999999</v>
      </c>
      <c r="CM42" s="40">
        <f>SUM(CM9:CM41)</f>
        <v>4961.541984</v>
      </c>
      <c r="CO42" s="40">
        <f>SUM(CO9:CO41)</f>
        <v>760955.2650000001</v>
      </c>
      <c r="CP42" s="40">
        <f>SUM(CP9:CP41)</f>
        <v>293448.5952300001</v>
      </c>
      <c r="CQ42" s="40">
        <f>SUM(CQ9:CQ41)</f>
        <v>1054403.86023</v>
      </c>
      <c r="CR42" s="40">
        <f>SUM(CR9:CR41)</f>
        <v>65539.30884480005</v>
      </c>
      <c r="CT42" s="40">
        <f>SUM(CT9:CT41)</f>
        <v>16341717.545</v>
      </c>
      <c r="CU42" s="40">
        <f>SUM(CU9:CU41)</f>
        <v>6301886.95419</v>
      </c>
      <c r="CV42" s="40">
        <f>SUM(CV9:CV41)</f>
        <v>22643604.499190003</v>
      </c>
      <c r="CW42" s="40">
        <f>SUM(CW9:CW41)</f>
        <v>1407474.1610943994</v>
      </c>
      <c r="CY42" s="40">
        <f>SUM(CY9:CY41)</f>
        <v>318248.93500000006</v>
      </c>
      <c r="CZ42" s="40">
        <f>SUM(CZ9:CZ41)</f>
        <v>122726.92917000002</v>
      </c>
      <c r="DA42" s="40">
        <f>SUM(DA9:DA41)</f>
        <v>440975.86417000013</v>
      </c>
      <c r="DB42" s="40">
        <f>SUM(DB9:DB41)</f>
        <v>27410.041299200006</v>
      </c>
      <c r="DD42" s="40">
        <f>SUM(DD9:DD41)</f>
        <v>364394.97</v>
      </c>
      <c r="DE42" s="40">
        <f>SUM(DE9:DE41)</f>
        <v>140522.31053999998</v>
      </c>
      <c r="DF42" s="40">
        <f>SUM(DF9:DF41)</f>
        <v>504917.28054</v>
      </c>
      <c r="DG42" s="40">
        <f>SUM(DG9:DG41)</f>
        <v>31384.492070400018</v>
      </c>
      <c r="DI42" s="40">
        <f>SUM(DI9:DI41)</f>
        <v>86913.01</v>
      </c>
      <c r="DJ42" s="40">
        <f>SUM(DJ9:DJ41)</f>
        <v>33516.42582</v>
      </c>
      <c r="DK42" s="40">
        <f>SUM(DK9:DK41)</f>
        <v>120429.43582000003</v>
      </c>
      <c r="DL42" s="40">
        <f>SUM(DL9:DL41)</f>
        <v>7485.615603199994</v>
      </c>
      <c r="DN42" s="40">
        <f>SUM(DN9:DN41)</f>
        <v>1257222.01</v>
      </c>
      <c r="DO42" s="40">
        <f>SUM(DO9:DO41)</f>
        <v>484824.86382</v>
      </c>
      <c r="DP42" s="40">
        <f>SUM(DP9:DP41)</f>
        <v>1742046.8738199999</v>
      </c>
      <c r="DQ42" s="40">
        <f>SUM(DQ9:DQ41)</f>
        <v>108281.61048319995</v>
      </c>
      <c r="DS42" s="40">
        <f>SUM(DS9:DS41)</f>
        <v>4728387.58</v>
      </c>
      <c r="DT42" s="40">
        <f>SUM(DT9:DT41)</f>
        <v>1823416.90356</v>
      </c>
      <c r="DU42" s="40">
        <f>SUM(DU9:DU41)</f>
        <v>6551804.4835600015</v>
      </c>
      <c r="DV42" s="40">
        <f>SUM(DV9:DV41)</f>
        <v>407245.0355456001</v>
      </c>
      <c r="DX42" s="40">
        <f>SUM(DX9:DX41)</f>
        <v>33013.375</v>
      </c>
      <c r="DY42" s="40">
        <f>SUM(DY9:DY41)</f>
        <v>12731.00925</v>
      </c>
      <c r="DZ42" s="40">
        <f>SUM(DZ9:DZ41)</f>
        <v>45744.384249999996</v>
      </c>
      <c r="EA42" s="40">
        <f>SUM(EA9:EA41)</f>
        <v>2843.3652799999986</v>
      </c>
      <c r="EC42" s="40">
        <f>SUM(EC9:EC41)</f>
        <v>489676.18500000006</v>
      </c>
      <c r="ED42" s="40">
        <f>SUM(ED9:ED41)</f>
        <v>188834.73866999996</v>
      </c>
      <c r="EE42" s="40">
        <f>SUM(EE9:EE41)</f>
        <v>678510.92367</v>
      </c>
      <c r="EF42" s="40">
        <f>SUM(EF9:EF41)</f>
        <v>42174.6720192</v>
      </c>
    </row>
    <row r="43" spans="8:114" ht="13.5" thickTop="1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C43"/>
      <c r="DD43"/>
      <c r="DE43"/>
      <c r="DI43"/>
      <c r="DJ43"/>
    </row>
    <row r="44" spans="8:11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C44"/>
      <c r="DD44"/>
      <c r="DE44"/>
      <c r="DI44"/>
      <c r="DJ44"/>
    </row>
    <row r="45" spans="8:11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C45"/>
      <c r="DD45"/>
      <c r="DE45"/>
      <c r="DI45"/>
      <c r="DJ45"/>
    </row>
    <row r="46" spans="8:11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C46"/>
      <c r="DD46"/>
      <c r="DE46"/>
      <c r="DI46"/>
      <c r="DJ46"/>
    </row>
    <row r="47" spans="8:11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C47"/>
      <c r="DD47"/>
      <c r="DE47"/>
      <c r="DI47"/>
      <c r="DJ47"/>
    </row>
    <row r="48" spans="8:11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C48"/>
      <c r="DD48"/>
      <c r="DE48"/>
      <c r="DI48"/>
      <c r="DJ48"/>
    </row>
    <row r="49" spans="8:11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C49"/>
      <c r="DD49"/>
      <c r="DE49"/>
      <c r="DI49"/>
      <c r="DJ49"/>
    </row>
    <row r="50" spans="1:11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C50"/>
      <c r="DD50"/>
      <c r="DE50"/>
      <c r="DI50"/>
      <c r="DJ50"/>
    </row>
    <row r="51" spans="1:11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C51"/>
      <c r="DD51"/>
      <c r="DE51"/>
      <c r="DI51"/>
      <c r="DJ51"/>
    </row>
    <row r="52" spans="1:11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C52"/>
      <c r="DD52"/>
      <c r="DE52"/>
      <c r="DI52"/>
      <c r="DJ52"/>
    </row>
    <row r="53" spans="1:11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C53"/>
      <c r="DD53"/>
      <c r="DE53"/>
      <c r="DI53"/>
      <c r="DJ53"/>
    </row>
    <row r="54" spans="1:11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C54"/>
      <c r="DD54"/>
      <c r="DE54"/>
      <c r="DI54"/>
      <c r="DJ54"/>
    </row>
    <row r="55" spans="1:11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C55"/>
      <c r="DD55"/>
      <c r="DE55"/>
      <c r="DI55"/>
      <c r="DJ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57" zoomScaleNormal="157" zoomScalePageLayoutView="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5" sqref="S45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SUM(E6:E46)</f>
        <v>35812472.519999996</v>
      </c>
      <c r="F5" s="57">
        <f t="shared" si="0"/>
        <v>2046569.6800000002</v>
      </c>
      <c r="G5" s="57">
        <f t="shared" si="0"/>
        <v>253084.05</v>
      </c>
      <c r="H5" s="57">
        <f t="shared" si="0"/>
        <v>32923.25</v>
      </c>
      <c r="I5" s="57">
        <f t="shared" si="0"/>
        <v>574122.61</v>
      </c>
      <c r="J5" s="57">
        <f t="shared" si="0"/>
        <v>193466.69999999998</v>
      </c>
      <c r="K5" s="57">
        <f t="shared" si="0"/>
        <v>201565.57</v>
      </c>
      <c r="L5" s="57">
        <f t="shared" si="0"/>
        <v>10007527.370000001</v>
      </c>
      <c r="M5" s="57">
        <f t="shared" si="0"/>
        <v>141630.7</v>
      </c>
      <c r="N5" s="57">
        <f t="shared" si="0"/>
        <v>1273933.68</v>
      </c>
      <c r="O5" s="57">
        <f t="shared" si="0"/>
        <v>16472071.509999998</v>
      </c>
      <c r="P5" s="57">
        <f t="shared" si="0"/>
        <v>109230.13</v>
      </c>
      <c r="Q5" s="57">
        <f t="shared" si="0"/>
        <v>72781402.23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4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5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92</v>
      </c>
      <c r="C10" s="61" t="s">
        <v>42</v>
      </c>
      <c r="D10" s="49">
        <f t="shared" si="1"/>
        <v>990916.5100000001</v>
      </c>
      <c r="E10" s="63"/>
      <c r="F10" s="63">
        <f>52336.32+431824.08+292637.14+127294.77+83855.53+2968.67</f>
        <v>990916.5100000001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0.007083034381701216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530219.58</v>
      </c>
      <c r="E11" s="63"/>
      <c r="F11" s="63">
        <f>76878.36+59119.76+393646.57+574.89</f>
        <v>530219.58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0.0037899898498927804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253084.05</v>
      </c>
      <c r="E12" s="63"/>
      <c r="F12" s="63"/>
      <c r="G12" s="63">
        <f>253084.05</f>
        <v>253084.05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0.0018090353824160113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32923.25</v>
      </c>
      <c r="E13" s="63"/>
      <c r="F13" s="63"/>
      <c r="G13" s="62"/>
      <c r="H13" s="63">
        <f>8045+3291.25+21587</f>
        <v>32923.25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0.00023533416726233023</v>
      </c>
    </row>
    <row r="14" spans="1:18" ht="12.75">
      <c r="A14" s="61" t="s">
        <v>31</v>
      </c>
      <c r="B14" s="75" t="s">
        <v>97</v>
      </c>
      <c r="C14" s="61" t="s">
        <v>42</v>
      </c>
      <c r="D14" s="49">
        <f t="shared" si="1"/>
        <v>243031.07</v>
      </c>
      <c r="E14" s="63"/>
      <c r="F14" s="63"/>
      <c r="G14" s="62"/>
      <c r="H14" s="63"/>
      <c r="I14" s="63">
        <f>202186.81+1045.44+27678.28+10096.12+2024.42</f>
        <v>243031.07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0.001737177055039314</v>
      </c>
    </row>
    <row r="15" spans="1:18" ht="12.75">
      <c r="A15" s="75" t="s">
        <v>31</v>
      </c>
      <c r="B15" s="75" t="s">
        <v>95</v>
      </c>
      <c r="C15" s="75" t="s">
        <v>96</v>
      </c>
      <c r="D15" s="49">
        <f t="shared" si="1"/>
        <v>138950</v>
      </c>
      <c r="E15" s="63"/>
      <c r="F15" s="63"/>
      <c r="G15" s="62"/>
      <c r="H15" s="63"/>
      <c r="I15" s="63">
        <f>138950</f>
        <v>138950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0.0009932094353109363</v>
      </c>
    </row>
    <row r="16" spans="1:18" ht="12.75">
      <c r="A16" s="61" t="s">
        <v>32</v>
      </c>
      <c r="B16" s="75" t="s">
        <v>104</v>
      </c>
      <c r="C16" s="61" t="s">
        <v>42</v>
      </c>
      <c r="D16" s="49">
        <f t="shared" si="1"/>
        <v>4612.55</v>
      </c>
      <c r="E16" s="63"/>
      <c r="F16" s="63"/>
      <c r="G16" s="62"/>
      <c r="H16" s="63"/>
      <c r="I16" s="62"/>
      <c r="J16" s="63">
        <f>371.55+4241</f>
        <v>4612.55</v>
      </c>
      <c r="K16" s="62"/>
      <c r="L16" s="62"/>
      <c r="M16" s="62"/>
      <c r="N16" s="62"/>
      <c r="O16" s="62"/>
      <c r="P16" s="62"/>
      <c r="Q16" s="62"/>
      <c r="R16" s="8">
        <f t="shared" si="2"/>
        <v>3.297033595425304E-05</v>
      </c>
    </row>
    <row r="17" spans="1:18" ht="12.75">
      <c r="A17" s="61" t="s">
        <v>32</v>
      </c>
      <c r="B17" s="75" t="s">
        <v>105</v>
      </c>
      <c r="C17" s="61" t="s">
        <v>44</v>
      </c>
      <c r="D17" s="49">
        <f t="shared" si="1"/>
        <v>188854.15</v>
      </c>
      <c r="E17" s="63"/>
      <c r="F17" s="63"/>
      <c r="G17" s="62"/>
      <c r="H17" s="63"/>
      <c r="I17" s="62"/>
      <c r="J17" s="63">
        <f>188854.15</f>
        <v>188854.15</v>
      </c>
      <c r="K17" s="62"/>
      <c r="L17" s="62"/>
      <c r="M17" s="62"/>
      <c r="N17" s="62"/>
      <c r="O17" s="62"/>
      <c r="P17" s="62"/>
      <c r="Q17" s="62"/>
      <c r="R17" s="8">
        <f t="shared" si="2"/>
        <v>0.001349922444603288</v>
      </c>
    </row>
    <row r="18" spans="1:18" ht="12.75">
      <c r="A18" s="61" t="s">
        <v>33</v>
      </c>
      <c r="B18" s="75" t="s">
        <v>106</v>
      </c>
      <c r="C18" s="61" t="s">
        <v>42</v>
      </c>
      <c r="D18" s="49">
        <f t="shared" si="1"/>
        <v>80812.8</v>
      </c>
      <c r="E18" s="63"/>
      <c r="F18" s="63"/>
      <c r="G18" s="62"/>
      <c r="H18" s="63"/>
      <c r="I18" s="62"/>
      <c r="J18" s="63"/>
      <c r="K18" s="63">
        <f>5810+1432.44+48590+24980.36</f>
        <v>80812.8</v>
      </c>
      <c r="L18" s="62"/>
      <c r="M18" s="62"/>
      <c r="N18" s="62"/>
      <c r="O18" s="62"/>
      <c r="P18" s="62"/>
      <c r="Q18" s="62"/>
      <c r="R18" s="8">
        <f t="shared" si="2"/>
        <v>0.0005776468906361687</v>
      </c>
    </row>
    <row r="19" spans="1:18" ht="12.75">
      <c r="A19" s="61" t="s">
        <v>33</v>
      </c>
      <c r="B19" s="61" t="s">
        <v>41</v>
      </c>
      <c r="C19" s="61" t="s">
        <v>45</v>
      </c>
      <c r="D19" s="49">
        <f t="shared" si="1"/>
        <v>16042.35</v>
      </c>
      <c r="E19" s="63"/>
      <c r="F19" s="62"/>
      <c r="G19" s="62"/>
      <c r="H19" s="62"/>
      <c r="I19" s="62"/>
      <c r="J19" s="62"/>
      <c r="K19" s="63">
        <f>16042.35</f>
        <v>16042.35</v>
      </c>
      <c r="L19" s="62"/>
      <c r="M19" s="62"/>
      <c r="N19" s="62"/>
      <c r="O19" s="62"/>
      <c r="P19" s="62"/>
      <c r="Q19" s="62"/>
      <c r="R19" s="8">
        <f t="shared" si="2"/>
        <v>0.00011467012151536812</v>
      </c>
    </row>
    <row r="20" spans="1:18" ht="12.75">
      <c r="A20" s="61" t="s">
        <v>34</v>
      </c>
      <c r="B20" s="61" t="s">
        <v>80</v>
      </c>
      <c r="C20" s="61" t="s">
        <v>42</v>
      </c>
      <c r="D20" s="49">
        <f t="shared" si="1"/>
        <v>254830.63</v>
      </c>
      <c r="E20" s="63"/>
      <c r="F20" s="62"/>
      <c r="G20" s="62"/>
      <c r="H20" s="62"/>
      <c r="I20" s="62"/>
      <c r="J20" s="62"/>
      <c r="K20" s="63"/>
      <c r="L20" s="63">
        <f>65309.53+169331.1+20190</f>
        <v>254830.63</v>
      </c>
      <c r="M20" s="62"/>
      <c r="N20" s="62"/>
      <c r="O20" s="62"/>
      <c r="P20" s="62"/>
      <c r="Q20" s="62"/>
      <c r="R20" s="8">
        <f t="shared" si="2"/>
        <v>0.001821519871336669</v>
      </c>
    </row>
    <row r="21" spans="1:18" ht="12.75">
      <c r="A21" s="61" t="s">
        <v>34</v>
      </c>
      <c r="B21" s="61" t="s">
        <v>90</v>
      </c>
      <c r="C21" s="61" t="s">
        <v>91</v>
      </c>
      <c r="D21" s="49">
        <f t="shared" si="1"/>
        <v>9429726.74</v>
      </c>
      <c r="E21" s="63"/>
      <c r="F21" s="62"/>
      <c r="G21" s="62"/>
      <c r="H21" s="62"/>
      <c r="I21" s="62"/>
      <c r="J21" s="62"/>
      <c r="K21" s="63"/>
      <c r="L21" s="63">
        <f>9429726.74</f>
        <v>9429726.74</v>
      </c>
      <c r="M21" s="62"/>
      <c r="N21" s="62"/>
      <c r="O21" s="62"/>
      <c r="P21" s="62"/>
      <c r="Q21" s="62"/>
      <c r="R21" s="8">
        <f t="shared" si="2"/>
        <v>0.06740333624017156</v>
      </c>
    </row>
    <row r="22" spans="1:18" ht="12.75">
      <c r="A22" s="61" t="s">
        <v>34</v>
      </c>
      <c r="B22" s="75" t="s">
        <v>99</v>
      </c>
      <c r="C22" s="61" t="s">
        <v>44</v>
      </c>
      <c r="D22" s="49">
        <f t="shared" si="1"/>
        <v>322970</v>
      </c>
      <c r="E22" s="63"/>
      <c r="F22" s="62"/>
      <c r="G22" s="62"/>
      <c r="H22" s="62"/>
      <c r="I22" s="62"/>
      <c r="J22" s="62"/>
      <c r="K22" s="63"/>
      <c r="L22" s="63">
        <f>250000+72970</f>
        <v>322970</v>
      </c>
      <c r="M22" s="62"/>
      <c r="N22" s="62"/>
      <c r="O22" s="62"/>
      <c r="P22" s="62"/>
      <c r="Q22" s="62"/>
      <c r="R22" s="8">
        <f t="shared" si="2"/>
        <v>0.002308577555396712</v>
      </c>
    </row>
    <row r="23" spans="1:18" ht="12.75">
      <c r="A23" s="61" t="s">
        <v>35</v>
      </c>
      <c r="B23" s="75" t="s">
        <v>98</v>
      </c>
      <c r="C23" s="61" t="s">
        <v>42</v>
      </c>
      <c r="D23" s="49">
        <f t="shared" si="1"/>
        <v>141630.7</v>
      </c>
      <c r="E23" s="63"/>
      <c r="F23" s="62"/>
      <c r="G23" s="62"/>
      <c r="H23" s="62"/>
      <c r="I23" s="62"/>
      <c r="J23" s="62"/>
      <c r="K23" s="63"/>
      <c r="L23" s="63"/>
      <c r="M23" s="63">
        <f>67328.2+38529.4+35773.1</f>
        <v>141630.7</v>
      </c>
      <c r="N23" s="62"/>
      <c r="O23" s="62"/>
      <c r="P23" s="62"/>
      <c r="Q23" s="62"/>
      <c r="R23" s="8">
        <f t="shared" si="2"/>
        <v>0.001012370979270908</v>
      </c>
    </row>
    <row r="24" spans="1:18" ht="12.75">
      <c r="A24" s="61" t="s">
        <v>36</v>
      </c>
      <c r="B24" s="61" t="s">
        <v>93</v>
      </c>
      <c r="C24" s="61" t="s">
        <v>42</v>
      </c>
      <c r="D24" s="49">
        <f t="shared" si="1"/>
        <v>1101550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288464.97+422889+390196.03</f>
        <v>1101550</v>
      </c>
      <c r="O24" s="62"/>
      <c r="P24" s="62"/>
      <c r="Q24" s="62"/>
      <c r="R24" s="8">
        <f t="shared" si="2"/>
        <v>0.007873838456040028</v>
      </c>
    </row>
    <row r="25" spans="1:18" ht="12.75">
      <c r="A25" s="61" t="s">
        <v>37</v>
      </c>
      <c r="B25" s="61" t="s">
        <v>94</v>
      </c>
      <c r="C25" s="61" t="s">
        <v>42</v>
      </c>
      <c r="D25" s="49">
        <f t="shared" si="1"/>
        <v>2488600.7800000003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8814.8+65144.4+1540833.22+325946+465269.68+82592.68</f>
        <v>2488600.7800000003</v>
      </c>
      <c r="P25" s="62"/>
      <c r="Q25" s="62"/>
      <c r="R25" s="8">
        <f t="shared" si="2"/>
        <v>0.017788425875625447</v>
      </c>
    </row>
    <row r="26" spans="1:18" ht="12.75">
      <c r="A26" s="61" t="s">
        <v>37</v>
      </c>
      <c r="B26" s="75" t="s">
        <v>72</v>
      </c>
      <c r="C26" s="61" t="s">
        <v>56</v>
      </c>
      <c r="D26" s="49">
        <f t="shared" si="1"/>
        <v>40055.42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40055.42</f>
        <v>40055.42</v>
      </c>
      <c r="P26" s="62"/>
      <c r="Q26" s="62"/>
      <c r="R26" s="8">
        <f t="shared" si="2"/>
        <v>0.0002863146533238027</v>
      </c>
    </row>
    <row r="27" spans="1:19" ht="12.75">
      <c r="A27" s="61" t="s">
        <v>38</v>
      </c>
      <c r="B27" s="61" t="s">
        <v>88</v>
      </c>
      <c r="C27" s="61" t="s">
        <v>42</v>
      </c>
      <c r="D27" s="49">
        <f t="shared" si="1"/>
        <v>109230.13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109230.13</f>
        <v>109230.13</v>
      </c>
      <c r="Q27" s="63"/>
      <c r="R27" s="8">
        <f t="shared" si="2"/>
        <v>0.0007807729092208721</v>
      </c>
      <c r="S27" s="8">
        <f>SUM(R7:R27)</f>
        <v>0.12084229113652611</v>
      </c>
    </row>
    <row r="28" spans="1:19" ht="12.75">
      <c r="A28" s="61" t="s">
        <v>27</v>
      </c>
      <c r="B28" s="75" t="s">
        <v>109</v>
      </c>
      <c r="C28" s="61" t="s">
        <v>62</v>
      </c>
      <c r="D28" s="49">
        <f t="shared" si="1"/>
        <v>30161331.36</v>
      </c>
      <c r="E28" s="63">
        <f>30161331.36</f>
        <v>30161331.36</v>
      </c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/>
      <c r="Q28" s="63"/>
      <c r="R28" s="8">
        <f t="shared" si="2"/>
        <v>0.2155920754824875</v>
      </c>
      <c r="S28" s="8"/>
    </row>
    <row r="29" spans="1:18" ht="12.75">
      <c r="A29" s="2" t="s">
        <v>27</v>
      </c>
      <c r="B29" s="76" t="s">
        <v>113</v>
      </c>
      <c r="C29" t="s">
        <v>46</v>
      </c>
      <c r="D29" s="49">
        <f t="shared" si="1"/>
        <v>31300.49</v>
      </c>
      <c r="E29" s="49">
        <f>31300.49</f>
        <v>31300.49</v>
      </c>
      <c r="R29" s="8">
        <f t="shared" si="2"/>
        <v>0.0002237347390993567</v>
      </c>
    </row>
    <row r="30" spans="1:18" ht="12.75">
      <c r="A30" s="2" t="s">
        <v>27</v>
      </c>
      <c r="B30" s="76" t="s">
        <v>110</v>
      </c>
      <c r="C30" s="64" t="s">
        <v>48</v>
      </c>
      <c r="D30" s="49">
        <f t="shared" si="1"/>
        <v>2016928.7199999997</v>
      </c>
      <c r="E30" s="49">
        <f>435290.85+1159886.16+421751.71</f>
        <v>2016928.7199999997</v>
      </c>
      <c r="R30" s="8">
        <f t="shared" si="2"/>
        <v>0.014416931522516082</v>
      </c>
    </row>
    <row r="31" spans="1:18" ht="12.75">
      <c r="A31" s="76" t="s">
        <v>27</v>
      </c>
      <c r="B31" s="76" t="s">
        <v>61</v>
      </c>
      <c r="C31" s="77" t="s">
        <v>74</v>
      </c>
      <c r="D31" s="49">
        <f t="shared" si="1"/>
        <v>3065116.13</v>
      </c>
      <c r="E31" s="49">
        <f>3065116.13</f>
        <v>3065116.13</v>
      </c>
      <c r="R31" s="8">
        <f t="shared" si="2"/>
        <v>0.021909336168691923</v>
      </c>
    </row>
    <row r="32" spans="1:18" ht="12.75">
      <c r="A32" s="2" t="s">
        <v>28</v>
      </c>
      <c r="B32" s="2" t="s">
        <v>61</v>
      </c>
      <c r="C32" s="64" t="s">
        <v>66</v>
      </c>
      <c r="D32" s="49">
        <f t="shared" si="1"/>
        <v>339732.76</v>
      </c>
      <c r="F32" s="49">
        <f>339732.76</f>
        <v>339732.76</v>
      </c>
      <c r="R32" s="8">
        <f t="shared" si="2"/>
        <v>0.0024283971408148677</v>
      </c>
    </row>
    <row r="33" spans="1:18" ht="12.75">
      <c r="A33" s="76" t="s">
        <v>28</v>
      </c>
      <c r="B33" s="76" t="s">
        <v>81</v>
      </c>
      <c r="C33" s="77" t="s">
        <v>107</v>
      </c>
      <c r="D33" s="49">
        <f t="shared" si="1"/>
        <v>185700.83</v>
      </c>
      <c r="F33" s="49">
        <f>185700.83</f>
        <v>185700.83</v>
      </c>
      <c r="R33" s="8">
        <f t="shared" si="2"/>
        <v>0.0013273826304503215</v>
      </c>
    </row>
    <row r="34" spans="1:18" ht="12.75">
      <c r="A34" s="2" t="s">
        <v>31</v>
      </c>
      <c r="B34" s="76" t="s">
        <v>114</v>
      </c>
      <c r="C34" t="s">
        <v>49</v>
      </c>
      <c r="D34" s="49">
        <f t="shared" si="1"/>
        <v>83748.15000000001</v>
      </c>
      <c r="I34" s="49">
        <f>83483.46+264.69</f>
        <v>83748.15000000001</v>
      </c>
      <c r="R34" s="8">
        <f t="shared" si="2"/>
        <v>0.0005986286633309507</v>
      </c>
    </row>
    <row r="35" spans="1:18" ht="12.75">
      <c r="A35" s="76" t="s">
        <v>31</v>
      </c>
      <c r="B35" s="76" t="s">
        <v>111</v>
      </c>
      <c r="C35" s="77" t="s">
        <v>82</v>
      </c>
      <c r="D35" s="49">
        <f t="shared" si="1"/>
        <v>90409.39</v>
      </c>
      <c r="I35" s="49">
        <f>90409.39</f>
        <v>90409.39</v>
      </c>
      <c r="R35" s="8">
        <f t="shared" si="2"/>
        <v>0.0006462429592566119</v>
      </c>
    </row>
    <row r="36" spans="1:18" ht="12.75">
      <c r="A36" s="76" t="s">
        <v>31</v>
      </c>
      <c r="B36" s="76" t="s">
        <v>117</v>
      </c>
      <c r="C36" s="77" t="s">
        <v>83</v>
      </c>
      <c r="D36" s="49">
        <f t="shared" si="1"/>
        <v>17984</v>
      </c>
      <c r="I36" s="49">
        <f>17984</f>
        <v>17984</v>
      </c>
      <c r="R36" s="8">
        <f t="shared" si="2"/>
        <v>0.00012854896354538956</v>
      </c>
    </row>
    <row r="37" spans="1:18" ht="12.75">
      <c r="A37" s="2" t="s">
        <v>33</v>
      </c>
      <c r="B37" s="76" t="s">
        <v>112</v>
      </c>
      <c r="C37" t="s">
        <v>51</v>
      </c>
      <c r="D37" s="49">
        <f t="shared" si="1"/>
        <v>104710.42</v>
      </c>
      <c r="K37" s="49">
        <f>104710.42</f>
        <v>104710.42</v>
      </c>
      <c r="R37" s="8">
        <f t="shared" si="2"/>
        <v>0.0007484661901358113</v>
      </c>
    </row>
    <row r="38" spans="1:18" ht="12.75">
      <c r="A38" s="2" t="s">
        <v>36</v>
      </c>
      <c r="B38" s="76" t="s">
        <v>110</v>
      </c>
      <c r="C38" t="s">
        <v>52</v>
      </c>
      <c r="D38" s="49">
        <f t="shared" si="1"/>
        <v>172383.68</v>
      </c>
      <c r="N38" s="49">
        <f>84627.44+80950+6806.24</f>
        <v>172383.68</v>
      </c>
      <c r="R38" s="8">
        <f t="shared" si="2"/>
        <v>0.0012321921372408862</v>
      </c>
    </row>
    <row r="39" spans="1:18" ht="12.75">
      <c r="A39" s="2" t="s">
        <v>37</v>
      </c>
      <c r="B39" s="76" t="s">
        <v>73</v>
      </c>
      <c r="C39" t="s">
        <v>70</v>
      </c>
      <c r="D39" s="49">
        <f t="shared" si="1"/>
        <v>9718905.079999998</v>
      </c>
      <c r="O39" s="49">
        <f>9192848.04+526057.04</f>
        <v>9718905.079999998</v>
      </c>
      <c r="R39" s="8">
        <f t="shared" si="2"/>
        <v>0.0694703722659042</v>
      </c>
    </row>
    <row r="40" spans="1:18" ht="12.75">
      <c r="A40" s="2" t="s">
        <v>37</v>
      </c>
      <c r="B40" s="76" t="s">
        <v>113</v>
      </c>
      <c r="C40" t="s">
        <v>49</v>
      </c>
      <c r="D40" s="49">
        <f t="shared" si="1"/>
        <v>1797.34</v>
      </c>
      <c r="O40" s="49">
        <f>1797.34</f>
        <v>1797.34</v>
      </c>
      <c r="R40" s="8">
        <f t="shared" si="2"/>
        <v>1.2847319513938527E-05</v>
      </c>
    </row>
    <row r="41" spans="1:18" ht="12.75">
      <c r="A41" s="76" t="s">
        <v>37</v>
      </c>
      <c r="B41" s="76" t="s">
        <v>81</v>
      </c>
      <c r="C41" s="78" t="s">
        <v>108</v>
      </c>
      <c r="D41" s="49">
        <f t="shared" si="1"/>
        <v>435844.76</v>
      </c>
      <c r="O41" s="49">
        <f>435844.76</f>
        <v>435844.76</v>
      </c>
      <c r="R41" s="8">
        <f t="shared" si="2"/>
        <v>0.003115402144388849</v>
      </c>
    </row>
    <row r="42" spans="1:18" ht="12.75">
      <c r="A42" s="2" t="s">
        <v>37</v>
      </c>
      <c r="B42" s="76" t="s">
        <v>47</v>
      </c>
      <c r="C42" t="s">
        <v>53</v>
      </c>
      <c r="D42" s="49">
        <f t="shared" si="1"/>
        <v>5874</v>
      </c>
      <c r="O42" s="49">
        <f>5874</f>
        <v>5874</v>
      </c>
      <c r="R42" s="8">
        <f t="shared" si="2"/>
        <v>4.1987133666904933E-05</v>
      </c>
    </row>
    <row r="43" spans="1:18" ht="12.75">
      <c r="A43" s="76" t="s">
        <v>37</v>
      </c>
      <c r="B43" s="76" t="s">
        <v>116</v>
      </c>
      <c r="C43" s="78" t="s">
        <v>115</v>
      </c>
      <c r="D43" s="49">
        <f t="shared" si="1"/>
        <v>3580451.54</v>
      </c>
      <c r="O43" s="49">
        <f>3577461.34+2990.2</f>
        <v>3580451.54</v>
      </c>
      <c r="R43" s="8">
        <f t="shared" si="2"/>
        <v>0.025592934524660473</v>
      </c>
    </row>
    <row r="44" spans="1:19" ht="12.75">
      <c r="A44" s="2" t="s">
        <v>37</v>
      </c>
      <c r="B44" s="2" t="s">
        <v>50</v>
      </c>
      <c r="C44" t="s">
        <v>54</v>
      </c>
      <c r="D44" s="49">
        <f t="shared" si="1"/>
        <v>200542.59</v>
      </c>
      <c r="O44" s="49">
        <f>200542.59</f>
        <v>200542.59</v>
      </c>
      <c r="R44" s="8">
        <f t="shared" si="2"/>
        <v>0.0014334709792709077</v>
      </c>
      <c r="S44" s="8">
        <f>SUM(R28:R44)</f>
        <v>0.3589189509649751</v>
      </c>
    </row>
    <row r="45" spans="1:19" ht="12.75">
      <c r="A45" s="2"/>
      <c r="B45" s="2"/>
      <c r="C45" s="78" t="s">
        <v>100</v>
      </c>
      <c r="D45" s="49">
        <f>SUM(E45:Q45)</f>
        <v>72781402.23</v>
      </c>
      <c r="Q45" s="49">
        <f>139900000-67118597.77</f>
        <v>72781402.23</v>
      </c>
      <c r="R45" s="8">
        <f t="shared" si="2"/>
        <v>0.5202387578984989</v>
      </c>
      <c r="S45" s="8">
        <f>SUM(R28:R45)</f>
        <v>0.8791577088634741</v>
      </c>
    </row>
    <row r="46" spans="5:18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2:18" s="8" customFormat="1" ht="13.5" thickBot="1">
      <c r="B47" s="67"/>
      <c r="C47" s="68" t="s">
        <v>55</v>
      </c>
      <c r="D47" s="69">
        <f>SUM(E47:Q47)</f>
        <v>1</v>
      </c>
      <c r="E47" s="70">
        <f>E5/D5</f>
        <v>0.2559862224446033</v>
      </c>
      <c r="F47" s="70">
        <f>F5/D5</f>
        <v>0.014628804002859186</v>
      </c>
      <c r="G47" s="70">
        <f>G5/D5</f>
        <v>0.0018090353824160113</v>
      </c>
      <c r="H47" s="70">
        <f>H5/D5</f>
        <v>0.00023533416726233023</v>
      </c>
      <c r="I47" s="70">
        <f>I5/D5</f>
        <v>0.004103807076483202</v>
      </c>
      <c r="J47" s="70">
        <f>J5/D5</f>
        <v>0.001382892780557541</v>
      </c>
      <c r="K47" s="70">
        <f>K5/D5</f>
        <v>0.001440783202287348</v>
      </c>
      <c r="L47" s="70">
        <f>L5/D5</f>
        <v>0.07153343366690494</v>
      </c>
      <c r="M47" s="70">
        <f>M5/D5</f>
        <v>0.001012370979270908</v>
      </c>
      <c r="N47" s="70">
        <f>N5/D5</f>
        <v>0.009106030593280915</v>
      </c>
      <c r="O47" s="70">
        <f>O5/D5</f>
        <v>0.11774175489635452</v>
      </c>
      <c r="P47" s="70">
        <f>P5/D5</f>
        <v>0.0007807729092208721</v>
      </c>
      <c r="Q47" s="70">
        <f>Q5/D5</f>
        <v>0.5202387578984989</v>
      </c>
      <c r="R47" s="70">
        <f>SUM(R6:R46)</f>
        <v>1.0000000000000002</v>
      </c>
    </row>
    <row r="48" spans="1:18" s="8" customFormat="1" ht="13.5" thickTop="1">
      <c r="A48" s="71"/>
      <c r="C48" s="6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="226" zoomScaleNormal="226" zoomScalePageLayoutView="0" workbookViewId="0" topLeftCell="A1">
      <pane xSplit="3" ySplit="5" topLeftCell="Q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2" sqref="T3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SUM(E6:E50)</f>
        <v>41154338.24</v>
      </c>
      <c r="F5" s="57">
        <f t="shared" si="0"/>
        <v>2501510.6</v>
      </c>
      <c r="G5" s="57">
        <f t="shared" si="0"/>
        <v>275927.7</v>
      </c>
      <c r="H5" s="57">
        <f t="shared" si="0"/>
        <v>34923.25</v>
      </c>
      <c r="I5" s="57">
        <f t="shared" si="0"/>
        <v>4928162.26</v>
      </c>
      <c r="J5" s="57">
        <f t="shared" si="0"/>
        <v>360268.55</v>
      </c>
      <c r="K5" s="57">
        <f t="shared" si="0"/>
        <v>1543590.1199999999</v>
      </c>
      <c r="L5" s="57">
        <f t="shared" si="0"/>
        <v>12634992.99</v>
      </c>
      <c r="M5" s="57">
        <f t="shared" si="0"/>
        <v>243555.28999999998</v>
      </c>
      <c r="N5" s="57">
        <f t="shared" si="0"/>
        <v>1373470.35</v>
      </c>
      <c r="O5" s="57">
        <f t="shared" si="0"/>
        <v>28444251.26</v>
      </c>
      <c r="P5" s="57">
        <f t="shared" si="0"/>
        <v>443657.47</v>
      </c>
      <c r="Q5" s="57">
        <f t="shared" si="0"/>
        <v>45961351.92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8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9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131</v>
      </c>
      <c r="C10" s="61" t="s">
        <v>42</v>
      </c>
      <c r="D10" s="49">
        <f t="shared" si="1"/>
        <v>1241625.3299999998</v>
      </c>
      <c r="E10" s="63"/>
      <c r="F10" s="63">
        <f>30360.62+33887.58+60976.32+439685.95+316722.14+273168.52+83855.53+2968.67</f>
        <v>1241625.3299999998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0.008875091708363115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585642.4500000001</v>
      </c>
      <c r="E11" s="63"/>
      <c r="F11" s="63">
        <f>76878.36+65222.19+442967.01+574.89</f>
        <v>585642.4500000001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0.0041861504646175845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0.0019723209435310936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34923.25</v>
      </c>
      <c r="E13" s="63"/>
      <c r="F13" s="63"/>
      <c r="G13" s="62"/>
      <c r="H13" s="63">
        <f>8045+3291.25+23587</f>
        <v>34923.25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0.0002496300929235168</v>
      </c>
    </row>
    <row r="14" spans="1:18" ht="12.75">
      <c r="A14" s="61" t="s">
        <v>31</v>
      </c>
      <c r="B14" s="75" t="s">
        <v>98</v>
      </c>
      <c r="C14" s="61" t="s">
        <v>42</v>
      </c>
      <c r="D14" s="49">
        <f t="shared" si="1"/>
        <v>2206484.59</v>
      </c>
      <c r="E14" s="63"/>
      <c r="F14" s="63"/>
      <c r="G14" s="62"/>
      <c r="H14" s="63"/>
      <c r="I14" s="63">
        <f>783304.53+1054731.31+328649.93+27678.28+10096.12+2024.42</f>
        <v>2206484.59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0.015771869835596853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177011.68</v>
      </c>
      <c r="E15" s="63"/>
      <c r="F15" s="63"/>
      <c r="G15" s="62"/>
      <c r="H15" s="63"/>
      <c r="I15" s="63">
        <f>177011.68</f>
        <v>177011.68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0.001265272909220872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409271.59</v>
      </c>
      <c r="E16" s="63"/>
      <c r="F16" s="63"/>
      <c r="G16" s="62"/>
      <c r="H16" s="63"/>
      <c r="I16" s="63">
        <f>409271.59</f>
        <v>409271.59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0.002925458112937813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0.00017859185132237314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7852.55</v>
      </c>
      <c r="E18" s="63"/>
      <c r="F18" s="63"/>
      <c r="G18" s="62"/>
      <c r="H18" s="63"/>
      <c r="I18" s="62"/>
      <c r="J18" s="63">
        <f>3611.55+4241</f>
        <v>7852.55</v>
      </c>
      <c r="K18" s="62"/>
      <c r="L18" s="62"/>
      <c r="M18" s="62"/>
      <c r="N18" s="62"/>
      <c r="O18" s="62"/>
      <c r="P18" s="62"/>
      <c r="Q18" s="62"/>
      <c r="R18" s="8">
        <f t="shared" si="2"/>
        <v>5.612973552537527E-05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352416</v>
      </c>
      <c r="E19" s="63"/>
      <c r="F19" s="63"/>
      <c r="G19" s="62"/>
      <c r="H19" s="63"/>
      <c r="I19" s="62"/>
      <c r="J19" s="63">
        <f>352416</f>
        <v>352416</v>
      </c>
      <c r="K19" s="62"/>
      <c r="L19" s="62"/>
      <c r="M19" s="62"/>
      <c r="N19" s="62"/>
      <c r="O19" s="62"/>
      <c r="P19" s="62"/>
      <c r="Q19" s="62"/>
      <c r="R19" s="8">
        <f t="shared" si="2"/>
        <v>0.0025190564689063616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282837.35</v>
      </c>
      <c r="E20" s="63"/>
      <c r="F20" s="63"/>
      <c r="G20" s="62"/>
      <c r="H20" s="63"/>
      <c r="I20" s="62"/>
      <c r="J20" s="63"/>
      <c r="K20" s="63">
        <f>21032.55+5810+1432.44+59442+104095+91025.36</f>
        <v>282837.35</v>
      </c>
      <c r="L20" s="62"/>
      <c r="M20" s="62"/>
      <c r="N20" s="62"/>
      <c r="O20" s="62"/>
      <c r="P20" s="62"/>
      <c r="Q20" s="62"/>
      <c r="R20" s="8">
        <f t="shared" si="2"/>
        <v>0.0020217108649035025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16042.35</v>
      </c>
      <c r="E21" s="63"/>
      <c r="F21" s="62"/>
      <c r="G21" s="62"/>
      <c r="H21" s="62"/>
      <c r="I21" s="62"/>
      <c r="J21" s="62"/>
      <c r="K21" s="63">
        <f>16042.35</f>
        <v>16042.35</v>
      </c>
      <c r="L21" s="62"/>
      <c r="M21" s="62"/>
      <c r="N21" s="62"/>
      <c r="O21" s="62"/>
      <c r="P21" s="62"/>
      <c r="Q21" s="62"/>
      <c r="R21" s="8">
        <f t="shared" si="2"/>
        <v>0.00011467012151536812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492839.76</v>
      </c>
      <c r="E22" s="63"/>
      <c r="F22" s="62"/>
      <c r="G22" s="62"/>
      <c r="H22" s="62"/>
      <c r="I22" s="62"/>
      <c r="J22" s="62"/>
      <c r="K22" s="63"/>
      <c r="L22" s="63">
        <f>4747+298571.66+169331.1+20190</f>
        <v>492839.76</v>
      </c>
      <c r="M22" s="62"/>
      <c r="N22" s="62"/>
      <c r="O22" s="62"/>
      <c r="P22" s="62"/>
      <c r="Q22" s="62"/>
      <c r="R22" s="8">
        <f t="shared" si="2"/>
        <v>0.0035228002859185132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11759004.68</v>
      </c>
      <c r="E23" s="63"/>
      <c r="F23" s="62"/>
      <c r="G23" s="62"/>
      <c r="H23" s="62"/>
      <c r="I23" s="62"/>
      <c r="J23" s="62"/>
      <c r="K23" s="63"/>
      <c r="L23" s="63">
        <f>2329277.94+9429726.74</f>
        <v>11759004.68</v>
      </c>
      <c r="M23" s="62"/>
      <c r="N23" s="62"/>
      <c r="O23" s="62"/>
      <c r="P23" s="62"/>
      <c r="Q23" s="62"/>
      <c r="R23" s="8">
        <f t="shared" si="2"/>
        <v>0.08405292837741243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0.002738731593995711</v>
      </c>
    </row>
    <row r="25" spans="1:18" ht="12.75">
      <c r="A25" s="61" t="s">
        <v>35</v>
      </c>
      <c r="B25" s="75" t="s">
        <v>98</v>
      </c>
      <c r="C25" s="61" t="s">
        <v>42</v>
      </c>
      <c r="D25" s="49">
        <f t="shared" si="1"/>
        <v>243555.28999999998</v>
      </c>
      <c r="E25" s="63"/>
      <c r="F25" s="62"/>
      <c r="G25" s="62"/>
      <c r="H25" s="62"/>
      <c r="I25" s="62"/>
      <c r="J25" s="62"/>
      <c r="K25" s="63"/>
      <c r="L25" s="63"/>
      <c r="M25" s="63">
        <f>111229.13+38529.4+93796.76</f>
        <v>243555.28999999998</v>
      </c>
      <c r="N25" s="62"/>
      <c r="O25" s="62"/>
      <c r="P25" s="62"/>
      <c r="Q25" s="62"/>
      <c r="R25" s="8">
        <f t="shared" si="2"/>
        <v>0.0017409241601143673</v>
      </c>
    </row>
    <row r="26" spans="1:18" ht="12.75">
      <c r="A26" s="61" t="s">
        <v>36</v>
      </c>
      <c r="B26" s="61" t="s">
        <v>93</v>
      </c>
      <c r="C26" s="61" t="s">
        <v>42</v>
      </c>
      <c r="D26" s="49">
        <f t="shared" si="1"/>
        <v>1103436</v>
      </c>
      <c r="E26" s="63"/>
      <c r="F26" s="62"/>
      <c r="G26" s="62"/>
      <c r="H26" s="62"/>
      <c r="I26" s="62"/>
      <c r="J26" s="62"/>
      <c r="K26" s="63"/>
      <c r="L26" s="63"/>
      <c r="M26" s="63"/>
      <c r="N26" s="63">
        <f>290350.97+422889+390196.03</f>
        <v>1103436</v>
      </c>
      <c r="O26" s="62"/>
      <c r="P26" s="62"/>
      <c r="Q26" s="62"/>
      <c r="R26" s="8">
        <f t="shared" si="2"/>
        <v>0.007887319513938527</v>
      </c>
    </row>
    <row r="27" spans="1:18" ht="12.75">
      <c r="A27" s="61" t="s">
        <v>37</v>
      </c>
      <c r="B27" s="61" t="s">
        <v>133</v>
      </c>
      <c r="C27" s="61" t="s">
        <v>42</v>
      </c>
      <c r="D27" s="49">
        <f t="shared" si="1"/>
        <v>5383584.27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>
        <f>69454.81+984775.83+1575460.79+1548496.5+650035.62+465269.68+90091.04</f>
        <v>5383584.27</v>
      </c>
      <c r="P27" s="62"/>
      <c r="Q27" s="62"/>
      <c r="R27" s="8">
        <f t="shared" si="2"/>
        <v>0.03848166025732666</v>
      </c>
    </row>
    <row r="28" spans="1:18" ht="12.75">
      <c r="A28" s="61" t="s">
        <v>37</v>
      </c>
      <c r="B28" s="75" t="s">
        <v>72</v>
      </c>
      <c r="C28" s="61" t="s">
        <v>56</v>
      </c>
      <c r="D28" s="49">
        <f t="shared" si="1"/>
        <v>40055.42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40055.42</f>
        <v>40055.42</v>
      </c>
      <c r="P28" s="62"/>
      <c r="Q28" s="62"/>
      <c r="R28" s="8">
        <f t="shared" si="2"/>
        <v>0.0002863146533238027</v>
      </c>
    </row>
    <row r="29" spans="1:19" ht="12.75">
      <c r="A29" s="61" t="s">
        <v>38</v>
      </c>
      <c r="B29" s="61" t="s">
        <v>88</v>
      </c>
      <c r="C29" s="61" t="s">
        <v>42</v>
      </c>
      <c r="D29" s="49">
        <f t="shared" si="1"/>
        <v>443657.47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>
        <f>204364.47+139293+100000</f>
        <v>443657.47</v>
      </c>
      <c r="Q29" s="63"/>
      <c r="R29" s="8">
        <f t="shared" si="2"/>
        <v>0.0031712471050750536</v>
      </c>
      <c r="S29" s="8">
        <f>SUM(R7:R29)</f>
        <v>0.18586202358827733</v>
      </c>
    </row>
    <row r="30" spans="1:19" ht="12.75">
      <c r="A30" s="61" t="s">
        <v>27</v>
      </c>
      <c r="B30" s="75" t="s">
        <v>109</v>
      </c>
      <c r="C30" s="61" t="s">
        <v>62</v>
      </c>
      <c r="D30" s="49">
        <f t="shared" si="1"/>
        <v>34327942.11</v>
      </c>
      <c r="E30" s="63">
        <f>34327942.11</f>
        <v>34327942.11</v>
      </c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/>
      <c r="Q30" s="63"/>
      <c r="R30" s="8">
        <f t="shared" si="2"/>
        <v>0.24537485425303787</v>
      </c>
      <c r="S30" s="8"/>
    </row>
    <row r="31" spans="1:18" ht="12.75">
      <c r="A31" s="2" t="s">
        <v>27</v>
      </c>
      <c r="B31" s="76" t="s">
        <v>113</v>
      </c>
      <c r="C31" t="s">
        <v>46</v>
      </c>
      <c r="D31" s="49">
        <f t="shared" si="1"/>
        <v>127742.29</v>
      </c>
      <c r="E31" s="49">
        <f>127742.29</f>
        <v>127742.29</v>
      </c>
      <c r="R31" s="8">
        <f t="shared" si="2"/>
        <v>0.0009130971408148677</v>
      </c>
    </row>
    <row r="32" spans="1:18" ht="12.75">
      <c r="A32" s="2" t="s">
        <v>27</v>
      </c>
      <c r="B32" s="76" t="s">
        <v>110</v>
      </c>
      <c r="C32" s="64" t="s">
        <v>48</v>
      </c>
      <c r="D32" s="49">
        <f t="shared" si="1"/>
        <v>3095741.8899999997</v>
      </c>
      <c r="E32" s="49">
        <f>1514104.02+1159886.16+421751.71</f>
        <v>3095741.8899999997</v>
      </c>
      <c r="R32" s="8">
        <f t="shared" si="2"/>
        <v>0.02212824796283059</v>
      </c>
    </row>
    <row r="33" spans="1:18" ht="12.75">
      <c r="A33" s="76" t="s">
        <v>27</v>
      </c>
      <c r="B33" s="76" t="s">
        <v>61</v>
      </c>
      <c r="C33" s="77" t="s">
        <v>74</v>
      </c>
      <c r="D33" s="49">
        <f t="shared" si="1"/>
        <v>3065116.13</v>
      </c>
      <c r="E33" s="49">
        <f>3065116.13</f>
        <v>3065116.13</v>
      </c>
      <c r="R33" s="8">
        <f t="shared" si="2"/>
        <v>0.021909336168691923</v>
      </c>
    </row>
    <row r="34" spans="1:18" ht="12.75">
      <c r="A34" s="2" t="s">
        <v>28</v>
      </c>
      <c r="B34" s="2" t="s">
        <v>61</v>
      </c>
      <c r="C34" s="64" t="s">
        <v>66</v>
      </c>
      <c r="D34" s="49">
        <f t="shared" si="1"/>
        <v>339732.76</v>
      </c>
      <c r="F34" s="49">
        <f>339732.76</f>
        <v>339732.76</v>
      </c>
      <c r="R34" s="8">
        <f t="shared" si="2"/>
        <v>0.0024283971408148677</v>
      </c>
    </row>
    <row r="35" spans="1:18" ht="12.75">
      <c r="A35" s="76" t="s">
        <v>28</v>
      </c>
      <c r="B35" s="76" t="s">
        <v>81</v>
      </c>
      <c r="C35" s="77" t="s">
        <v>107</v>
      </c>
      <c r="D35" s="49">
        <f t="shared" si="1"/>
        <v>334510.06</v>
      </c>
      <c r="F35" s="49">
        <f>334510.06</f>
        <v>334510.06</v>
      </c>
      <c r="R35" s="8">
        <f t="shared" si="2"/>
        <v>0.002391065475339528</v>
      </c>
    </row>
    <row r="36" spans="1:18" ht="12.75">
      <c r="A36" s="76" t="s">
        <v>31</v>
      </c>
      <c r="B36" s="76" t="s">
        <v>138</v>
      </c>
      <c r="C36" s="77" t="s">
        <v>139</v>
      </c>
      <c r="D36" s="49">
        <f t="shared" si="1"/>
        <v>200000</v>
      </c>
      <c r="I36" s="49">
        <f>200000</f>
        <v>200000</v>
      </c>
      <c r="R36" s="8">
        <f t="shared" si="2"/>
        <v>0.0014295925661186562</v>
      </c>
    </row>
    <row r="37" spans="1:18" ht="12.75">
      <c r="A37" s="2" t="s">
        <v>31</v>
      </c>
      <c r="B37" s="76" t="s">
        <v>140</v>
      </c>
      <c r="C37" t="s">
        <v>49</v>
      </c>
      <c r="D37" s="49">
        <f t="shared" si="1"/>
        <v>1496907.2999999998</v>
      </c>
      <c r="I37" s="49">
        <f>960734.22+535908.39+264.69</f>
        <v>1496907.2999999998</v>
      </c>
      <c r="R37" s="8">
        <f t="shared" si="2"/>
        <v>0.010699837741243744</v>
      </c>
    </row>
    <row r="38" spans="1:18" ht="12.75">
      <c r="A38" s="76" t="s">
        <v>31</v>
      </c>
      <c r="B38" s="76" t="s">
        <v>111</v>
      </c>
      <c r="C38" s="77" t="s">
        <v>82</v>
      </c>
      <c r="D38" s="49">
        <f t="shared" si="1"/>
        <v>95731.1</v>
      </c>
      <c r="I38" s="49">
        <f>95731.1</f>
        <v>95731.1</v>
      </c>
      <c r="R38" s="8">
        <f t="shared" si="2"/>
        <v>0.0006842823445318085</v>
      </c>
    </row>
    <row r="39" spans="1:18" ht="12.75">
      <c r="A39" s="76" t="s">
        <v>31</v>
      </c>
      <c r="B39" s="76" t="s">
        <v>141</v>
      </c>
      <c r="C39" s="77" t="s">
        <v>142</v>
      </c>
      <c r="D39" s="49">
        <f t="shared" si="1"/>
        <v>216284.15</v>
      </c>
      <c r="I39" s="49">
        <f>216284.15</f>
        <v>216284.15</v>
      </c>
      <c r="R39" s="8">
        <f t="shared" si="2"/>
        <v>0.0015459910650464617</v>
      </c>
    </row>
    <row r="40" spans="1:18" ht="12.75">
      <c r="A40" s="76" t="s">
        <v>31</v>
      </c>
      <c r="B40" s="76" t="s">
        <v>117</v>
      </c>
      <c r="C40" s="77" t="s">
        <v>83</v>
      </c>
      <c r="D40" s="49">
        <f t="shared" si="1"/>
        <v>101486.85</v>
      </c>
      <c r="I40" s="49">
        <f>101486.85</f>
        <v>101486.85</v>
      </c>
      <c r="R40" s="8">
        <f t="shared" si="2"/>
        <v>0.0007254242315939957</v>
      </c>
    </row>
    <row r="41" spans="1:18" ht="12.75">
      <c r="A41" s="2" t="s">
        <v>33</v>
      </c>
      <c r="B41" s="76" t="s">
        <v>112</v>
      </c>
      <c r="C41" t="s">
        <v>51</v>
      </c>
      <c r="D41" s="49">
        <f t="shared" si="1"/>
        <v>1244710.42</v>
      </c>
      <c r="K41" s="49">
        <f>1244710.42</f>
        <v>1244710.42</v>
      </c>
      <c r="R41" s="8">
        <f t="shared" si="2"/>
        <v>0.00889714381701215</v>
      </c>
    </row>
    <row r="42" spans="1:18" ht="12.75">
      <c r="A42" s="2" t="s">
        <v>36</v>
      </c>
      <c r="B42" s="76" t="s">
        <v>110</v>
      </c>
      <c r="C42" t="s">
        <v>52</v>
      </c>
      <c r="D42" s="49">
        <f t="shared" si="1"/>
        <v>270034.35</v>
      </c>
      <c r="N42" s="49">
        <f>84627.44+80960.67+104446.24</f>
        <v>270034.35</v>
      </c>
      <c r="R42" s="8">
        <f t="shared" si="2"/>
        <v>0.0019301954967834165</v>
      </c>
    </row>
    <row r="43" spans="1:18" ht="12.75">
      <c r="A43" s="2" t="s">
        <v>37</v>
      </c>
      <c r="B43" s="76" t="s">
        <v>73</v>
      </c>
      <c r="C43" t="s">
        <v>70</v>
      </c>
      <c r="D43" s="49">
        <f t="shared" si="1"/>
        <v>11949977.370000001</v>
      </c>
      <c r="O43" s="49">
        <f>11419340.14+530637.23</f>
        <v>11949977.370000001</v>
      </c>
      <c r="R43" s="8">
        <f t="shared" si="2"/>
        <v>0.08541799406719086</v>
      </c>
    </row>
    <row r="44" spans="1:18" ht="12.75">
      <c r="A44" s="2" t="s">
        <v>37</v>
      </c>
      <c r="B44" s="76" t="s">
        <v>113</v>
      </c>
      <c r="C44" t="s">
        <v>49</v>
      </c>
      <c r="D44" s="49">
        <f t="shared" si="1"/>
        <v>2995.57</v>
      </c>
      <c r="O44" s="49">
        <f>2995.57</f>
        <v>2995.57</v>
      </c>
      <c r="R44" s="8">
        <f t="shared" si="2"/>
        <v>2.1412223016440314E-05</v>
      </c>
    </row>
    <row r="45" spans="1:18" ht="12.75">
      <c r="A45" s="76" t="s">
        <v>37</v>
      </c>
      <c r="B45" s="76" t="s">
        <v>81</v>
      </c>
      <c r="C45" s="78" t="s">
        <v>108</v>
      </c>
      <c r="D45" s="49">
        <f t="shared" si="1"/>
        <v>1899978.71</v>
      </c>
      <c r="O45" s="49">
        <f>1899978.71</f>
        <v>1899978.71</v>
      </c>
      <c r="R45" s="8">
        <f t="shared" si="2"/>
        <v>0.01358097719799857</v>
      </c>
    </row>
    <row r="46" spans="1:18" ht="12.75">
      <c r="A46" s="2" t="s">
        <v>37</v>
      </c>
      <c r="B46" s="76" t="s">
        <v>47</v>
      </c>
      <c r="C46" t="s">
        <v>53</v>
      </c>
      <c r="D46" s="49">
        <f t="shared" si="1"/>
        <v>5874</v>
      </c>
      <c r="O46" s="49">
        <f>5874</f>
        <v>5874</v>
      </c>
      <c r="R46" s="8">
        <f t="shared" si="2"/>
        <v>4.1987133666904933E-05</v>
      </c>
    </row>
    <row r="47" spans="1:18" ht="12.75">
      <c r="A47" s="76" t="s">
        <v>37</v>
      </c>
      <c r="B47" s="76" t="s">
        <v>116</v>
      </c>
      <c r="C47" s="78" t="s">
        <v>115</v>
      </c>
      <c r="D47" s="49">
        <f t="shared" si="1"/>
        <v>8961243.33</v>
      </c>
      <c r="O47" s="49">
        <f>8949691.98+11551.35</f>
        <v>8961243.33</v>
      </c>
      <c r="R47" s="8">
        <f t="shared" si="2"/>
        <v>0.06405463423874196</v>
      </c>
    </row>
    <row r="48" spans="1:19" ht="12.75">
      <c r="A48" s="2" t="s">
        <v>37</v>
      </c>
      <c r="B48" s="2" t="s">
        <v>50</v>
      </c>
      <c r="C48" t="s">
        <v>54</v>
      </c>
      <c r="D48" s="49">
        <f t="shared" si="1"/>
        <v>200542.59</v>
      </c>
      <c r="O48" s="49">
        <f>200542.59</f>
        <v>200542.59</v>
      </c>
      <c r="R48" s="8">
        <f t="shared" si="2"/>
        <v>0.0014334709792709077</v>
      </c>
      <c r="S48" s="8">
        <f>SUM(R30:R48)</f>
        <v>0.4856079412437455</v>
      </c>
    </row>
    <row r="49" spans="1:19" ht="12.75">
      <c r="A49" s="2"/>
      <c r="B49" s="2"/>
      <c r="C49" s="78" t="s">
        <v>100</v>
      </c>
      <c r="D49" s="49">
        <f>SUM(E49:Q49)</f>
        <v>45961351.92</v>
      </c>
      <c r="Q49" s="49">
        <v>45961351.92</v>
      </c>
      <c r="R49" s="8">
        <f t="shared" si="2"/>
        <v>0.32853003516797713</v>
      </c>
      <c r="S49" s="8">
        <f>SUM(R30:R49)</f>
        <v>0.8141379764117227</v>
      </c>
    </row>
    <row r="50" spans="5:18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2:18" s="8" customFormat="1" ht="13.5" thickBot="1">
      <c r="B51" s="67"/>
      <c r="C51" s="68" t="s">
        <v>55</v>
      </c>
      <c r="D51" s="69">
        <f>SUM(E51:Q51)</f>
        <v>1</v>
      </c>
      <c r="E51" s="70">
        <f>E5/D5</f>
        <v>0.2941696800571837</v>
      </c>
      <c r="F51" s="70">
        <f>F5/D5</f>
        <v>0.0178807047891351</v>
      </c>
      <c r="G51" s="70">
        <f>G5/D5</f>
        <v>0.0019723209435310936</v>
      </c>
      <c r="H51" s="70">
        <f>H5/D5</f>
        <v>0.0002496300929235168</v>
      </c>
      <c r="I51" s="70">
        <f>I5/D5</f>
        <v>0.03522632065761258</v>
      </c>
      <c r="J51" s="70">
        <f>J5/D5</f>
        <v>0.002575186204431737</v>
      </c>
      <c r="K51" s="70">
        <f>K5/D5</f>
        <v>0.01103352480343102</v>
      </c>
      <c r="L51" s="70">
        <f>L5/D5</f>
        <v>0.09031446025732666</v>
      </c>
      <c r="M51" s="70">
        <f>M5/D5</f>
        <v>0.0017409241601143673</v>
      </c>
      <c r="N51" s="70">
        <f>N5/D5</f>
        <v>0.009817515010721945</v>
      </c>
      <c r="O51" s="70">
        <f>O5/D5</f>
        <v>0.20331845075053612</v>
      </c>
      <c r="P51" s="70">
        <f>P5/D5</f>
        <v>0.0031712471050750536</v>
      </c>
      <c r="Q51" s="70">
        <f>Q5/D5</f>
        <v>0.32853003516797713</v>
      </c>
      <c r="R51" s="70">
        <f>SUM(R6:R50)</f>
        <v>1</v>
      </c>
    </row>
    <row r="52" spans="1:18" s="8" customFormat="1" ht="13.5" thickTop="1">
      <c r="A52" s="71"/>
      <c r="C52" s="6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</sheetData>
  <sheetProtection/>
  <printOptions/>
  <pageMargins left="0" right="0" top="0.5" bottom="0.25" header="0.3" footer="0.05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4" ySplit="5" topLeftCell="R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3" sqref="T33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5.4218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139900000.00000003</v>
      </c>
      <c r="E5" s="57">
        <f aca="true" t="shared" si="0" ref="E5:Q5">SUM(E6:E51)</f>
        <v>44854018.11</v>
      </c>
      <c r="F5" s="57">
        <f t="shared" si="0"/>
        <v>2847972.69</v>
      </c>
      <c r="G5" s="57">
        <f t="shared" si="0"/>
        <v>275927.7</v>
      </c>
      <c r="H5" s="57">
        <f t="shared" si="0"/>
        <v>49116.75</v>
      </c>
      <c r="I5" s="57">
        <f t="shared" si="0"/>
        <v>16699556.860000001</v>
      </c>
      <c r="J5" s="57">
        <f t="shared" si="0"/>
        <v>435541.9</v>
      </c>
      <c r="K5" s="57">
        <f t="shared" si="0"/>
        <v>2123745.09</v>
      </c>
      <c r="L5" s="57">
        <f t="shared" si="0"/>
        <v>19743520.480000004</v>
      </c>
      <c r="M5" s="57">
        <f t="shared" si="0"/>
        <v>439885.41</v>
      </c>
      <c r="N5" s="57">
        <f t="shared" si="0"/>
        <v>1649451.48</v>
      </c>
      <c r="O5" s="57">
        <f t="shared" si="0"/>
        <v>47636615.13000001</v>
      </c>
      <c r="P5" s="57">
        <f t="shared" si="0"/>
        <v>500156.74</v>
      </c>
      <c r="Q5" s="57">
        <f t="shared" si="0"/>
        <v>2644491.66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9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50">D7/$D$5</f>
        <v>0.0030611320228734803</v>
      </c>
    </row>
    <row r="8" spans="1:18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0.0002763263759828448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0.0006880503931379555</v>
      </c>
    </row>
    <row r="10" spans="1:18" ht="12.75">
      <c r="A10" s="61" t="s">
        <v>28</v>
      </c>
      <c r="B10" s="61" t="s">
        <v>150</v>
      </c>
      <c r="C10" s="61" t="s">
        <v>42</v>
      </c>
      <c r="D10" s="49">
        <f t="shared" si="1"/>
        <v>1414456.22</v>
      </c>
      <c r="E10" s="63"/>
      <c r="F10" s="63">
        <f>43731.37+33887.58+60976.32+535492.87+324449.74+284811.39+128138.28+2968.67</f>
        <v>1414456.22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0.01011048048606147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727335.28</v>
      </c>
      <c r="E11" s="63"/>
      <c r="F11" s="63">
        <f>76878.36+108205.87+541676.16+574.89</f>
        <v>727335.28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0.005198965546819156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49116.75</v>
      </c>
      <c r="E13" s="63"/>
      <c r="F13" s="63"/>
      <c r="G13" s="62"/>
      <c r="H13" s="63">
        <f>8045+3291.25+37780.5</f>
        <v>49116.75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0.00035108470335954247</v>
      </c>
    </row>
    <row r="14" spans="1:18" ht="12.75">
      <c r="A14" s="61" t="s">
        <v>31</v>
      </c>
      <c r="B14" s="75" t="s">
        <v>147</v>
      </c>
      <c r="C14" s="61" t="s">
        <v>42</v>
      </c>
      <c r="D14" s="49">
        <f t="shared" si="1"/>
        <v>4208249.26</v>
      </c>
      <c r="E14" s="63"/>
      <c r="F14" s="63"/>
      <c r="G14" s="62"/>
      <c r="H14" s="63"/>
      <c r="I14" s="63">
        <f>1352000+1319734.01+1162738.9+333834.19+27678.28+10239.46+2024.42</f>
        <v>4208249.26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0.030080409292351673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378155.03</v>
      </c>
      <c r="E15" s="63"/>
      <c r="F15" s="63"/>
      <c r="G15" s="62"/>
      <c r="H15" s="63"/>
      <c r="I15" s="63">
        <f>378155.03</f>
        <v>378155.03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0.002703038098641887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2999299.59</v>
      </c>
      <c r="E16" s="63"/>
      <c r="F16" s="63"/>
      <c r="G16" s="62"/>
      <c r="H16" s="63"/>
      <c r="I16" s="63">
        <f>2999299.59</f>
        <v>2999299.59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0.021438881987133663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0.00017859185132237308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8493.73</v>
      </c>
      <c r="E18" s="63"/>
      <c r="F18" s="63"/>
      <c r="G18" s="62"/>
      <c r="H18" s="63"/>
      <c r="I18" s="62"/>
      <c r="J18" s="63">
        <f>4252.73+4241</f>
        <v>8493.73</v>
      </c>
      <c r="K18" s="62"/>
      <c r="L18" s="62"/>
      <c r="M18" s="62"/>
      <c r="N18" s="62"/>
      <c r="O18" s="62"/>
      <c r="P18" s="62"/>
      <c r="Q18" s="62"/>
      <c r="R18" s="8">
        <f t="shared" si="2"/>
        <v>6.071286633309505E-05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427048.17000000004</v>
      </c>
      <c r="E19" s="63"/>
      <c r="F19" s="63"/>
      <c r="G19" s="62"/>
      <c r="H19" s="63"/>
      <c r="I19" s="62"/>
      <c r="J19" s="63">
        <f>355252.9+71795.27</f>
        <v>427048.17000000004</v>
      </c>
      <c r="K19" s="62"/>
      <c r="L19" s="62"/>
      <c r="M19" s="62"/>
      <c r="N19" s="62"/>
      <c r="O19" s="62"/>
      <c r="P19" s="62"/>
      <c r="Q19" s="62"/>
      <c r="R19" s="8">
        <f t="shared" si="2"/>
        <v>0.0030525244460328804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828516.3200000001</v>
      </c>
      <c r="E20" s="63"/>
      <c r="F20" s="63"/>
      <c r="G20" s="62"/>
      <c r="H20" s="63"/>
      <c r="I20" s="62"/>
      <c r="J20" s="63"/>
      <c r="K20" s="63">
        <f>159185.59+9101+1432.44+61664+69619+384190.83+143323.46</f>
        <v>828516.3200000001</v>
      </c>
      <c r="L20" s="62"/>
      <c r="M20" s="62"/>
      <c r="N20" s="62"/>
      <c r="O20" s="62"/>
      <c r="P20" s="62"/>
      <c r="Q20" s="62"/>
      <c r="R20" s="8">
        <f t="shared" si="2"/>
        <v>0.005922203859899927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50518.35</v>
      </c>
      <c r="E21" s="63"/>
      <c r="F21" s="62"/>
      <c r="G21" s="62"/>
      <c r="H21" s="62"/>
      <c r="I21" s="62"/>
      <c r="J21" s="62"/>
      <c r="K21" s="63">
        <f>50518.35</f>
        <v>50518.35</v>
      </c>
      <c r="L21" s="62"/>
      <c r="M21" s="62"/>
      <c r="N21" s="62"/>
      <c r="O21" s="62"/>
      <c r="P21" s="62"/>
      <c r="Q21" s="62"/>
      <c r="R21" s="8">
        <f t="shared" si="2"/>
        <v>0.00036110328806290197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792025.23</v>
      </c>
      <c r="E22" s="63"/>
      <c r="F22" s="62"/>
      <c r="G22" s="62"/>
      <c r="H22" s="62"/>
      <c r="I22" s="62"/>
      <c r="J22" s="62"/>
      <c r="K22" s="63"/>
      <c r="L22" s="63">
        <f>202161.31+400342.82+169331.1+20190</f>
        <v>792025.23</v>
      </c>
      <c r="M22" s="62"/>
      <c r="N22" s="62"/>
      <c r="O22" s="62"/>
      <c r="P22" s="62"/>
      <c r="Q22" s="62"/>
      <c r="R22" s="8">
        <f t="shared" si="2"/>
        <v>0.005661366904932093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18568346.700000003</v>
      </c>
      <c r="E23" s="63"/>
      <c r="F23" s="62"/>
      <c r="G23" s="62"/>
      <c r="H23" s="62"/>
      <c r="I23" s="62"/>
      <c r="J23" s="62"/>
      <c r="K23" s="63"/>
      <c r="L23" s="63">
        <f>9138619.96+9429726.74</f>
        <v>18568346.700000003</v>
      </c>
      <c r="M23" s="62"/>
      <c r="N23" s="62"/>
      <c r="O23" s="62"/>
      <c r="P23" s="62"/>
      <c r="Q23" s="62"/>
      <c r="R23" s="8">
        <f t="shared" si="2"/>
        <v>0.1327258520371694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0.0027387315939957106</v>
      </c>
    </row>
    <row r="25" spans="1:18" ht="12.75">
      <c r="A25" s="61" t="s">
        <v>35</v>
      </c>
      <c r="B25" s="75" t="s">
        <v>147</v>
      </c>
      <c r="C25" s="61" t="s">
        <v>42</v>
      </c>
      <c r="D25" s="49">
        <f t="shared" si="1"/>
        <v>360222.93</v>
      </c>
      <c r="E25" s="63"/>
      <c r="F25" s="62"/>
      <c r="G25" s="62"/>
      <c r="H25" s="62"/>
      <c r="I25" s="62"/>
      <c r="J25" s="62"/>
      <c r="K25" s="63"/>
      <c r="L25" s="63"/>
      <c r="M25" s="63">
        <f>6781.16+111229.13+38529.4+203683.24</f>
        <v>360222.93</v>
      </c>
      <c r="N25" s="62"/>
      <c r="O25" s="62"/>
      <c r="P25" s="62"/>
      <c r="Q25" s="62"/>
      <c r="R25" s="8">
        <f t="shared" si="2"/>
        <v>0.002574860114367405</v>
      </c>
    </row>
    <row r="26" spans="1:18" ht="12.75">
      <c r="A26" s="61" t="s">
        <v>35</v>
      </c>
      <c r="B26" s="75" t="s">
        <v>41</v>
      </c>
      <c r="C26" s="61" t="s">
        <v>44</v>
      </c>
      <c r="D26" s="49">
        <f t="shared" si="1"/>
        <v>79662.48</v>
      </c>
      <c r="E26" s="63"/>
      <c r="F26" s="62"/>
      <c r="G26" s="62"/>
      <c r="H26" s="62"/>
      <c r="I26" s="62"/>
      <c r="J26" s="62"/>
      <c r="K26" s="63"/>
      <c r="L26" s="63"/>
      <c r="M26" s="63">
        <f>79662.48</f>
        <v>79662.48</v>
      </c>
      <c r="N26" s="62"/>
      <c r="O26" s="62"/>
      <c r="P26" s="62"/>
      <c r="Q26" s="62"/>
      <c r="R26" s="8">
        <f t="shared" si="2"/>
        <v>0.0005694244460328805</v>
      </c>
    </row>
    <row r="27" spans="1:18" ht="12.75">
      <c r="A27" s="61" t="s">
        <v>36</v>
      </c>
      <c r="B27" s="61" t="s">
        <v>148</v>
      </c>
      <c r="C27" s="61" t="s">
        <v>42</v>
      </c>
      <c r="D27" s="49">
        <f t="shared" si="1"/>
        <v>1359888.5</v>
      </c>
      <c r="E27" s="63"/>
      <c r="F27" s="62"/>
      <c r="G27" s="62"/>
      <c r="H27" s="62"/>
      <c r="I27" s="62"/>
      <c r="J27" s="62"/>
      <c r="K27" s="63"/>
      <c r="L27" s="63"/>
      <c r="M27" s="63"/>
      <c r="N27" s="63">
        <f>106075+440728.47+422889+390196.03</f>
        <v>1359888.5</v>
      </c>
      <c r="O27" s="62"/>
      <c r="P27" s="62"/>
      <c r="Q27" s="62"/>
      <c r="R27" s="8">
        <f t="shared" si="2"/>
        <v>0.009720432451751249</v>
      </c>
    </row>
    <row r="28" spans="1:18" ht="12.75">
      <c r="A28" s="61" t="s">
        <v>37</v>
      </c>
      <c r="B28" s="61" t="s">
        <v>133</v>
      </c>
      <c r="C28" s="61" t="s">
        <v>42</v>
      </c>
      <c r="D28" s="49">
        <f t="shared" si="1"/>
        <v>5737555.83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84859.81+1316998.43+1577326.79+1548496.5+650035.62+465269.68+94569</f>
        <v>5737555.83</v>
      </c>
      <c r="P28" s="62"/>
      <c r="Q28" s="62"/>
      <c r="R28" s="8">
        <f t="shared" si="2"/>
        <v>0.04101183581129377</v>
      </c>
    </row>
    <row r="29" spans="1:18" ht="12.75">
      <c r="A29" s="61" t="s">
        <v>37</v>
      </c>
      <c r="B29" s="75" t="s">
        <v>72</v>
      </c>
      <c r="C29" s="61" t="s">
        <v>56</v>
      </c>
      <c r="D29" s="49">
        <f t="shared" si="1"/>
        <v>40055.42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40055.42</f>
        <v>40055.42</v>
      </c>
      <c r="P29" s="62"/>
      <c r="Q29" s="62"/>
      <c r="R29" s="8">
        <f t="shared" si="2"/>
        <v>0.00028631465332380263</v>
      </c>
    </row>
    <row r="30" spans="1:19" ht="12.75">
      <c r="A30" s="61" t="s">
        <v>38</v>
      </c>
      <c r="B30" s="61" t="s">
        <v>149</v>
      </c>
      <c r="C30" s="61" t="s">
        <v>42</v>
      </c>
      <c r="D30" s="49">
        <f t="shared" si="1"/>
        <v>500156.74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>
        <f>229068.02+171088.72+100000</f>
        <v>500156.74</v>
      </c>
      <c r="Q30" s="63"/>
      <c r="R30" s="8">
        <f t="shared" si="2"/>
        <v>0.0035751017869907068</v>
      </c>
      <c r="S30" s="8">
        <f>SUM(R7:R30)</f>
        <v>0.28431974596140097</v>
      </c>
    </row>
    <row r="31" spans="1:19" ht="12.75">
      <c r="A31" s="61" t="s">
        <v>27</v>
      </c>
      <c r="B31" s="75" t="s">
        <v>109</v>
      </c>
      <c r="C31" s="61" t="s">
        <v>62</v>
      </c>
      <c r="D31" s="49">
        <f t="shared" si="1"/>
        <v>35967613.91</v>
      </c>
      <c r="E31" s="63">
        <f>35967613.91</f>
        <v>35967613.91</v>
      </c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/>
      <c r="Q31" s="63"/>
      <c r="R31" s="8">
        <f t="shared" si="2"/>
        <v>0.25709516733380977</v>
      </c>
      <c r="S31" s="8"/>
    </row>
    <row r="32" spans="1:18" ht="12.75">
      <c r="A32" s="2" t="s">
        <v>27</v>
      </c>
      <c r="B32" s="76" t="s">
        <v>113</v>
      </c>
      <c r="C32" t="s">
        <v>46</v>
      </c>
      <c r="D32" s="49">
        <f t="shared" si="1"/>
        <v>800310.14</v>
      </c>
      <c r="E32" s="49">
        <f>800310.14</f>
        <v>800310.14</v>
      </c>
      <c r="R32" s="8">
        <f t="shared" si="2"/>
        <v>0.005720587133666904</v>
      </c>
    </row>
    <row r="33" spans="1:18" ht="12.75">
      <c r="A33" s="2" t="s">
        <v>27</v>
      </c>
      <c r="B33" s="76" t="s">
        <v>110</v>
      </c>
      <c r="C33" s="64" t="s">
        <v>48</v>
      </c>
      <c r="D33" s="49">
        <f t="shared" si="1"/>
        <v>4457809.25</v>
      </c>
      <c r="E33" s="49">
        <f>2876171.38+1159886.16+421751.71</f>
        <v>4457809.25</v>
      </c>
      <c r="R33" s="8">
        <f t="shared" si="2"/>
        <v>0.031864254824874906</v>
      </c>
    </row>
    <row r="34" spans="1:18" ht="12.75">
      <c r="A34" s="76" t="s">
        <v>27</v>
      </c>
      <c r="B34" s="76" t="s">
        <v>61</v>
      </c>
      <c r="C34" s="77" t="s">
        <v>74</v>
      </c>
      <c r="D34" s="49">
        <f t="shared" si="1"/>
        <v>3065116.13</v>
      </c>
      <c r="E34" s="49">
        <f>3065116.13</f>
        <v>3065116.13</v>
      </c>
      <c r="R34" s="8">
        <f t="shared" si="2"/>
        <v>0.021909336168691916</v>
      </c>
    </row>
    <row r="35" spans="1:18" ht="12.75">
      <c r="A35" s="2" t="s">
        <v>28</v>
      </c>
      <c r="B35" s="2" t="s">
        <v>61</v>
      </c>
      <c r="C35" s="64" t="s">
        <v>66</v>
      </c>
      <c r="D35" s="49">
        <f t="shared" si="1"/>
        <v>339732.76</v>
      </c>
      <c r="F35" s="49">
        <f>339732.76</f>
        <v>339732.76</v>
      </c>
      <c r="R35" s="8">
        <f t="shared" si="2"/>
        <v>0.0024283971408148673</v>
      </c>
    </row>
    <row r="36" spans="1:18" ht="12.75">
      <c r="A36" s="76" t="s">
        <v>28</v>
      </c>
      <c r="B36" s="76" t="s">
        <v>81</v>
      </c>
      <c r="C36" s="77" t="s">
        <v>107</v>
      </c>
      <c r="D36" s="49">
        <f t="shared" si="1"/>
        <v>366448.43</v>
      </c>
      <c r="F36" s="49">
        <f>366448.43</f>
        <v>366448.43</v>
      </c>
      <c r="R36" s="8">
        <f t="shared" si="2"/>
        <v>0.0026193597569692632</v>
      </c>
    </row>
    <row r="37" spans="1:18" ht="12.75">
      <c r="A37" s="76" t="s">
        <v>31</v>
      </c>
      <c r="B37" s="76" t="s">
        <v>138</v>
      </c>
      <c r="C37" s="77" t="s">
        <v>139</v>
      </c>
      <c r="D37" s="49">
        <f t="shared" si="1"/>
        <v>200000</v>
      </c>
      <c r="I37" s="49">
        <f>200000</f>
        <v>200000</v>
      </c>
      <c r="R37" s="8">
        <f t="shared" si="2"/>
        <v>0.0014295925661186558</v>
      </c>
    </row>
    <row r="38" spans="1:18" ht="12.75">
      <c r="A38" s="2" t="s">
        <v>31</v>
      </c>
      <c r="B38" s="76" t="s">
        <v>140</v>
      </c>
      <c r="C38" t="s">
        <v>49</v>
      </c>
      <c r="D38" s="49">
        <f t="shared" si="1"/>
        <v>8470179.4</v>
      </c>
      <c r="I38" s="49">
        <f>7934006.32+535908.39+264.69</f>
        <v>8470179.4</v>
      </c>
      <c r="R38" s="8">
        <f t="shared" si="2"/>
        <v>0.06054452751965689</v>
      </c>
    </row>
    <row r="39" spans="1:18" ht="12.75">
      <c r="A39" s="76" t="s">
        <v>31</v>
      </c>
      <c r="B39" s="76" t="s">
        <v>111</v>
      </c>
      <c r="C39" s="77" t="s">
        <v>82</v>
      </c>
      <c r="D39" s="49">
        <f t="shared" si="1"/>
        <v>100917.58</v>
      </c>
      <c r="I39" s="49">
        <f>100917.58</f>
        <v>100917.58</v>
      </c>
      <c r="R39" s="8">
        <f t="shared" si="2"/>
        <v>0.0007213551107934237</v>
      </c>
    </row>
    <row r="40" spans="1:18" ht="12.75">
      <c r="A40" s="76" t="s">
        <v>31</v>
      </c>
      <c r="B40" s="76" t="s">
        <v>141</v>
      </c>
      <c r="C40" s="77" t="s">
        <v>142</v>
      </c>
      <c r="D40" s="49">
        <f t="shared" si="1"/>
        <v>216284.15</v>
      </c>
      <c r="I40" s="49">
        <f>216284.15</f>
        <v>216284.15</v>
      </c>
      <c r="R40" s="8">
        <f t="shared" si="2"/>
        <v>0.0015459910650464613</v>
      </c>
    </row>
    <row r="41" spans="1:18" ht="12.75">
      <c r="A41" s="76" t="s">
        <v>31</v>
      </c>
      <c r="B41" s="76" t="s">
        <v>117</v>
      </c>
      <c r="C41" s="77" t="s">
        <v>83</v>
      </c>
      <c r="D41" s="49">
        <f t="shared" si="1"/>
        <v>101486.85</v>
      </c>
      <c r="I41" s="49">
        <f>101486.85</f>
        <v>101486.85</v>
      </c>
      <c r="R41" s="8">
        <f t="shared" si="2"/>
        <v>0.0007254242315939956</v>
      </c>
    </row>
    <row r="42" spans="1:18" ht="12.75">
      <c r="A42" s="2" t="s">
        <v>33</v>
      </c>
      <c r="B42" s="76" t="s">
        <v>112</v>
      </c>
      <c r="C42" t="s">
        <v>51</v>
      </c>
      <c r="D42" s="49">
        <f t="shared" si="1"/>
        <v>1244710.42</v>
      </c>
      <c r="K42" s="49">
        <f>1244710.42</f>
        <v>1244710.42</v>
      </c>
      <c r="R42" s="8">
        <f t="shared" si="2"/>
        <v>0.008897143817012149</v>
      </c>
    </row>
    <row r="43" spans="1:18" ht="12.75">
      <c r="A43" s="2" t="s">
        <v>36</v>
      </c>
      <c r="B43" s="76" t="s">
        <v>110</v>
      </c>
      <c r="C43" t="s">
        <v>52</v>
      </c>
      <c r="D43" s="49">
        <f t="shared" si="1"/>
        <v>289562.98</v>
      </c>
      <c r="N43" s="49">
        <f>84627.44+85961.3+118974.24</f>
        <v>289562.98</v>
      </c>
      <c r="R43" s="8">
        <f t="shared" si="2"/>
        <v>0.002069785418155825</v>
      </c>
    </row>
    <row r="44" spans="1:18" ht="12.75">
      <c r="A44" s="2" t="s">
        <v>37</v>
      </c>
      <c r="B44" s="76" t="s">
        <v>73</v>
      </c>
      <c r="C44" t="s">
        <v>70</v>
      </c>
      <c r="D44" s="49">
        <f t="shared" si="1"/>
        <v>12572443.63</v>
      </c>
      <c r="O44" s="49">
        <f>12041806.4+530637.23</f>
        <v>12572443.63</v>
      </c>
      <c r="R44" s="8">
        <f t="shared" si="2"/>
        <v>0.08986735975696925</v>
      </c>
    </row>
    <row r="45" spans="1:18" ht="12.75">
      <c r="A45" s="2" t="s">
        <v>37</v>
      </c>
      <c r="B45" s="76" t="s">
        <v>113</v>
      </c>
      <c r="C45" t="s">
        <v>49</v>
      </c>
      <c r="D45" s="49">
        <f t="shared" si="1"/>
        <v>2995.57</v>
      </c>
      <c r="O45" s="49">
        <f>2995.57</f>
        <v>2995.57</v>
      </c>
      <c r="R45" s="8">
        <f t="shared" si="2"/>
        <v>2.141222301644031E-05</v>
      </c>
    </row>
    <row r="46" spans="1:18" ht="12.75">
      <c r="A46" s="76" t="s">
        <v>37</v>
      </c>
      <c r="B46" s="76" t="s">
        <v>152</v>
      </c>
      <c r="C46" s="78" t="s">
        <v>108</v>
      </c>
      <c r="D46" s="49">
        <f t="shared" si="1"/>
        <v>2995023.73</v>
      </c>
      <c r="O46" s="49">
        <f>153659.93+2841363.8</f>
        <v>2995023.73</v>
      </c>
      <c r="R46" s="8">
        <f t="shared" si="2"/>
        <v>0.021408318298784843</v>
      </c>
    </row>
    <row r="47" spans="1:18" ht="12.75">
      <c r="A47" s="2" t="s">
        <v>37</v>
      </c>
      <c r="B47" s="76" t="s">
        <v>47</v>
      </c>
      <c r="C47" t="s">
        <v>53</v>
      </c>
      <c r="D47" s="49">
        <f t="shared" si="1"/>
        <v>5874</v>
      </c>
      <c r="O47" s="49">
        <f>5874</f>
        <v>5874</v>
      </c>
      <c r="R47" s="8">
        <f t="shared" si="2"/>
        <v>4.198713366690492E-05</v>
      </c>
    </row>
    <row r="48" spans="1:18" ht="12.75">
      <c r="A48" s="76" t="s">
        <v>37</v>
      </c>
      <c r="B48" s="76" t="s">
        <v>116</v>
      </c>
      <c r="C48" s="78" t="s">
        <v>115</v>
      </c>
      <c r="D48" s="49">
        <f t="shared" si="1"/>
        <v>26082124.360000003</v>
      </c>
      <c r="O48" s="49">
        <f>26069875.51+12248.85</f>
        <v>26082124.360000003</v>
      </c>
      <c r="R48" s="8">
        <f t="shared" si="2"/>
        <v>0.18643405546819156</v>
      </c>
    </row>
    <row r="49" spans="1:19" ht="12.75">
      <c r="A49" s="2" t="s">
        <v>37</v>
      </c>
      <c r="B49" s="2" t="s">
        <v>50</v>
      </c>
      <c r="C49" t="s">
        <v>54</v>
      </c>
      <c r="D49" s="49">
        <f t="shared" si="1"/>
        <v>200542.59</v>
      </c>
      <c r="O49" s="49">
        <f>200542.59</f>
        <v>200542.59</v>
      </c>
      <c r="R49" s="8">
        <f t="shared" si="2"/>
        <v>0.0014334709792709075</v>
      </c>
      <c r="S49" s="8">
        <f>SUM(R31:R49)</f>
        <v>0.696777525947105</v>
      </c>
    </row>
    <row r="50" spans="1:19" ht="12.75">
      <c r="A50" s="2"/>
      <c r="B50" s="2"/>
      <c r="C50" s="78" t="s">
        <v>100</v>
      </c>
      <c r="D50" s="49">
        <f>SUM(E50:Q50)</f>
        <v>2644491.66</v>
      </c>
      <c r="Q50" s="49">
        <f>516825.25+2127666.41</f>
        <v>2644491.66</v>
      </c>
      <c r="R50" s="8">
        <f t="shared" si="2"/>
        <v>0.01890272809149392</v>
      </c>
      <c r="S50" s="8">
        <f>SUM(R31:R50)</f>
        <v>0.7156802540385989</v>
      </c>
    </row>
    <row r="51" spans="5:18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2:18" s="8" customFormat="1" ht="13.5" thickBot="1">
      <c r="B52" s="67"/>
      <c r="C52" s="68" t="s">
        <v>55</v>
      </c>
      <c r="D52" s="69">
        <f>SUM(E52:Q52)</f>
        <v>1</v>
      </c>
      <c r="E52" s="70">
        <f>E5/D5</f>
        <v>0.3206148542530378</v>
      </c>
      <c r="F52" s="70">
        <f>F5/D5</f>
        <v>0.020357202930664755</v>
      </c>
      <c r="G52" s="70">
        <f>G5/D5</f>
        <v>0.001972320943531093</v>
      </c>
      <c r="H52" s="70">
        <f>H5/D5</f>
        <v>0.00035108470335954247</v>
      </c>
      <c r="I52" s="70">
        <f>I5/D5</f>
        <v>0.11936781172265902</v>
      </c>
      <c r="J52" s="70">
        <f>J5/D5</f>
        <v>0.003113237312365975</v>
      </c>
      <c r="K52" s="70">
        <f>K5/D5</f>
        <v>0.015180450964974978</v>
      </c>
      <c r="L52" s="70">
        <f>L5/D5</f>
        <v>0.14112595053609722</v>
      </c>
      <c r="M52" s="70">
        <f>M5/D5</f>
        <v>0.003144284560400285</v>
      </c>
      <c r="N52" s="70">
        <f>N5/D5</f>
        <v>0.011790217869907074</v>
      </c>
      <c r="O52" s="70">
        <f>O5/D5</f>
        <v>0.3405047543245175</v>
      </c>
      <c r="P52" s="70">
        <f>P5/D5</f>
        <v>0.0035751017869907068</v>
      </c>
      <c r="Q52" s="70">
        <f>Q5/D5</f>
        <v>0.01890272809149392</v>
      </c>
      <c r="R52" s="70">
        <f>SUM(R6:R51)</f>
        <v>0.9999999999999998</v>
      </c>
    </row>
    <row r="53" spans="1:18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="128" zoomScaleNormal="128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hidden="1" customWidth="1"/>
    <col min="5" max="5" width="15.28125" style="49" hidden="1" customWidth="1"/>
    <col min="6" max="6" width="14.140625" style="49" hidden="1" customWidth="1"/>
    <col min="7" max="7" width="11.7109375" style="49" hidden="1" customWidth="1"/>
    <col min="8" max="8" width="12.28125" style="49" hidden="1" customWidth="1"/>
    <col min="9" max="9" width="14.421875" style="49" hidden="1" customWidth="1"/>
    <col min="10" max="10" width="11.8515625" style="49" hidden="1" customWidth="1"/>
    <col min="11" max="11" width="14.421875" style="49" hidden="1" customWidth="1"/>
    <col min="12" max="12" width="15.421875" style="49" hidden="1" customWidth="1"/>
    <col min="13" max="13" width="12.7109375" style="49" hidden="1" customWidth="1"/>
    <col min="14" max="14" width="12.421875" style="49" hidden="1" customWidth="1"/>
    <col min="15" max="15" width="14.140625" style="49" hidden="1" customWidth="1"/>
    <col min="16" max="16" width="11.421875" style="49" hidden="1" customWidth="1"/>
    <col min="17" max="17" width="12.7109375" style="8" customWidth="1"/>
    <col min="18" max="18" width="13.00390625" style="0" customWidth="1"/>
  </cols>
  <sheetData>
    <row r="1" ht="12.75">
      <c r="A1" s="48" t="s">
        <v>86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23</v>
      </c>
    </row>
    <row r="4" spans="1:17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5" t="s">
        <v>39</v>
      </c>
    </row>
    <row r="5" spans="1:17" s="59" customFormat="1" ht="13.5" thickBot="1">
      <c r="A5" s="56"/>
      <c r="B5" s="56"/>
      <c r="C5" s="56" t="s">
        <v>40</v>
      </c>
      <c r="D5" s="57">
        <f>SUM(E5:P5)</f>
        <v>147006894.76000002</v>
      </c>
      <c r="E5" s="57">
        <f aca="true" t="shared" si="0" ref="E5:P5">SUM(E6:E55)</f>
        <v>45074139.629999995</v>
      </c>
      <c r="F5" s="57">
        <f t="shared" si="0"/>
        <v>4796343.399999999</v>
      </c>
      <c r="G5" s="57">
        <f t="shared" si="0"/>
        <v>548582.49</v>
      </c>
      <c r="H5" s="57">
        <f t="shared" si="0"/>
        <v>827125.53</v>
      </c>
      <c r="I5" s="57">
        <f t="shared" si="0"/>
        <v>19451435.36</v>
      </c>
      <c r="J5" s="57">
        <f t="shared" si="0"/>
        <v>481619.82</v>
      </c>
      <c r="K5" s="57">
        <f t="shared" si="0"/>
        <v>2691730.65</v>
      </c>
      <c r="L5" s="57">
        <f t="shared" si="0"/>
        <v>21139038.310000002</v>
      </c>
      <c r="M5" s="57">
        <f t="shared" si="0"/>
        <v>547634.31</v>
      </c>
      <c r="N5" s="57">
        <f t="shared" si="0"/>
        <v>1815107.8099999998</v>
      </c>
      <c r="O5" s="57">
        <f t="shared" si="0"/>
        <v>49039945.400000006</v>
      </c>
      <c r="P5" s="57">
        <f t="shared" si="0"/>
        <v>594192.05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27</v>
      </c>
      <c r="B7" s="75" t="s">
        <v>101</v>
      </c>
      <c r="C7" s="61" t="s">
        <v>42</v>
      </c>
      <c r="D7" s="49">
        <f aca="true" t="shared" si="1" ref="D7:D54">SUM(E7:P7)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4">D7/$D$5</f>
        <v>0.0029131447929646747</v>
      </c>
    </row>
    <row r="8" spans="1:17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0.0002629676659935728</v>
      </c>
    </row>
    <row r="9" spans="1:17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0.0006547873156367866</v>
      </c>
    </row>
    <row r="10" spans="1:17" ht="12.75">
      <c r="A10" s="61" t="s">
        <v>28</v>
      </c>
      <c r="B10" s="61" t="s">
        <v>150</v>
      </c>
      <c r="C10" s="61" t="s">
        <v>42</v>
      </c>
      <c r="D10" s="49">
        <f t="shared" si="1"/>
        <v>3285488.409999999</v>
      </c>
      <c r="E10" s="63"/>
      <c r="F10" s="63">
        <f>229661+248653.58+238254.32+1530284.28+467252.3+313263.98+255150.28+2968.67</f>
        <v>3285488.409999999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0.0223492130444889</v>
      </c>
    </row>
    <row r="11" spans="1:17" ht="12.75">
      <c r="A11" s="61" t="s">
        <v>28</v>
      </c>
      <c r="B11" s="75" t="s">
        <v>102</v>
      </c>
      <c r="C11" s="61" t="s">
        <v>44</v>
      </c>
      <c r="D11" s="49">
        <f t="shared" si="1"/>
        <v>747722.78</v>
      </c>
      <c r="E11" s="63"/>
      <c r="F11" s="63">
        <f>76878.36+108205.87+562063.66+574.89</f>
        <v>747722.78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0.005086310959909157</v>
      </c>
    </row>
    <row r="12" spans="1:17" ht="12.75">
      <c r="A12" s="61" t="s">
        <v>29</v>
      </c>
      <c r="B12" s="75" t="s">
        <v>160</v>
      </c>
      <c r="C12" s="61" t="s">
        <v>161</v>
      </c>
      <c r="D12" s="49">
        <f t="shared" si="1"/>
        <v>272654.79</v>
      </c>
      <c r="E12" s="63"/>
      <c r="F12" s="63"/>
      <c r="G12" s="63">
        <v>272654.79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0.0018547074982104054</v>
      </c>
    </row>
    <row r="13" spans="1:17" ht="12.75">
      <c r="A13" s="61" t="s">
        <v>78</v>
      </c>
      <c r="B13" s="75" t="s">
        <v>72</v>
      </c>
      <c r="C13" s="75" t="s">
        <v>44</v>
      </c>
      <c r="D13" s="49">
        <f t="shared" si="1"/>
        <v>275927.7</v>
      </c>
      <c r="E13" s="63"/>
      <c r="F13" s="63"/>
      <c r="G13" s="63">
        <v>275927.7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0.0018769711478531198</v>
      </c>
    </row>
    <row r="14" spans="1:17" ht="12.75">
      <c r="A14" s="61" t="s">
        <v>30</v>
      </c>
      <c r="B14" s="75" t="s">
        <v>158</v>
      </c>
      <c r="C14" s="61" t="s">
        <v>42</v>
      </c>
      <c r="D14" s="49">
        <f t="shared" si="1"/>
        <v>827125.53</v>
      </c>
      <c r="E14" s="63"/>
      <c r="F14" s="63"/>
      <c r="G14" s="62"/>
      <c r="H14" s="63">
        <f>552010.38+8045+3291.25+263778.9</f>
        <v>827125.53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0.005626440388053537</v>
      </c>
    </row>
    <row r="15" spans="1:17" ht="12.75">
      <c r="A15" s="61" t="s">
        <v>31</v>
      </c>
      <c r="B15" s="75" t="s">
        <v>154</v>
      </c>
      <c r="C15" s="61" t="s">
        <v>42</v>
      </c>
      <c r="D15" s="49">
        <f t="shared" si="1"/>
        <v>5061657.590000001</v>
      </c>
      <c r="E15" s="63"/>
      <c r="F15" s="63"/>
      <c r="G15" s="62"/>
      <c r="H15" s="63"/>
      <c r="I15" s="63">
        <f>853408.33+1352000+1319734.01+1162738.9+333834.19+27678.28+10239.46+2024.42</f>
        <v>5061657.590000001</v>
      </c>
      <c r="J15" s="62"/>
      <c r="K15" s="62"/>
      <c r="L15" s="62"/>
      <c r="M15" s="62"/>
      <c r="N15" s="62"/>
      <c r="O15" s="62"/>
      <c r="P15" s="62"/>
      <c r="Q15" s="8">
        <f t="shared" si="2"/>
        <v>0.03443142988812561</v>
      </c>
    </row>
    <row r="16" spans="1:17" ht="12.75">
      <c r="A16" s="61" t="s">
        <v>31</v>
      </c>
      <c r="B16" s="75" t="s">
        <v>90</v>
      </c>
      <c r="C16" s="61" t="s">
        <v>135</v>
      </c>
      <c r="D16" s="49">
        <f t="shared" si="1"/>
        <v>378155.03</v>
      </c>
      <c r="E16" s="63"/>
      <c r="F16" s="63"/>
      <c r="G16" s="62"/>
      <c r="H16" s="63"/>
      <c r="I16" s="63">
        <f>378155.03</f>
        <v>378155.03</v>
      </c>
      <c r="J16" s="62"/>
      <c r="K16" s="62"/>
      <c r="L16" s="62"/>
      <c r="M16" s="62"/>
      <c r="N16" s="62"/>
      <c r="O16" s="62"/>
      <c r="P16" s="62"/>
      <c r="Q16" s="8">
        <f t="shared" si="2"/>
        <v>0.0025723625454259613</v>
      </c>
    </row>
    <row r="17" spans="1:17" ht="12.75">
      <c r="A17" s="75" t="s">
        <v>31</v>
      </c>
      <c r="B17" s="75" t="s">
        <v>95</v>
      </c>
      <c r="C17" s="75" t="s">
        <v>96</v>
      </c>
      <c r="D17" s="49">
        <f t="shared" si="1"/>
        <v>3502647.59</v>
      </c>
      <c r="E17" s="63"/>
      <c r="F17" s="63"/>
      <c r="G17" s="62"/>
      <c r="H17" s="63"/>
      <c r="I17" s="63">
        <f>3502647.59</f>
        <v>3502647.59</v>
      </c>
      <c r="J17" s="62"/>
      <c r="K17" s="62"/>
      <c r="L17" s="62"/>
      <c r="M17" s="62"/>
      <c r="N17" s="62"/>
      <c r="O17" s="62"/>
      <c r="P17" s="62"/>
      <c r="Q17" s="8">
        <f t="shared" si="2"/>
        <v>0.023826417092329848</v>
      </c>
    </row>
    <row r="18" spans="1:17" ht="12.75">
      <c r="A18" s="75" t="s">
        <v>31</v>
      </c>
      <c r="B18" s="75" t="s">
        <v>95</v>
      </c>
      <c r="C18" s="75" t="s">
        <v>44</v>
      </c>
      <c r="D18" s="49">
        <f t="shared" si="1"/>
        <v>24985</v>
      </c>
      <c r="E18" s="63"/>
      <c r="F18" s="63"/>
      <c r="G18" s="62"/>
      <c r="H18" s="63"/>
      <c r="I18" s="63">
        <f>24985</f>
        <v>24985</v>
      </c>
      <c r="J18" s="62"/>
      <c r="K18" s="62"/>
      <c r="L18" s="62"/>
      <c r="M18" s="62"/>
      <c r="N18" s="62"/>
      <c r="O18" s="62"/>
      <c r="P18" s="62"/>
      <c r="Q18" s="8">
        <f t="shared" si="2"/>
        <v>0.00016995801483182078</v>
      </c>
    </row>
    <row r="19" spans="1:17" ht="12.75">
      <c r="A19" s="61" t="s">
        <v>32</v>
      </c>
      <c r="B19" s="75" t="s">
        <v>104</v>
      </c>
      <c r="C19" s="61" t="s">
        <v>42</v>
      </c>
      <c r="D19" s="49">
        <f t="shared" si="1"/>
        <v>8493.73</v>
      </c>
      <c r="E19" s="63"/>
      <c r="F19" s="63"/>
      <c r="G19" s="62"/>
      <c r="H19" s="63"/>
      <c r="I19" s="62"/>
      <c r="J19" s="63">
        <f>4252.73+4241</f>
        <v>8493.73</v>
      </c>
      <c r="K19" s="62"/>
      <c r="L19" s="62"/>
      <c r="M19" s="62"/>
      <c r="N19" s="62"/>
      <c r="O19" s="62"/>
      <c r="P19" s="62"/>
      <c r="Q19" s="8">
        <f t="shared" si="2"/>
        <v>5.7777766232438703E-05</v>
      </c>
    </row>
    <row r="20" spans="1:17" ht="12.75">
      <c r="A20" s="61" t="s">
        <v>32</v>
      </c>
      <c r="B20" s="75" t="s">
        <v>159</v>
      </c>
      <c r="C20" s="61" t="s">
        <v>44</v>
      </c>
      <c r="D20" s="49">
        <f t="shared" si="1"/>
        <v>473126.09</v>
      </c>
      <c r="E20" s="63"/>
      <c r="F20" s="63"/>
      <c r="G20" s="62"/>
      <c r="H20" s="63"/>
      <c r="I20" s="62"/>
      <c r="J20" s="63">
        <f>401330.82+71795.27</f>
        <v>473126.09</v>
      </c>
      <c r="K20" s="62"/>
      <c r="L20" s="62"/>
      <c r="M20" s="62"/>
      <c r="N20" s="62"/>
      <c r="O20" s="62"/>
      <c r="P20" s="62"/>
      <c r="Q20" s="8">
        <f t="shared" si="2"/>
        <v>0.003218393877187968</v>
      </c>
    </row>
    <row r="21" spans="1:17" ht="12.75">
      <c r="A21" s="61" t="s">
        <v>33</v>
      </c>
      <c r="B21" s="75" t="s">
        <v>155</v>
      </c>
      <c r="C21" s="61" t="s">
        <v>42</v>
      </c>
      <c r="D21" s="49">
        <f t="shared" si="1"/>
        <v>1377112.38</v>
      </c>
      <c r="E21" s="63"/>
      <c r="F21" s="63"/>
      <c r="G21" s="62"/>
      <c r="H21" s="63"/>
      <c r="I21" s="62"/>
      <c r="J21" s="63"/>
      <c r="K21" s="63">
        <f>182583.42+494268.28+9101+1432.44+61664+82343.07+388320.75+157399.42</f>
        <v>1377112.38</v>
      </c>
      <c r="L21" s="62"/>
      <c r="M21" s="62"/>
      <c r="N21" s="62"/>
      <c r="O21" s="62"/>
      <c r="P21" s="62"/>
      <c r="Q21" s="8">
        <f t="shared" si="2"/>
        <v>0.009367672055438222</v>
      </c>
    </row>
    <row r="22" spans="1:17" ht="12.75">
      <c r="A22" s="61" t="s">
        <v>33</v>
      </c>
      <c r="B22" s="61" t="s">
        <v>41</v>
      </c>
      <c r="C22" s="61" t="s">
        <v>45</v>
      </c>
      <c r="D22" s="49">
        <f t="shared" si="1"/>
        <v>69907.85</v>
      </c>
      <c r="E22" s="63"/>
      <c r="F22" s="62"/>
      <c r="G22" s="62"/>
      <c r="H22" s="62"/>
      <c r="I22" s="62"/>
      <c r="J22" s="62"/>
      <c r="K22" s="63">
        <f>69907.85</f>
        <v>69907.85</v>
      </c>
      <c r="L22" s="62"/>
      <c r="M22" s="62"/>
      <c r="N22" s="62"/>
      <c r="O22" s="62"/>
      <c r="P22" s="62"/>
      <c r="Q22" s="8">
        <f t="shared" si="2"/>
        <v>0.00047554130106706836</v>
      </c>
    </row>
    <row r="23" spans="1:17" ht="12.75">
      <c r="A23" s="61" t="s">
        <v>34</v>
      </c>
      <c r="B23" s="61" t="s">
        <v>132</v>
      </c>
      <c r="C23" s="61" t="s">
        <v>42</v>
      </c>
      <c r="D23" s="49">
        <f t="shared" si="1"/>
        <v>923357.93</v>
      </c>
      <c r="E23" s="63"/>
      <c r="F23" s="62"/>
      <c r="G23" s="62"/>
      <c r="H23" s="62"/>
      <c r="I23" s="62"/>
      <c r="J23" s="62"/>
      <c r="K23" s="63"/>
      <c r="L23" s="63">
        <f>333494.01+400342.82+169331.1+20190</f>
        <v>923357.93</v>
      </c>
      <c r="M23" s="62"/>
      <c r="N23" s="62"/>
      <c r="O23" s="62"/>
      <c r="P23" s="62"/>
      <c r="Q23" s="8">
        <f t="shared" si="2"/>
        <v>0.0062810518615977326</v>
      </c>
    </row>
    <row r="24" spans="1:17" ht="12.75">
      <c r="A24" s="61" t="s">
        <v>34</v>
      </c>
      <c r="B24" s="61" t="s">
        <v>134</v>
      </c>
      <c r="C24" s="61" t="s">
        <v>91</v>
      </c>
      <c r="D24" s="49">
        <f t="shared" si="1"/>
        <v>19829511.880000003</v>
      </c>
      <c r="E24" s="63"/>
      <c r="F24" s="62"/>
      <c r="G24" s="62"/>
      <c r="H24" s="62"/>
      <c r="I24" s="62"/>
      <c r="J24" s="62"/>
      <c r="K24" s="63"/>
      <c r="L24" s="63">
        <f>9969803.99+9859707.89</f>
        <v>19829511.880000003</v>
      </c>
      <c r="M24" s="62"/>
      <c r="N24" s="62"/>
      <c r="O24" s="62"/>
      <c r="P24" s="62"/>
      <c r="Q24" s="8">
        <f t="shared" si="2"/>
        <v>0.13488831195552559</v>
      </c>
    </row>
    <row r="25" spans="1:17" ht="12.75">
      <c r="A25" s="61" t="s">
        <v>34</v>
      </c>
      <c r="B25" s="75" t="s">
        <v>137</v>
      </c>
      <c r="C25" s="61" t="s">
        <v>44</v>
      </c>
      <c r="D25" s="49">
        <f t="shared" si="1"/>
        <v>386168.5</v>
      </c>
      <c r="E25" s="63"/>
      <c r="F25" s="62"/>
      <c r="G25" s="62"/>
      <c r="H25" s="62"/>
      <c r="I25" s="62"/>
      <c r="J25" s="62"/>
      <c r="K25" s="63"/>
      <c r="L25" s="63">
        <f>63198.5+250000+72970</f>
        <v>386168.5</v>
      </c>
      <c r="M25" s="62"/>
      <c r="N25" s="62"/>
      <c r="O25" s="62"/>
      <c r="P25" s="62"/>
      <c r="Q25" s="8">
        <f t="shared" si="2"/>
        <v>0.0026268733900573138</v>
      </c>
    </row>
    <row r="26" spans="1:17" ht="12.75">
      <c r="A26" s="61" t="s">
        <v>35</v>
      </c>
      <c r="B26" s="75" t="s">
        <v>147</v>
      </c>
      <c r="C26" s="61" t="s">
        <v>42</v>
      </c>
      <c r="D26" s="49">
        <f t="shared" si="1"/>
        <v>442169.67000000004</v>
      </c>
      <c r="E26" s="63"/>
      <c r="F26" s="62"/>
      <c r="G26" s="62"/>
      <c r="H26" s="62"/>
      <c r="I26" s="62"/>
      <c r="J26" s="62"/>
      <c r="K26" s="63"/>
      <c r="L26" s="63"/>
      <c r="M26" s="63">
        <f>34127.16+119529.13+38529.4+236648.98+13335</f>
        <v>442169.67000000004</v>
      </c>
      <c r="N26" s="62"/>
      <c r="O26" s="62"/>
      <c r="P26" s="62"/>
      <c r="Q26" s="8">
        <f t="shared" si="2"/>
        <v>0.003007815862799332</v>
      </c>
    </row>
    <row r="27" spans="1:17" ht="12.75">
      <c r="A27" s="61" t="s">
        <v>35</v>
      </c>
      <c r="B27" s="75" t="s">
        <v>41</v>
      </c>
      <c r="C27" s="61" t="s">
        <v>44</v>
      </c>
      <c r="D27" s="49">
        <f t="shared" si="1"/>
        <v>105464.64</v>
      </c>
      <c r="E27" s="63"/>
      <c r="F27" s="62"/>
      <c r="G27" s="62"/>
      <c r="H27" s="62"/>
      <c r="I27" s="62"/>
      <c r="J27" s="62"/>
      <c r="K27" s="63"/>
      <c r="L27" s="63"/>
      <c r="M27" s="63">
        <f>105464.64</f>
        <v>105464.64</v>
      </c>
      <c r="N27" s="62"/>
      <c r="O27" s="62"/>
      <c r="P27" s="62"/>
      <c r="Q27" s="8">
        <f t="shared" si="2"/>
        <v>0.0007174128817031275</v>
      </c>
    </row>
    <row r="28" spans="1:17" ht="12.75">
      <c r="A28" s="61" t="s">
        <v>36</v>
      </c>
      <c r="B28" s="61" t="s">
        <v>156</v>
      </c>
      <c r="C28" s="61" t="s">
        <v>42</v>
      </c>
      <c r="D28" s="49">
        <f t="shared" si="1"/>
        <v>1525544.8299999998</v>
      </c>
      <c r="E28" s="63"/>
      <c r="F28" s="62"/>
      <c r="G28" s="62"/>
      <c r="H28" s="62"/>
      <c r="I28" s="62"/>
      <c r="J28" s="62"/>
      <c r="K28" s="63"/>
      <c r="L28" s="63"/>
      <c r="M28" s="63"/>
      <c r="N28" s="63">
        <f>51450.65+201126.68+459882.47+422889+390196.03</f>
        <v>1525544.8299999998</v>
      </c>
      <c r="O28" s="62"/>
      <c r="P28" s="62"/>
      <c r="Q28" s="8">
        <f t="shared" si="2"/>
        <v>0.010377369255303082</v>
      </c>
    </row>
    <row r="29" spans="1:17" ht="12.75">
      <c r="A29" s="61" t="s">
        <v>37</v>
      </c>
      <c r="B29" s="61" t="s">
        <v>133</v>
      </c>
      <c r="C29" s="61" t="s">
        <v>42</v>
      </c>
      <c r="D29" s="49">
        <f t="shared" si="1"/>
        <v>5737555.83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84859.81+1316998.43+1577326.79+1548496.5+650035.62+465269.68+94569</f>
        <v>5737555.83</v>
      </c>
      <c r="P29" s="62"/>
      <c r="Q29" s="8">
        <f t="shared" si="2"/>
        <v>0.0390291614510122</v>
      </c>
    </row>
    <row r="30" spans="1:17" ht="12.75">
      <c r="A30" s="61" t="s">
        <v>37</v>
      </c>
      <c r="B30" s="75" t="s">
        <v>72</v>
      </c>
      <c r="C30" s="61" t="s">
        <v>56</v>
      </c>
      <c r="D30" s="49">
        <f t="shared" si="1"/>
        <v>40055.42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>
        <f>40055.42</f>
        <v>40055.42</v>
      </c>
      <c r="P30" s="62"/>
      <c r="Q30" s="8">
        <f t="shared" si="2"/>
        <v>0.0002724730705004927</v>
      </c>
    </row>
    <row r="31" spans="1:18" ht="12.75">
      <c r="A31" s="61" t="s">
        <v>38</v>
      </c>
      <c r="B31" s="61" t="s">
        <v>157</v>
      </c>
      <c r="C31" s="61" t="s">
        <v>42</v>
      </c>
      <c r="D31" s="49">
        <f t="shared" si="1"/>
        <v>594192.05</v>
      </c>
      <c r="E31" s="63"/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>
        <f>17749.93+290213.4+186228.72+100000</f>
        <v>594192.05</v>
      </c>
      <c r="Q31" s="8">
        <f t="shared" si="2"/>
        <v>0.00404193320979988</v>
      </c>
      <c r="R31" s="8">
        <f>SUM(Q7:Q31)</f>
        <v>0.31598649829204783</v>
      </c>
    </row>
    <row r="32" spans="1:18" ht="12.75">
      <c r="A32" s="61" t="s">
        <v>27</v>
      </c>
      <c r="B32" s="75" t="s">
        <v>109</v>
      </c>
      <c r="C32" s="61" t="s">
        <v>62</v>
      </c>
      <c r="D32" s="49">
        <f t="shared" si="1"/>
        <v>35967613.91</v>
      </c>
      <c r="E32" s="63">
        <f>35967613.91</f>
        <v>35967613.91</v>
      </c>
      <c r="F32" s="62"/>
      <c r="G32" s="62"/>
      <c r="H32" s="62"/>
      <c r="I32" s="62"/>
      <c r="J32" s="62"/>
      <c r="K32" s="63"/>
      <c r="L32" s="63"/>
      <c r="M32" s="63"/>
      <c r="N32" s="62"/>
      <c r="O32" s="63"/>
      <c r="P32" s="63"/>
      <c r="Q32" s="8">
        <f t="shared" si="2"/>
        <v>0.24466617003726168</v>
      </c>
      <c r="R32" s="8"/>
    </row>
    <row r="33" spans="1:17" ht="12.75">
      <c r="A33" s="2" t="s">
        <v>27</v>
      </c>
      <c r="B33" s="76" t="s">
        <v>113</v>
      </c>
      <c r="C33" t="s">
        <v>46</v>
      </c>
      <c r="D33" s="49">
        <f t="shared" si="1"/>
        <v>836889.99</v>
      </c>
      <c r="E33" s="49">
        <f>836889.99</f>
        <v>836889.99</v>
      </c>
      <c r="Q33" s="8">
        <f t="shared" si="2"/>
        <v>0.005692862170623268</v>
      </c>
    </row>
    <row r="34" spans="1:17" ht="12.75">
      <c r="A34" s="2" t="s">
        <v>27</v>
      </c>
      <c r="B34" s="76" t="s">
        <v>138</v>
      </c>
      <c r="C34" s="64" t="s">
        <v>48</v>
      </c>
      <c r="D34" s="49">
        <f t="shared" si="1"/>
        <v>111396.18</v>
      </c>
      <c r="E34" s="49">
        <v>111396.18</v>
      </c>
      <c r="Q34" s="8">
        <f t="shared" si="2"/>
        <v>0.0007577616014668072</v>
      </c>
    </row>
    <row r="35" spans="1:17" ht="12.75">
      <c r="A35" s="2" t="s">
        <v>27</v>
      </c>
      <c r="B35" s="76" t="s">
        <v>81</v>
      </c>
      <c r="C35" s="64" t="s">
        <v>48</v>
      </c>
      <c r="D35" s="49">
        <f t="shared" si="1"/>
        <v>2948316.87</v>
      </c>
      <c r="E35" s="49">
        <v>2948316.87</v>
      </c>
      <c r="Q35" s="8">
        <f t="shared" si="2"/>
        <v>0.02005563667481959</v>
      </c>
    </row>
    <row r="36" spans="1:17" ht="12.75">
      <c r="A36" s="2" t="s">
        <v>27</v>
      </c>
      <c r="B36" s="76" t="s">
        <v>109</v>
      </c>
      <c r="C36" s="64" t="s">
        <v>48</v>
      </c>
      <c r="D36" s="49">
        <f t="shared" si="1"/>
        <v>1159886.16</v>
      </c>
      <c r="E36" s="49">
        <f>1159886.16</f>
        <v>1159886.16</v>
      </c>
      <c r="Q36" s="8">
        <f t="shared" si="2"/>
        <v>0.007890011974564884</v>
      </c>
    </row>
    <row r="37" spans="1:17" ht="12.75">
      <c r="A37" s="2" t="s">
        <v>27</v>
      </c>
      <c r="B37" s="76" t="s">
        <v>61</v>
      </c>
      <c r="C37" s="64" t="s">
        <v>48</v>
      </c>
      <c r="D37" s="49">
        <f t="shared" si="1"/>
        <v>421751.71</v>
      </c>
      <c r="E37" s="49">
        <f>421751.71</f>
        <v>421751.71</v>
      </c>
      <c r="Q37" s="8">
        <f t="shared" si="2"/>
        <v>0.002868924690155124</v>
      </c>
    </row>
    <row r="38" spans="1:17" ht="12.75">
      <c r="A38" s="76" t="s">
        <v>27</v>
      </c>
      <c r="B38" s="76" t="s">
        <v>61</v>
      </c>
      <c r="C38" s="77" t="s">
        <v>74</v>
      </c>
      <c r="D38" s="49">
        <f t="shared" si="1"/>
        <v>3065116.13</v>
      </c>
      <c r="E38" s="49">
        <f>3065116.13</f>
        <v>3065116.13</v>
      </c>
      <c r="Q38" s="8">
        <f t="shared" si="2"/>
        <v>0.020850152198670927</v>
      </c>
    </row>
    <row r="39" spans="1:17" ht="12.75">
      <c r="A39" s="2" t="s">
        <v>28</v>
      </c>
      <c r="B39" s="2" t="s">
        <v>61</v>
      </c>
      <c r="C39" s="64" t="s">
        <v>66</v>
      </c>
      <c r="D39" s="49">
        <f t="shared" si="1"/>
        <v>339732.76</v>
      </c>
      <c r="F39" s="49">
        <f>339732.76</f>
        <v>339732.76</v>
      </c>
      <c r="Q39" s="8">
        <f t="shared" si="2"/>
        <v>0.0023109988178081015</v>
      </c>
    </row>
    <row r="40" spans="1:17" ht="12.75">
      <c r="A40" s="76" t="s">
        <v>28</v>
      </c>
      <c r="B40" s="76" t="s">
        <v>81</v>
      </c>
      <c r="C40" s="77" t="s">
        <v>107</v>
      </c>
      <c r="D40" s="49">
        <f t="shared" si="1"/>
        <v>423399.45</v>
      </c>
      <c r="F40" s="49">
        <f>423399.45</f>
        <v>423399.45</v>
      </c>
      <c r="Q40" s="8">
        <f t="shared" si="2"/>
        <v>0.0028801332800834404</v>
      </c>
    </row>
    <row r="41" spans="1:17" ht="12.75">
      <c r="A41" s="76" t="s">
        <v>31</v>
      </c>
      <c r="B41" s="76" t="s">
        <v>138</v>
      </c>
      <c r="C41" s="77" t="s">
        <v>139</v>
      </c>
      <c r="D41" s="49">
        <f t="shared" si="1"/>
        <v>200000</v>
      </c>
      <c r="I41" s="49">
        <f>200000</f>
        <v>200000</v>
      </c>
      <c r="Q41" s="8">
        <f t="shared" si="2"/>
        <v>0.0013604804068987056</v>
      </c>
    </row>
    <row r="42" spans="1:17" ht="12.75">
      <c r="A42" s="2" t="s">
        <v>31</v>
      </c>
      <c r="B42" s="76" t="s">
        <v>140</v>
      </c>
      <c r="C42" t="s">
        <v>49</v>
      </c>
      <c r="D42" s="49">
        <f t="shared" si="1"/>
        <v>9861925.07</v>
      </c>
      <c r="I42" s="49">
        <f>9325751.99+535908.39+264.69</f>
        <v>9861925.07</v>
      </c>
      <c r="Q42" s="8">
        <f t="shared" si="2"/>
        <v>0.06708477916019072</v>
      </c>
    </row>
    <row r="43" spans="1:17" ht="12.75">
      <c r="A43" s="76" t="s">
        <v>31</v>
      </c>
      <c r="B43" s="76" t="s">
        <v>111</v>
      </c>
      <c r="C43" s="77" t="s">
        <v>82</v>
      </c>
      <c r="D43" s="49">
        <f t="shared" si="1"/>
        <v>104294.08</v>
      </c>
      <c r="I43" s="49">
        <f>104294.08</f>
        <v>104294.08</v>
      </c>
      <c r="Q43" s="8">
        <f t="shared" si="2"/>
        <v>0.0007094502619776307</v>
      </c>
    </row>
    <row r="44" spans="1:17" ht="12.75">
      <c r="A44" s="76" t="s">
        <v>31</v>
      </c>
      <c r="B44" s="76" t="s">
        <v>141</v>
      </c>
      <c r="C44" s="77" t="s">
        <v>142</v>
      </c>
      <c r="D44" s="49">
        <f t="shared" si="1"/>
        <v>216284.15</v>
      </c>
      <c r="I44" s="49">
        <f>216284.15</f>
        <v>216284.15</v>
      </c>
      <c r="Q44" s="8">
        <f t="shared" si="2"/>
        <v>0.0014712517419887031</v>
      </c>
    </row>
    <row r="45" spans="1:17" ht="12.75">
      <c r="A45" s="76" t="s">
        <v>31</v>
      </c>
      <c r="B45" s="76" t="s">
        <v>117</v>
      </c>
      <c r="C45" s="77" t="s">
        <v>83</v>
      </c>
      <c r="D45" s="49">
        <f t="shared" si="1"/>
        <v>101486.85</v>
      </c>
      <c r="I45" s="49">
        <f>101486.85</f>
        <v>101486.85</v>
      </c>
      <c r="Q45" s="8">
        <f t="shared" si="2"/>
        <v>0.0006903543549143395</v>
      </c>
    </row>
    <row r="46" spans="1:17" ht="12.75">
      <c r="A46" s="2" t="s">
        <v>33</v>
      </c>
      <c r="B46" s="76" t="s">
        <v>112</v>
      </c>
      <c r="C46" t="s">
        <v>51</v>
      </c>
      <c r="D46" s="49">
        <f t="shared" si="1"/>
        <v>1244710.42</v>
      </c>
      <c r="K46" s="49">
        <f>1244710.42</f>
        <v>1244710.42</v>
      </c>
      <c r="Q46" s="8">
        <f t="shared" si="2"/>
        <v>0.008467020693363293</v>
      </c>
    </row>
    <row r="47" spans="1:17" ht="12.75">
      <c r="A47" s="2" t="s">
        <v>36</v>
      </c>
      <c r="B47" s="76" t="s">
        <v>110</v>
      </c>
      <c r="C47" t="s">
        <v>52</v>
      </c>
      <c r="D47" s="49">
        <f t="shared" si="1"/>
        <v>289562.98</v>
      </c>
      <c r="N47" s="49">
        <f>84627.44+85961.3+118974.24</f>
        <v>289562.98</v>
      </c>
      <c r="Q47" s="8">
        <f t="shared" si="2"/>
        <v>0.0019697238042660084</v>
      </c>
    </row>
    <row r="48" spans="1:17" ht="12.75">
      <c r="A48" s="2" t="s">
        <v>37</v>
      </c>
      <c r="B48" s="76" t="s">
        <v>73</v>
      </c>
      <c r="C48" t="s">
        <v>70</v>
      </c>
      <c r="D48" s="49">
        <f t="shared" si="1"/>
        <v>12572443.63</v>
      </c>
      <c r="O48" s="49">
        <f>12041806.4+530637.23</f>
        <v>12572443.63</v>
      </c>
      <c r="Q48" s="8">
        <f t="shared" si="2"/>
        <v>0.0855228161272672</v>
      </c>
    </row>
    <row r="49" spans="1:17" ht="12.75">
      <c r="A49" s="2" t="s">
        <v>37</v>
      </c>
      <c r="B49" s="76" t="s">
        <v>113</v>
      </c>
      <c r="C49" t="s">
        <v>49</v>
      </c>
      <c r="D49" s="49">
        <f t="shared" si="1"/>
        <v>2995.57</v>
      </c>
      <c r="O49" s="49">
        <f>2995.57</f>
        <v>2995.57</v>
      </c>
      <c r="Q49" s="8">
        <f t="shared" si="2"/>
        <v>2.0377071462467777E-05</v>
      </c>
    </row>
    <row r="50" spans="1:17" ht="12.75">
      <c r="A50" s="76" t="s">
        <v>37</v>
      </c>
      <c r="B50" s="76" t="s">
        <v>162</v>
      </c>
      <c r="C50" s="78" t="s">
        <v>163</v>
      </c>
      <c r="D50" s="49">
        <f t="shared" si="1"/>
        <v>21596</v>
      </c>
      <c r="O50" s="49">
        <f>21596</f>
        <v>21596</v>
      </c>
      <c r="Q50" s="8">
        <f t="shared" si="2"/>
        <v>0.00014690467433692221</v>
      </c>
    </row>
    <row r="51" spans="1:17" ht="12.75">
      <c r="A51" s="76" t="s">
        <v>37</v>
      </c>
      <c r="B51" s="76" t="s">
        <v>152</v>
      </c>
      <c r="C51" s="78" t="s">
        <v>108</v>
      </c>
      <c r="D51" s="49">
        <f t="shared" si="1"/>
        <v>2999150.8899999997</v>
      </c>
      <c r="O51" s="49">
        <f>157787.09+2841363.8</f>
        <v>2999150.8899999997</v>
      </c>
      <c r="Q51" s="8">
        <f t="shared" si="2"/>
        <v>0.02040143011588907</v>
      </c>
    </row>
    <row r="52" spans="1:17" ht="12.75">
      <c r="A52" s="2" t="s">
        <v>37</v>
      </c>
      <c r="B52" s="76" t="s">
        <v>47</v>
      </c>
      <c r="C52" t="s">
        <v>53</v>
      </c>
      <c r="D52" s="49">
        <f t="shared" si="1"/>
        <v>5874</v>
      </c>
      <c r="O52" s="49">
        <f>5874</f>
        <v>5874</v>
      </c>
      <c r="Q52" s="8">
        <f t="shared" si="2"/>
        <v>3.995730955061498E-05</v>
      </c>
    </row>
    <row r="53" spans="1:17" ht="12.75">
      <c r="A53" s="76" t="s">
        <v>37</v>
      </c>
      <c r="B53" s="76" t="s">
        <v>164</v>
      </c>
      <c r="C53" s="78" t="s">
        <v>115</v>
      </c>
      <c r="D53" s="49">
        <f t="shared" si="1"/>
        <v>27459731.470000003</v>
      </c>
      <c r="O53" s="49">
        <f>1377607.11+26069875.51+12248.85</f>
        <v>27459731.470000003</v>
      </c>
      <c r="Q53" s="8">
        <f t="shared" si="2"/>
        <v>0.18679213321817395</v>
      </c>
    </row>
    <row r="54" spans="1:18" ht="12.75">
      <c r="A54" s="2" t="s">
        <v>37</v>
      </c>
      <c r="B54" s="2" t="s">
        <v>50</v>
      </c>
      <c r="C54" t="s">
        <v>54</v>
      </c>
      <c r="D54" s="49">
        <f t="shared" si="1"/>
        <v>200542.59</v>
      </c>
      <c r="O54" s="49">
        <f>200542.59</f>
        <v>200542.59</v>
      </c>
      <c r="Q54" s="8">
        <f t="shared" si="2"/>
        <v>0.0013641713222186014</v>
      </c>
      <c r="R54" s="8">
        <f>SUM(Q32:Q54)</f>
        <v>0.684013501707952</v>
      </c>
    </row>
    <row r="55" spans="5:17" ht="12.75"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</row>
    <row r="56" spans="2:17" s="8" customFormat="1" ht="13.5" thickBot="1">
      <c r="B56" s="67"/>
      <c r="C56" s="68" t="s">
        <v>55</v>
      </c>
      <c r="D56" s="69">
        <f>SUM(E56:P56)</f>
        <v>0.9999999999999998</v>
      </c>
      <c r="E56" s="70">
        <f>E5/D5</f>
        <v>0.3066124191221573</v>
      </c>
      <c r="F56" s="70">
        <f>F5/D5</f>
        <v>0.0326266561022896</v>
      </c>
      <c r="G56" s="70">
        <f>G5/D5</f>
        <v>0.003731678646063525</v>
      </c>
      <c r="H56" s="70">
        <f>H5/D5</f>
        <v>0.005626440388053537</v>
      </c>
      <c r="I56" s="70">
        <f>I5/D5</f>
        <v>0.13231648346668334</v>
      </c>
      <c r="J56" s="70">
        <f>J5/D5</f>
        <v>0.0032761716434204064</v>
      </c>
      <c r="K56" s="70">
        <f>K5/D5</f>
        <v>0.018310234049868583</v>
      </c>
      <c r="L56" s="70">
        <f>L5/D5</f>
        <v>0.14379623720718063</v>
      </c>
      <c r="M56" s="70">
        <f>M5/D5</f>
        <v>0.0037252287445024594</v>
      </c>
      <c r="N56" s="70">
        <f>N5/D5</f>
        <v>0.01234709305956909</v>
      </c>
      <c r="O56" s="70">
        <f>O5/D5</f>
        <v>0.33358942436041156</v>
      </c>
      <c r="P56" s="70">
        <f>P5/D5</f>
        <v>0.00404193320979988</v>
      </c>
      <c r="Q56" s="70">
        <f>SUM(Q6:Q55)</f>
        <v>0.9999999999999996</v>
      </c>
    </row>
    <row r="57" spans="1:17" s="8" customFormat="1" ht="13.5" thickTop="1">
      <c r="A57" s="71"/>
      <c r="C57" s="6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</sheetData>
  <sheetProtection/>
  <printOptions/>
  <pageMargins left="0" right="0" top="0.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2019-02-14T16:42:35Z</cp:lastPrinted>
  <dcterms:created xsi:type="dcterms:W3CDTF">2011-02-21T16:49:07Z</dcterms:created>
  <dcterms:modified xsi:type="dcterms:W3CDTF">2019-02-14T16:42:59Z</dcterms:modified>
  <cp:category/>
  <cp:version/>
  <cp:contentType/>
  <cp:contentStatus/>
</cp:coreProperties>
</file>