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tabRatio="492" activeTab="0"/>
  </bookViews>
  <sheets>
    <sheet name="2009D" sheetId="1" r:id="rId1"/>
    <sheet name="2009D Academic" sheetId="2" r:id="rId2"/>
  </sheets>
  <definedNames/>
  <calcPr fullCalcOnLoad="1"/>
</workbook>
</file>

<file path=xl/sharedStrings.xml><?xml version="1.0" encoding="utf-8"?>
<sst xmlns="http://schemas.openxmlformats.org/spreadsheetml/2006/main" count="422" uniqueCount="60">
  <si>
    <t>Total</t>
  </si>
  <si>
    <t>Payment</t>
  </si>
  <si>
    <t xml:space="preserve">    USM Debt Service from Earnings (Auxiliary)</t>
  </si>
  <si>
    <t>Date</t>
  </si>
  <si>
    <t>Principal</t>
  </si>
  <si>
    <t>Interest</t>
  </si>
  <si>
    <t xml:space="preserve">    University System of Maryland</t>
  </si>
  <si>
    <t>2001Series B Bond Funded Projects</t>
  </si>
  <si>
    <t xml:space="preserve">           Total Auxiliary Projects - 2001B</t>
  </si>
  <si>
    <t>UMCP South Campus Parking Garage (Auxiliary)</t>
  </si>
  <si>
    <t>UMCP North Campus Parking Garage (Auxiliary)</t>
  </si>
  <si>
    <t xml:space="preserve">     UMB Saratoga Street Garage (Auxiliary)</t>
  </si>
  <si>
    <t xml:space="preserve">   UMES Murphy Hall Annex Renov (Auxiliary)</t>
  </si>
  <si>
    <t xml:space="preserve">       UMES New Residence Hall (Auxiliary)</t>
  </si>
  <si>
    <t xml:space="preserve">     UMES Student Service Center (Auxiliary)</t>
  </si>
  <si>
    <t xml:space="preserve">  UMBC Housing Central Utility Plant (Auxiliary)</t>
  </si>
  <si>
    <t xml:space="preserve">  UMBC University Commons Center (Auxiliary)</t>
  </si>
  <si>
    <t xml:space="preserve">          UMBC Parking Garage (Auxiliary)</t>
  </si>
  <si>
    <t xml:space="preserve">     UMB Donaldson Brown Center ( Auxiliary)</t>
  </si>
  <si>
    <t xml:space="preserve"> UMCP Health &amp; Human Performance (Auxiliary)</t>
  </si>
  <si>
    <t xml:space="preserve">  UMCP Stamp Student Union Renov (Auxiliary)</t>
  </si>
  <si>
    <t xml:space="preserve">            UMCP Health Center (Auxiliary)</t>
  </si>
  <si>
    <t xml:space="preserve">  UMCP Comcast Arena - 20th Resol (Auxiliary)</t>
  </si>
  <si>
    <t xml:space="preserve">     CEES Coastal Sciences Lab (Auxiliary)</t>
  </si>
  <si>
    <t xml:space="preserve">        CSC New Residence Hall (Auxiliary)</t>
  </si>
  <si>
    <t xml:space="preserve">   TU Prettyman/Scarborough HVAC (Auxiliary)</t>
  </si>
  <si>
    <t xml:space="preserve">   TU Bowling Conversion to Cuberca (Auxiliary)</t>
  </si>
  <si>
    <t xml:space="preserve">       TU Newell Dining Renovation (Auxiliary)</t>
  </si>
  <si>
    <t xml:space="preserve">        TU Interim Fitness Center (Auxiliary)</t>
  </si>
  <si>
    <t xml:space="preserve">        TU 7800 York Road Garage (Auxiliary)</t>
  </si>
  <si>
    <t xml:space="preserve">  TU Richmond Hall &amp; Newell Dining (Auxiliary)</t>
  </si>
  <si>
    <t>UMCP Hombake and McKeldin Librs(Academic)</t>
  </si>
  <si>
    <t>UMCP Key and Taliafferro Renovation (Academic)</t>
  </si>
  <si>
    <t>UMCP Steam Plant Improvement (Academic)</t>
  </si>
  <si>
    <t>UMB Howard Hall Phase IV: Renov (Academic)</t>
  </si>
  <si>
    <t>UMB Facilities Renewal (Academic)</t>
  </si>
  <si>
    <t>UMB School of Nursing Equipment (Academic)</t>
  </si>
  <si>
    <t>UMB School of Law: Marshall Libr (Academic)</t>
  </si>
  <si>
    <t>CEES Facilities Renewal (Academic)</t>
  </si>
  <si>
    <t>BSU Facilities Renewal (Academic)</t>
  </si>
  <si>
    <t>BSU Emergency-Misc Projects (Academic)</t>
  </si>
  <si>
    <t>CSC Facilities Renewal (Academic)</t>
  </si>
  <si>
    <t>CSC Emergency-Exter Light Poles (Academic)</t>
  </si>
  <si>
    <t>FSU Facilities Renewal (Academic)</t>
  </si>
  <si>
    <t>SU Facilities Renewal (Academic)</t>
  </si>
  <si>
    <t>SU Emergency-Misc Projects (Academic)</t>
  </si>
  <si>
    <t>TU Facilities Renewal (Academic)</t>
  </si>
  <si>
    <t>TU 7800 York Renovation (Academic)</t>
  </si>
  <si>
    <t>TU Emergency-Utility (Academic)</t>
  </si>
  <si>
    <t>UB Facilities Renewal (Academic)</t>
  </si>
  <si>
    <t xml:space="preserve">           Total Academic Projects - 2001B </t>
  </si>
  <si>
    <t xml:space="preserve">Amort of </t>
  </si>
  <si>
    <t>Premium</t>
  </si>
  <si>
    <t xml:space="preserve">           Distribution of Debt Services after 2009D Bond Issue</t>
  </si>
  <si>
    <t>2001 Series B after 2009D</t>
  </si>
  <si>
    <t>2001B Refinanced on 2009D</t>
  </si>
  <si>
    <t>Amort of</t>
  </si>
  <si>
    <t>Loss on Refunding</t>
  </si>
  <si>
    <t xml:space="preserve">           Total Academic Projects - 2001B Refinanced on 2009D</t>
  </si>
  <si>
    <t>USM (Paid off by UMUC) (Auxiliary)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</si>
</sst>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_(* #,##0.0_);_(* \(#,##0.0\);_(* &quot;-&quot;??_);_(@_)"/>
    <numFmt numFmtId="175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6" xfId="0" applyNumberFormat="1" applyBorder="1" applyAlignment="1">
      <alignment horizontal="center"/>
    </xf>
    <xf numFmtId="172" fontId="0" fillId="0" borderId="11" xfId="0" applyNumberFormat="1" applyBorder="1" applyAlignment="1" quotePrefix="1">
      <alignment horizontal="left"/>
    </xf>
    <xf numFmtId="172" fontId="0" fillId="0" borderId="13" xfId="0" applyNumberFormat="1" applyBorder="1" applyAlignment="1">
      <alignment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2" xfId="0" applyNumberFormat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38" fontId="0" fillId="0" borderId="11" xfId="0" applyNumberFormat="1" applyBorder="1" applyAlignment="1">
      <alignment horizontal="left"/>
    </xf>
    <xf numFmtId="38" fontId="0" fillId="0" borderId="11" xfId="0" applyNumberFormat="1" applyBorder="1" applyAlignment="1">
      <alignment horizontal="centerContinuous" vertical="center"/>
    </xf>
    <xf numFmtId="38" fontId="0" fillId="0" borderId="12" xfId="0" applyNumberFormat="1" applyBorder="1" applyAlignment="1">
      <alignment horizontal="centerContinuous" vertical="center"/>
    </xf>
    <xf numFmtId="38" fontId="0" fillId="0" borderId="13" xfId="0" applyNumberFormat="1" applyBorder="1" applyAlignment="1">
      <alignment horizontal="centerContinuous" vertical="center"/>
    </xf>
    <xf numFmtId="38" fontId="0" fillId="0" borderId="11" xfId="0" applyNumberFormat="1" applyBorder="1" applyAlignment="1">
      <alignment horizontal="centerContinuous"/>
    </xf>
    <xf numFmtId="38" fontId="0" fillId="0" borderId="12" xfId="0" applyNumberFormat="1" applyBorder="1" applyAlignment="1">
      <alignment horizontal="centerContinuous"/>
    </xf>
    <xf numFmtId="38" fontId="0" fillId="0" borderId="13" xfId="0" applyNumberFormat="1" applyBorder="1" applyAlignment="1">
      <alignment horizontal="centerContinuous"/>
    </xf>
    <xf numFmtId="38" fontId="0" fillId="0" borderId="0" xfId="0" applyNumberFormat="1" applyBorder="1" applyAlignment="1">
      <alignment horizontal="centerContinuous"/>
    </xf>
    <xf numFmtId="38" fontId="0" fillId="0" borderId="11" xfId="0" applyNumberFormat="1" applyBorder="1" applyAlignment="1">
      <alignment horizontal="centerContinuous" vertical="top"/>
    </xf>
    <xf numFmtId="38" fontId="0" fillId="33" borderId="12" xfId="0" applyNumberFormat="1" applyFont="1" applyFill="1" applyBorder="1" applyAlignment="1">
      <alignment horizontal="centerContinuous"/>
    </xf>
    <xf numFmtId="38" fontId="0" fillId="0" borderId="15" xfId="0" applyNumberFormat="1" applyBorder="1" applyAlignment="1">
      <alignment horizontal="centerContinuous"/>
    </xf>
    <xf numFmtId="38" fontId="0" fillId="0" borderId="11" xfId="0" applyNumberFormat="1" applyFont="1" applyBorder="1" applyAlignment="1">
      <alignment horizontal="centerContinuous"/>
    </xf>
    <xf numFmtId="38" fontId="0" fillId="0" borderId="11" xfId="0" applyNumberFormat="1" applyFont="1" applyBorder="1" applyAlignment="1" quotePrefix="1">
      <alignment horizontal="left"/>
    </xf>
    <xf numFmtId="41" fontId="0" fillId="0" borderId="0" xfId="0" applyNumberFormat="1" applyAlignment="1">
      <alignment horizontal="right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17" xfId="0" applyNumberFormat="1" applyBorder="1" applyAlignment="1">
      <alignment horizontal="right"/>
    </xf>
    <xf numFmtId="3" fontId="1" fillId="0" borderId="11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8" fontId="1" fillId="0" borderId="15" xfId="0" applyNumberFormat="1" applyFont="1" applyBorder="1" applyAlignment="1">
      <alignment horizontal="center"/>
    </xf>
    <xf numFmtId="172" fontId="1" fillId="0" borderId="11" xfId="0" applyNumberFormat="1" applyFont="1" applyBorder="1" applyAlignment="1" quotePrefix="1">
      <alignment horizontal="left"/>
    </xf>
    <xf numFmtId="172" fontId="1" fillId="0" borderId="12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G15"/>
  <sheetViews>
    <sheetView tabSelected="1"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1" sqref="D11"/>
    </sheetView>
  </sheetViews>
  <sheetFormatPr defaultColWidth="14.57421875" defaultRowHeight="12.75"/>
  <cols>
    <col min="1" max="1" width="9.7109375" style="2" customWidth="1"/>
    <col min="2" max="2" width="3.7109375" style="0" customWidth="1"/>
    <col min="3" max="6" width="13.7109375" style="17" customWidth="1"/>
    <col min="7" max="7" width="16.140625" style="17" customWidth="1"/>
    <col min="8" max="8" width="3.7109375" style="17" customWidth="1"/>
    <col min="9" max="9" width="13.7109375" style="17" customWidth="1"/>
    <col min="10" max="10" width="15.421875" style="17" customWidth="1"/>
    <col min="11" max="11" width="17.8515625" style="17" customWidth="1"/>
    <col min="12" max="12" width="13.8515625" style="17" customWidth="1"/>
    <col min="13" max="13" width="16.00390625" style="17" customWidth="1"/>
    <col min="14" max="14" width="3.7109375" style="17" customWidth="1"/>
    <col min="15" max="15" width="13.7109375" style="17" customWidth="1"/>
    <col min="16" max="16" width="15.421875" style="17" customWidth="1"/>
    <col min="17" max="17" width="17.8515625" style="17" customWidth="1"/>
    <col min="18" max="18" width="11.00390625" style="17" customWidth="1"/>
    <col min="19" max="19" width="17.140625" style="17" customWidth="1"/>
    <col min="20" max="20" width="3.7109375" style="0" customWidth="1"/>
    <col min="21" max="24" width="13.7109375" style="3" customWidth="1"/>
    <col min="25" max="25" width="15.421875" style="3" customWidth="1"/>
    <col min="26" max="26" width="3.7109375" style="3" customWidth="1"/>
    <col min="27" max="30" width="13.7109375" style="3" customWidth="1"/>
    <col min="31" max="31" width="15.421875" style="3" customWidth="1"/>
    <col min="32" max="32" width="3.7109375" style="3" customWidth="1"/>
    <col min="33" max="37" width="13.7109375" style="3" customWidth="1"/>
    <col min="38" max="38" width="3.7109375" style="3" customWidth="1"/>
    <col min="39" max="43" width="13.7109375" style="3" customWidth="1"/>
    <col min="44" max="44" width="3.7109375" style="3" customWidth="1"/>
    <col min="45" max="49" width="13.7109375" style="3" customWidth="1"/>
    <col min="50" max="50" width="3.7109375" style="3" customWidth="1"/>
    <col min="51" max="55" width="13.7109375" style="3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8" width="13.7109375" style="67" customWidth="1"/>
    <col min="109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3" width="13.7109375" style="3" customWidth="1"/>
    <col min="134" max="134" width="3.7109375" style="3" customWidth="1"/>
    <col min="135" max="139" width="13.7109375" style="3" customWidth="1"/>
    <col min="140" max="140" width="3.7109375" style="3" customWidth="1"/>
    <col min="141" max="145" width="13.7109375" style="3" customWidth="1"/>
    <col min="146" max="146" width="3.7109375" style="3" customWidth="1"/>
    <col min="147" max="151" width="13.7109375" style="3" customWidth="1"/>
    <col min="152" max="152" width="3.7109375" style="3" customWidth="1"/>
    <col min="153" max="157" width="13.7109375" style="3" customWidth="1"/>
    <col min="158" max="158" width="3.7109375" style="3" customWidth="1"/>
    <col min="159" max="161" width="13.7109375" style="3" customWidth="1"/>
    <col min="162" max="16384" width="14.421875" style="0" customWidth="1"/>
  </cols>
  <sheetData>
    <row r="1" spans="1:161" ht="12.75">
      <c r="A1" s="26"/>
      <c r="B1" s="12"/>
      <c r="C1" s="27"/>
      <c r="H1" s="27"/>
      <c r="I1" s="27" t="s">
        <v>6</v>
      </c>
      <c r="J1" s="18"/>
      <c r="L1"/>
      <c r="M1"/>
      <c r="N1"/>
      <c r="O1"/>
      <c r="Q1" s="27"/>
      <c r="R1" s="4"/>
      <c r="S1" s="4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 s="66"/>
      <c r="DB1" s="66"/>
      <c r="DC1" s="66"/>
      <c r="DD1" s="66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</row>
    <row r="2" spans="1:161" ht="12.75">
      <c r="A2" s="26"/>
      <c r="B2" s="12"/>
      <c r="C2" s="27"/>
      <c r="H2" s="27" t="s">
        <v>53</v>
      </c>
      <c r="I2" s="18"/>
      <c r="J2" s="18"/>
      <c r="L2"/>
      <c r="M2"/>
      <c r="N2"/>
      <c r="O2"/>
      <c r="Q2" s="27"/>
      <c r="R2" s="4"/>
      <c r="S2" s="4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 s="66"/>
      <c r="DB2" s="66"/>
      <c r="DC2" s="66"/>
      <c r="DD2" s="66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</row>
    <row r="3" spans="1:161" ht="12.75">
      <c r="A3" s="26"/>
      <c r="B3" s="12"/>
      <c r="C3" s="27"/>
      <c r="H3" s="25"/>
      <c r="I3" s="27" t="s">
        <v>7</v>
      </c>
      <c r="J3" s="18"/>
      <c r="L3"/>
      <c r="M3"/>
      <c r="N3"/>
      <c r="O3"/>
      <c r="Q3" s="27"/>
      <c r="R3" s="3"/>
      <c r="S3" s="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 s="66"/>
      <c r="DB3" s="66"/>
      <c r="DC3" s="66"/>
      <c r="DD3" s="66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</row>
    <row r="4" spans="1:159" ht="12.75">
      <c r="A4" s="26"/>
      <c r="B4" s="12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V4" s="4"/>
      <c r="AB4" s="4"/>
      <c r="AN4" s="4"/>
      <c r="AZ4" s="4"/>
      <c r="CJ4" s="4"/>
      <c r="DT4" s="4"/>
      <c r="FC4" s="4"/>
    </row>
    <row r="5" spans="1:162" ht="12.75">
      <c r="A5" s="5" t="s">
        <v>1</v>
      </c>
      <c r="C5" s="46" t="s">
        <v>54</v>
      </c>
      <c r="D5" s="42"/>
      <c r="E5" s="43"/>
      <c r="F5" s="47"/>
      <c r="G5" s="44"/>
      <c r="H5" s="24"/>
      <c r="I5" s="19" t="s">
        <v>50</v>
      </c>
      <c r="J5" s="20"/>
      <c r="K5" s="21"/>
      <c r="L5" s="23"/>
      <c r="M5" s="36"/>
      <c r="N5" s="24"/>
      <c r="O5" s="19" t="s">
        <v>8</v>
      </c>
      <c r="P5" s="20"/>
      <c r="Q5" s="21"/>
      <c r="R5" s="23"/>
      <c r="S5" s="36"/>
      <c r="U5" s="6" t="s">
        <v>22</v>
      </c>
      <c r="V5" s="7"/>
      <c r="W5" s="8"/>
      <c r="X5" s="23"/>
      <c r="Y5" s="36"/>
      <c r="AA5" s="6" t="s">
        <v>9</v>
      </c>
      <c r="AB5" s="7"/>
      <c r="AC5" s="8"/>
      <c r="AD5" s="23"/>
      <c r="AE5" s="36"/>
      <c r="AG5" s="6" t="s">
        <v>10</v>
      </c>
      <c r="AH5" s="7"/>
      <c r="AI5" s="8"/>
      <c r="AJ5" s="23"/>
      <c r="AK5" s="36"/>
      <c r="AM5" s="6" t="s">
        <v>21</v>
      </c>
      <c r="AN5" s="7"/>
      <c r="AO5" s="8"/>
      <c r="AP5" s="23"/>
      <c r="AQ5" s="36"/>
      <c r="AR5" s="13"/>
      <c r="AS5" s="6" t="s">
        <v>20</v>
      </c>
      <c r="AT5" s="7"/>
      <c r="AU5" s="8"/>
      <c r="AV5" s="23"/>
      <c r="AW5" s="36"/>
      <c r="AX5" s="13"/>
      <c r="AY5" s="6" t="s">
        <v>19</v>
      </c>
      <c r="AZ5" s="7"/>
      <c r="BA5" s="8"/>
      <c r="BB5" s="23"/>
      <c r="BC5" s="36"/>
      <c r="BD5" s="13"/>
      <c r="BE5" s="6" t="s">
        <v>18</v>
      </c>
      <c r="BF5" s="7"/>
      <c r="BG5" s="8"/>
      <c r="BH5" s="23"/>
      <c r="BI5" s="36"/>
      <c r="BK5" s="6" t="s">
        <v>11</v>
      </c>
      <c r="BL5" s="7"/>
      <c r="BM5" s="8"/>
      <c r="BN5" s="23"/>
      <c r="BO5" s="36"/>
      <c r="BQ5" s="6" t="s">
        <v>12</v>
      </c>
      <c r="BR5" s="7"/>
      <c r="BS5" s="8"/>
      <c r="BT5" s="23"/>
      <c r="BU5" s="36"/>
      <c r="BW5" s="6" t="s">
        <v>13</v>
      </c>
      <c r="BX5" s="7"/>
      <c r="BY5" s="8"/>
      <c r="BZ5" s="23"/>
      <c r="CA5" s="36"/>
      <c r="CC5" s="6" t="s">
        <v>14</v>
      </c>
      <c r="CD5" s="7"/>
      <c r="CE5" s="8"/>
      <c r="CF5" s="23"/>
      <c r="CG5" s="36"/>
      <c r="CI5" s="6" t="s">
        <v>15</v>
      </c>
      <c r="CJ5" s="7"/>
      <c r="CK5" s="8"/>
      <c r="CL5" s="23"/>
      <c r="CM5" s="36"/>
      <c r="CN5" s="13"/>
      <c r="CO5" s="6" t="s">
        <v>16</v>
      </c>
      <c r="CP5" s="7"/>
      <c r="CQ5" s="8"/>
      <c r="CR5" s="23"/>
      <c r="CS5" s="36"/>
      <c r="CU5" s="6" t="s">
        <v>17</v>
      </c>
      <c r="CV5" s="7"/>
      <c r="CW5" s="8"/>
      <c r="CX5" s="23"/>
      <c r="CY5" s="36"/>
      <c r="DA5" s="55" t="s">
        <v>59</v>
      </c>
      <c r="DB5" s="56"/>
      <c r="DC5" s="57"/>
      <c r="DD5" s="58"/>
      <c r="DE5" s="36"/>
      <c r="DG5" s="6" t="s">
        <v>23</v>
      </c>
      <c r="DH5" s="7"/>
      <c r="DI5" s="8"/>
      <c r="DJ5" s="23"/>
      <c r="DK5" s="36"/>
      <c r="DL5" s="13"/>
      <c r="DM5" s="6" t="s">
        <v>24</v>
      </c>
      <c r="DN5" s="7"/>
      <c r="DO5" s="8"/>
      <c r="DP5" s="23"/>
      <c r="DQ5" s="36"/>
      <c r="DR5" s="13"/>
      <c r="DS5" s="6" t="s">
        <v>25</v>
      </c>
      <c r="DT5" s="7"/>
      <c r="DU5" s="8"/>
      <c r="DV5" s="23"/>
      <c r="DW5" s="36"/>
      <c r="DX5" s="13"/>
      <c r="DY5" s="6" t="s">
        <v>26</v>
      </c>
      <c r="DZ5" s="7"/>
      <c r="EA5" s="8"/>
      <c r="EB5" s="23"/>
      <c r="EC5" s="36"/>
      <c r="ED5" s="13"/>
      <c r="EE5" s="6" t="s">
        <v>27</v>
      </c>
      <c r="EF5" s="7"/>
      <c r="EG5" s="8"/>
      <c r="EH5" s="23"/>
      <c r="EI5" s="36"/>
      <c r="EJ5" s="13"/>
      <c r="EK5" s="6" t="s">
        <v>28</v>
      </c>
      <c r="EL5" s="7"/>
      <c r="EM5" s="8"/>
      <c r="EN5" s="23"/>
      <c r="EO5" s="36"/>
      <c r="EP5" s="13"/>
      <c r="EQ5" s="6" t="s">
        <v>29</v>
      </c>
      <c r="ER5" s="7"/>
      <c r="ES5" s="8"/>
      <c r="ET5" s="23"/>
      <c r="EU5" s="36"/>
      <c r="EV5" s="13"/>
      <c r="EW5" s="6" t="s">
        <v>30</v>
      </c>
      <c r="EX5" s="7"/>
      <c r="EY5" s="8"/>
      <c r="EZ5" s="23"/>
      <c r="FA5" s="36"/>
      <c r="FB5" s="13"/>
      <c r="FC5" s="6" t="s">
        <v>2</v>
      </c>
      <c r="FD5" s="7"/>
      <c r="FE5" s="8"/>
      <c r="FF5" s="23"/>
    </row>
    <row r="6" spans="1:163" s="1" customFormat="1" ht="12.75">
      <c r="A6" s="28" t="s">
        <v>3</v>
      </c>
      <c r="C6" s="48" t="s">
        <v>55</v>
      </c>
      <c r="D6" s="42"/>
      <c r="E6" s="43"/>
      <c r="F6" s="23" t="s">
        <v>51</v>
      </c>
      <c r="G6" s="23" t="s">
        <v>56</v>
      </c>
      <c r="H6" s="24"/>
      <c r="I6" s="22"/>
      <c r="J6" s="35">
        <v>0.10100619999999999</v>
      </c>
      <c r="K6" s="21"/>
      <c r="L6" s="23" t="s">
        <v>51</v>
      </c>
      <c r="M6" s="23" t="s">
        <v>56</v>
      </c>
      <c r="N6" s="24"/>
      <c r="O6" s="22"/>
      <c r="P6" s="35">
        <f>V6+AB6+AH6+AN6+AT6+AZ6+BF6+BL6+BR6+BX6+CD6+CJ6+CP6+CV6+DB6+DH6+DN6+DT6+DZ6+EF6+EL6+ER6+EX6</f>
        <v>0.8989941</v>
      </c>
      <c r="Q6" s="21"/>
      <c r="R6" s="23" t="s">
        <v>51</v>
      </c>
      <c r="S6" s="23" t="s">
        <v>56</v>
      </c>
      <c r="U6" s="29"/>
      <c r="V6" s="16">
        <v>0.4026828</v>
      </c>
      <c r="W6" s="30"/>
      <c r="X6" s="23" t="s">
        <v>51</v>
      </c>
      <c r="Y6" s="23" t="s">
        <v>56</v>
      </c>
      <c r="AA6" s="29"/>
      <c r="AB6" s="16">
        <v>0.018091</v>
      </c>
      <c r="AC6" s="30"/>
      <c r="AD6" s="23" t="s">
        <v>51</v>
      </c>
      <c r="AE6" s="23" t="s">
        <v>56</v>
      </c>
      <c r="AG6" s="29"/>
      <c r="AH6" s="16">
        <v>0.0423409</v>
      </c>
      <c r="AI6" s="30"/>
      <c r="AJ6" s="23" t="s">
        <v>51</v>
      </c>
      <c r="AK6" s="23" t="s">
        <v>56</v>
      </c>
      <c r="AM6" s="29"/>
      <c r="AN6" s="16">
        <v>0.0030633</v>
      </c>
      <c r="AO6" s="30"/>
      <c r="AP6" s="23" t="s">
        <v>51</v>
      </c>
      <c r="AQ6" s="23" t="s">
        <v>56</v>
      </c>
      <c r="AR6" s="11"/>
      <c r="AS6" s="29"/>
      <c r="AT6" s="16">
        <v>0.0649366</v>
      </c>
      <c r="AU6" s="30"/>
      <c r="AV6" s="23" t="s">
        <v>51</v>
      </c>
      <c r="AW6" s="23" t="s">
        <v>56</v>
      </c>
      <c r="AX6" s="11"/>
      <c r="AY6" s="29"/>
      <c r="AZ6" s="16">
        <v>0.0008382</v>
      </c>
      <c r="BA6" s="30"/>
      <c r="BB6" s="23" t="s">
        <v>51</v>
      </c>
      <c r="BC6" s="23" t="s">
        <v>56</v>
      </c>
      <c r="BD6" s="11"/>
      <c r="BE6" s="29"/>
      <c r="BF6" s="16">
        <v>0.001264</v>
      </c>
      <c r="BG6" s="30"/>
      <c r="BH6" s="23" t="s">
        <v>51</v>
      </c>
      <c r="BI6" s="23" t="s">
        <v>56</v>
      </c>
      <c r="BK6" s="29"/>
      <c r="BL6" s="16">
        <v>0.0515623</v>
      </c>
      <c r="BM6" s="30"/>
      <c r="BN6" s="23" t="s">
        <v>51</v>
      </c>
      <c r="BO6" s="23" t="s">
        <v>56</v>
      </c>
      <c r="BQ6" s="29"/>
      <c r="BR6" s="16">
        <v>0.0088441</v>
      </c>
      <c r="BS6" s="30"/>
      <c r="BT6" s="23" t="s">
        <v>51</v>
      </c>
      <c r="BU6" s="23" t="s">
        <v>56</v>
      </c>
      <c r="BW6" s="29"/>
      <c r="BX6" s="16">
        <v>0.0015756</v>
      </c>
      <c r="BY6" s="30"/>
      <c r="BZ6" s="23" t="s">
        <v>51</v>
      </c>
      <c r="CA6" s="23" t="s">
        <v>56</v>
      </c>
      <c r="CC6" s="29"/>
      <c r="CD6" s="16">
        <v>0.0183309</v>
      </c>
      <c r="CE6" s="30"/>
      <c r="CF6" s="23" t="s">
        <v>51</v>
      </c>
      <c r="CG6" s="23" t="s">
        <v>56</v>
      </c>
      <c r="CI6" s="29"/>
      <c r="CJ6" s="16">
        <v>0.0088668</v>
      </c>
      <c r="CK6" s="30"/>
      <c r="CL6" s="23" t="s">
        <v>51</v>
      </c>
      <c r="CM6" s="23" t="s">
        <v>56</v>
      </c>
      <c r="CN6" s="11"/>
      <c r="CO6" s="29"/>
      <c r="CP6" s="16">
        <v>0.0126751</v>
      </c>
      <c r="CQ6" s="30"/>
      <c r="CR6" s="23" t="s">
        <v>51</v>
      </c>
      <c r="CS6" s="23" t="s">
        <v>56</v>
      </c>
      <c r="CU6" s="29"/>
      <c r="CV6" s="16">
        <v>0.0238279</v>
      </c>
      <c r="CW6" s="30"/>
      <c r="CX6" s="23" t="s">
        <v>51</v>
      </c>
      <c r="CY6" s="23" t="s">
        <v>56</v>
      </c>
      <c r="DA6" s="59"/>
      <c r="DB6" s="60">
        <v>0.0183593</v>
      </c>
      <c r="DC6" s="61"/>
      <c r="DD6" s="58" t="s">
        <v>51</v>
      </c>
      <c r="DE6" s="23" t="s">
        <v>56</v>
      </c>
      <c r="DG6" s="29"/>
      <c r="DH6" s="16">
        <v>1.14E-05</v>
      </c>
      <c r="DI6" s="30"/>
      <c r="DJ6" s="23" t="s">
        <v>51</v>
      </c>
      <c r="DK6" s="23" t="s">
        <v>56</v>
      </c>
      <c r="DL6" s="11"/>
      <c r="DM6" s="29"/>
      <c r="DN6" s="16">
        <v>0.0001006</v>
      </c>
      <c r="DO6" s="30"/>
      <c r="DP6" s="23" t="s">
        <v>51</v>
      </c>
      <c r="DQ6" s="23" t="s">
        <v>56</v>
      </c>
      <c r="DR6" s="11"/>
      <c r="DS6" s="29"/>
      <c r="DT6" s="16">
        <v>0.0011742</v>
      </c>
      <c r="DU6" s="30"/>
      <c r="DV6" s="23" t="s">
        <v>51</v>
      </c>
      <c r="DW6" s="23" t="s">
        <v>56</v>
      </c>
      <c r="DX6" s="11"/>
      <c r="DY6" s="29"/>
      <c r="DZ6" s="16">
        <v>0.0050913</v>
      </c>
      <c r="EA6" s="30"/>
      <c r="EB6" s="23" t="s">
        <v>51</v>
      </c>
      <c r="EC6" s="23" t="s">
        <v>56</v>
      </c>
      <c r="ED6" s="11"/>
      <c r="EE6" s="29"/>
      <c r="EF6" s="16">
        <v>0.0013411</v>
      </c>
      <c r="EG6" s="30"/>
      <c r="EH6" s="23" t="s">
        <v>51</v>
      </c>
      <c r="EI6" s="23" t="s">
        <v>56</v>
      </c>
      <c r="EJ6" s="11"/>
      <c r="EK6" s="29"/>
      <c r="EL6" s="16">
        <v>0.0282949</v>
      </c>
      <c r="EM6" s="30"/>
      <c r="EN6" s="23" t="s">
        <v>51</v>
      </c>
      <c r="EO6" s="23" t="s">
        <v>56</v>
      </c>
      <c r="EP6" s="11"/>
      <c r="EQ6" s="29"/>
      <c r="ER6" s="16">
        <v>0.1782682</v>
      </c>
      <c r="ES6" s="30"/>
      <c r="ET6" s="23" t="s">
        <v>51</v>
      </c>
      <c r="EU6" s="23" t="s">
        <v>56</v>
      </c>
      <c r="EV6" s="11"/>
      <c r="EW6" s="29"/>
      <c r="EX6" s="16">
        <v>0.0074536</v>
      </c>
      <c r="EY6" s="30"/>
      <c r="EZ6" s="23" t="s">
        <v>51</v>
      </c>
      <c r="FA6" s="23" t="s">
        <v>56</v>
      </c>
      <c r="FB6" s="11"/>
      <c r="FC6" s="29"/>
      <c r="FD6" s="16"/>
      <c r="FE6" s="30"/>
      <c r="FF6" s="23" t="s">
        <v>51</v>
      </c>
      <c r="FG6" s="23" t="s">
        <v>56</v>
      </c>
    </row>
    <row r="7" spans="1:163" ht="12.75">
      <c r="A7" s="9"/>
      <c r="C7" s="23" t="s">
        <v>4</v>
      </c>
      <c r="D7" s="23" t="s">
        <v>5</v>
      </c>
      <c r="E7" s="23" t="s">
        <v>0</v>
      </c>
      <c r="F7" s="23" t="s">
        <v>52</v>
      </c>
      <c r="G7" s="23" t="s">
        <v>57</v>
      </c>
      <c r="H7" s="36"/>
      <c r="I7" s="23" t="s">
        <v>4</v>
      </c>
      <c r="J7" s="23" t="s">
        <v>5</v>
      </c>
      <c r="K7" s="23" t="s">
        <v>0</v>
      </c>
      <c r="L7" s="23" t="s">
        <v>52</v>
      </c>
      <c r="M7" s="23" t="s">
        <v>57</v>
      </c>
      <c r="N7" s="36"/>
      <c r="O7" s="23" t="s">
        <v>4</v>
      </c>
      <c r="P7" s="23" t="s">
        <v>5</v>
      </c>
      <c r="Q7" s="23" t="s">
        <v>0</v>
      </c>
      <c r="R7" s="23" t="s">
        <v>52</v>
      </c>
      <c r="S7" s="23" t="s">
        <v>57</v>
      </c>
      <c r="U7" s="10" t="s">
        <v>4</v>
      </c>
      <c r="V7" s="10" t="s">
        <v>5</v>
      </c>
      <c r="W7" s="10" t="s">
        <v>0</v>
      </c>
      <c r="X7" s="23" t="s">
        <v>52</v>
      </c>
      <c r="Y7" s="23" t="s">
        <v>57</v>
      </c>
      <c r="AA7" s="10" t="s">
        <v>4</v>
      </c>
      <c r="AB7" s="10" t="s">
        <v>5</v>
      </c>
      <c r="AC7" s="10" t="s">
        <v>0</v>
      </c>
      <c r="AD7" s="23" t="s">
        <v>52</v>
      </c>
      <c r="AE7" s="23" t="s">
        <v>57</v>
      </c>
      <c r="AG7" s="10" t="s">
        <v>4</v>
      </c>
      <c r="AH7" s="10" t="s">
        <v>5</v>
      </c>
      <c r="AI7" s="10" t="s">
        <v>0</v>
      </c>
      <c r="AJ7" s="23" t="s">
        <v>52</v>
      </c>
      <c r="AK7" s="23" t="s">
        <v>57</v>
      </c>
      <c r="AM7" s="10" t="s">
        <v>4</v>
      </c>
      <c r="AN7" s="10" t="s">
        <v>5</v>
      </c>
      <c r="AO7" s="10" t="s">
        <v>0</v>
      </c>
      <c r="AP7" s="23" t="s">
        <v>52</v>
      </c>
      <c r="AQ7" s="23" t="s">
        <v>57</v>
      </c>
      <c r="AR7" s="14"/>
      <c r="AS7" s="10" t="s">
        <v>4</v>
      </c>
      <c r="AT7" s="10" t="s">
        <v>5</v>
      </c>
      <c r="AU7" s="10" t="s">
        <v>0</v>
      </c>
      <c r="AV7" s="23" t="s">
        <v>52</v>
      </c>
      <c r="AW7" s="23" t="s">
        <v>57</v>
      </c>
      <c r="AX7" s="14"/>
      <c r="AY7" s="10" t="s">
        <v>4</v>
      </c>
      <c r="AZ7" s="10" t="s">
        <v>5</v>
      </c>
      <c r="BA7" s="10" t="s">
        <v>0</v>
      </c>
      <c r="BB7" s="23" t="s">
        <v>52</v>
      </c>
      <c r="BC7" s="23" t="s">
        <v>57</v>
      </c>
      <c r="BD7" s="14"/>
      <c r="BE7" s="10" t="s">
        <v>4</v>
      </c>
      <c r="BF7" s="10" t="s">
        <v>5</v>
      </c>
      <c r="BG7" s="10" t="s">
        <v>0</v>
      </c>
      <c r="BH7" s="23" t="s">
        <v>52</v>
      </c>
      <c r="BI7" s="23" t="s">
        <v>57</v>
      </c>
      <c r="BK7" s="10" t="s">
        <v>4</v>
      </c>
      <c r="BL7" s="10" t="s">
        <v>5</v>
      </c>
      <c r="BM7" s="10" t="s">
        <v>0</v>
      </c>
      <c r="BN7" s="23" t="s">
        <v>52</v>
      </c>
      <c r="BO7" s="23" t="s">
        <v>57</v>
      </c>
      <c r="BQ7" s="10" t="s">
        <v>4</v>
      </c>
      <c r="BR7" s="10" t="s">
        <v>5</v>
      </c>
      <c r="BS7" s="10" t="s">
        <v>0</v>
      </c>
      <c r="BT7" s="23" t="s">
        <v>52</v>
      </c>
      <c r="BU7" s="23" t="s">
        <v>57</v>
      </c>
      <c r="BW7" s="10" t="s">
        <v>4</v>
      </c>
      <c r="BX7" s="10" t="s">
        <v>5</v>
      </c>
      <c r="BY7" s="10" t="s">
        <v>0</v>
      </c>
      <c r="BZ7" s="23" t="s">
        <v>52</v>
      </c>
      <c r="CA7" s="23" t="s">
        <v>57</v>
      </c>
      <c r="CC7" s="10" t="s">
        <v>4</v>
      </c>
      <c r="CD7" s="10" t="s">
        <v>5</v>
      </c>
      <c r="CE7" s="10" t="s">
        <v>0</v>
      </c>
      <c r="CF7" s="23" t="s">
        <v>52</v>
      </c>
      <c r="CG7" s="23" t="s">
        <v>57</v>
      </c>
      <c r="CI7" s="10" t="s">
        <v>4</v>
      </c>
      <c r="CJ7" s="10" t="s">
        <v>5</v>
      </c>
      <c r="CK7" s="10" t="s">
        <v>0</v>
      </c>
      <c r="CL7" s="23" t="s">
        <v>52</v>
      </c>
      <c r="CM7" s="23" t="s">
        <v>57</v>
      </c>
      <c r="CN7" s="14"/>
      <c r="CO7" s="10" t="s">
        <v>4</v>
      </c>
      <c r="CP7" s="10" t="s">
        <v>5</v>
      </c>
      <c r="CQ7" s="10" t="s">
        <v>0</v>
      </c>
      <c r="CR7" s="23" t="s">
        <v>52</v>
      </c>
      <c r="CS7" s="23" t="s">
        <v>57</v>
      </c>
      <c r="CU7" s="10" t="s">
        <v>4</v>
      </c>
      <c r="CV7" s="10" t="s">
        <v>5</v>
      </c>
      <c r="CW7" s="10" t="s">
        <v>0</v>
      </c>
      <c r="CX7" s="23" t="s">
        <v>52</v>
      </c>
      <c r="CY7" s="23" t="s">
        <v>57</v>
      </c>
      <c r="DA7" s="62" t="s">
        <v>4</v>
      </c>
      <c r="DB7" s="62" t="s">
        <v>5</v>
      </c>
      <c r="DC7" s="62" t="s">
        <v>0</v>
      </c>
      <c r="DD7" s="58" t="s">
        <v>52</v>
      </c>
      <c r="DE7" s="23" t="s">
        <v>57</v>
      </c>
      <c r="DG7" s="10" t="s">
        <v>4</v>
      </c>
      <c r="DH7" s="10" t="s">
        <v>5</v>
      </c>
      <c r="DI7" s="10" t="s">
        <v>0</v>
      </c>
      <c r="DJ7" s="23" t="s">
        <v>52</v>
      </c>
      <c r="DK7" s="23" t="s">
        <v>57</v>
      </c>
      <c r="DL7" s="14"/>
      <c r="DM7" s="10" t="s">
        <v>4</v>
      </c>
      <c r="DN7" s="10" t="s">
        <v>5</v>
      </c>
      <c r="DO7" s="10" t="s">
        <v>0</v>
      </c>
      <c r="DP7" s="23" t="s">
        <v>52</v>
      </c>
      <c r="DQ7" s="23" t="s">
        <v>57</v>
      </c>
      <c r="DR7" s="14"/>
      <c r="DS7" s="10" t="s">
        <v>4</v>
      </c>
      <c r="DT7" s="10" t="s">
        <v>5</v>
      </c>
      <c r="DU7" s="10" t="s">
        <v>0</v>
      </c>
      <c r="DV7" s="23" t="s">
        <v>52</v>
      </c>
      <c r="DW7" s="23" t="s">
        <v>57</v>
      </c>
      <c r="DX7" s="14"/>
      <c r="DY7" s="10" t="s">
        <v>4</v>
      </c>
      <c r="DZ7" s="10" t="s">
        <v>5</v>
      </c>
      <c r="EA7" s="10" t="s">
        <v>0</v>
      </c>
      <c r="EB7" s="23" t="s">
        <v>52</v>
      </c>
      <c r="EC7" s="23" t="s">
        <v>57</v>
      </c>
      <c r="ED7" s="14"/>
      <c r="EE7" s="10" t="s">
        <v>4</v>
      </c>
      <c r="EF7" s="10" t="s">
        <v>5</v>
      </c>
      <c r="EG7" s="10" t="s">
        <v>0</v>
      </c>
      <c r="EH7" s="23" t="s">
        <v>52</v>
      </c>
      <c r="EI7" s="23" t="s">
        <v>57</v>
      </c>
      <c r="EJ7" s="14"/>
      <c r="EK7" s="10" t="s">
        <v>4</v>
      </c>
      <c r="EL7" s="10" t="s">
        <v>5</v>
      </c>
      <c r="EM7" s="10" t="s">
        <v>0</v>
      </c>
      <c r="EN7" s="23" t="s">
        <v>52</v>
      </c>
      <c r="EO7" s="23" t="s">
        <v>57</v>
      </c>
      <c r="EP7" s="14"/>
      <c r="EQ7" s="10" t="s">
        <v>4</v>
      </c>
      <c r="ER7" s="10" t="s">
        <v>5</v>
      </c>
      <c r="ES7" s="10" t="s">
        <v>0</v>
      </c>
      <c r="ET7" s="23" t="s">
        <v>52</v>
      </c>
      <c r="EU7" s="23" t="s">
        <v>57</v>
      </c>
      <c r="EV7" s="14"/>
      <c r="EW7" s="10" t="s">
        <v>4</v>
      </c>
      <c r="EX7" s="10" t="s">
        <v>5</v>
      </c>
      <c r="EY7" s="10" t="s">
        <v>0</v>
      </c>
      <c r="EZ7" s="23" t="s">
        <v>52</v>
      </c>
      <c r="FA7" s="23" t="s">
        <v>57</v>
      </c>
      <c r="FB7" s="14"/>
      <c r="FC7" s="10" t="s">
        <v>4</v>
      </c>
      <c r="FD7" s="10" t="s">
        <v>5</v>
      </c>
      <c r="FE7" s="10" t="s">
        <v>0</v>
      </c>
      <c r="FF7" s="23" t="s">
        <v>52</v>
      </c>
      <c r="FG7" s="23" t="s">
        <v>57</v>
      </c>
    </row>
    <row r="8" spans="1:163" s="34" customFormat="1" ht="12.75">
      <c r="A8" s="33">
        <v>43739</v>
      </c>
      <c r="C8" s="24"/>
      <c r="D8" s="24">
        <v>118900</v>
      </c>
      <c r="E8" s="18">
        <f aca="true" t="shared" si="0" ref="E8:E13">C8+D8</f>
        <v>118900</v>
      </c>
      <c r="F8" s="18">
        <v>45485</v>
      </c>
      <c r="G8" s="18">
        <v>41136</v>
      </c>
      <c r="H8" s="18"/>
      <c r="I8" s="50">
        <f>'2009D Academic'!I8</f>
        <v>0</v>
      </c>
      <c r="J8" s="18">
        <f>'2009D Academic'!J8</f>
        <v>12009.637180000002</v>
      </c>
      <c r="K8" s="18">
        <f aca="true" t="shared" si="1" ref="K8:K13">I8+J8</f>
        <v>12009.637180000002</v>
      </c>
      <c r="L8" s="18">
        <f>'2009D Academic'!L8</f>
        <v>4594.267007</v>
      </c>
      <c r="M8" s="18">
        <f>'2009D Academic'!M8</f>
        <v>4154.991043200001</v>
      </c>
      <c r="N8" s="18"/>
      <c r="O8" s="17"/>
      <c r="P8" s="17">
        <f aca="true" t="shared" si="2" ref="P8:P13">V8+AB8+AH8+AN8+AT8+AZ8+BF8+BL8+BR8+BX8+CD8+CJ8+CP8+CV8+DB8+DH8+DN8+DT8+DZ8+EF8+EL8+ER8+EX8+FD8</f>
        <v>106890.39848999999</v>
      </c>
      <c r="Q8" s="17">
        <f aca="true" t="shared" si="3" ref="Q8:Q13">O8+P8</f>
        <v>106890.39848999999</v>
      </c>
      <c r="R8" s="17">
        <f aca="true" t="shared" si="4" ref="R8:R13">X8+AD8+AJ8+AP8+AV8+BB8+BH8+BN8+BT8+BZ8+CF8+CL8+CR8+CX8+DD8+DJ8+DP8+DV8+EB8+EH8+EN8+ET8+EZ8+FF8</f>
        <v>40890.74663850001</v>
      </c>
      <c r="S8" s="17">
        <f aca="true" t="shared" si="5" ref="S8:S13">Y8+AE8+AK8+AQ8+AW8+BC8+BI8+BO8+BU8+CA8+CG8+CM8+CS8+CY8+DE8+DK8+DQ8+DW8+EC8+EI8+EO8+EU8+FA8+FG8</f>
        <v>36981.0212976</v>
      </c>
      <c r="T8"/>
      <c r="U8" s="17">
        <f aca="true" t="shared" si="6" ref="U8:U13">C8*40.26828/100</f>
        <v>0</v>
      </c>
      <c r="V8" s="17">
        <f aca="true" t="shared" si="7" ref="V8:V13">D8*40.26828/100</f>
        <v>47878.984919999995</v>
      </c>
      <c r="W8" s="17">
        <f aca="true" t="shared" si="8" ref="W8:W13">U8+V8</f>
        <v>47878.984919999995</v>
      </c>
      <c r="X8" s="18">
        <f aca="true" t="shared" si="9" ref="X8:X13">V$6*$F8</f>
        <v>18316.027158</v>
      </c>
      <c r="Y8" s="18">
        <f aca="true" t="shared" si="10" ref="Y8:Y13">V$6*$G8</f>
        <v>16564.7596608</v>
      </c>
      <c r="Z8" s="17"/>
      <c r="AA8" s="17">
        <f aca="true" t="shared" si="11" ref="AA8:AA13">C8*1.8091/100</f>
        <v>0</v>
      </c>
      <c r="AB8" s="17">
        <f aca="true" t="shared" si="12" ref="AB8:AB13">D8*1.8091/100</f>
        <v>2151.0199</v>
      </c>
      <c r="AC8" s="17">
        <f aca="true" t="shared" si="13" ref="AC8:AC13">AA8+AB8</f>
        <v>2151.0199</v>
      </c>
      <c r="AD8" s="18">
        <f aca="true" t="shared" si="14" ref="AD8:AD13">AB$6*$F8</f>
        <v>822.869135</v>
      </c>
      <c r="AE8" s="18">
        <f aca="true" t="shared" si="15" ref="AE8:AE13">AB$6*$G8</f>
        <v>744.191376</v>
      </c>
      <c r="AF8" s="17"/>
      <c r="AG8" s="17">
        <f aca="true" t="shared" si="16" ref="AG8:AG13">C8*4.23409/100</f>
        <v>0</v>
      </c>
      <c r="AH8" s="17">
        <f aca="true" t="shared" si="17" ref="AH8:AH13">D8*4.23409/100</f>
        <v>5034.33301</v>
      </c>
      <c r="AI8" s="17">
        <f aca="true" t="shared" si="18" ref="AI8:AI13">AG8+AH8</f>
        <v>5034.33301</v>
      </c>
      <c r="AJ8" s="18">
        <f aca="true" t="shared" si="19" ref="AJ8:AJ13">AH$6*$F8</f>
        <v>1925.8758365</v>
      </c>
      <c r="AK8" s="18">
        <f aca="true" t="shared" si="20" ref="AK8:AK13">AH$6*$G8</f>
        <v>1741.7352624</v>
      </c>
      <c r="AL8" s="17"/>
      <c r="AM8" s="17">
        <f aca="true" t="shared" si="21" ref="AM8:AM13">C8*0.30633/100</f>
        <v>0</v>
      </c>
      <c r="AN8" s="17">
        <f aca="true" t="shared" si="22" ref="AN8:AN13">D8*0.30633/100</f>
        <v>364.22637000000003</v>
      </c>
      <c r="AO8" s="17">
        <f aca="true" t="shared" si="23" ref="AO8:AO13">AM8+AN8</f>
        <v>364.22637000000003</v>
      </c>
      <c r="AP8" s="18">
        <f aca="true" t="shared" si="24" ref="AP8:AP13">AN$6*$F8</f>
        <v>139.3342005</v>
      </c>
      <c r="AQ8" s="18">
        <f aca="true" t="shared" si="25" ref="AQ8:AQ13">AN$6*$G8</f>
        <v>126.0119088</v>
      </c>
      <c r="AR8" s="17"/>
      <c r="AS8" s="17">
        <f aca="true" t="shared" si="26" ref="AS8:AS13">C8*6.49366/100</f>
        <v>0</v>
      </c>
      <c r="AT8" s="17">
        <f aca="true" t="shared" si="27" ref="AT8:AT13">D8*6.49366/100</f>
        <v>7720.96174</v>
      </c>
      <c r="AU8" s="17">
        <f aca="true" t="shared" si="28" ref="AU8:AU13">AS8+AT8</f>
        <v>7720.96174</v>
      </c>
      <c r="AV8" s="18">
        <f aca="true" t="shared" si="29" ref="AV8:AV13">AT$6*$F8</f>
        <v>2953.641251</v>
      </c>
      <c r="AW8" s="18">
        <f aca="true" t="shared" si="30" ref="AW8:AW13">AT$6*$G8</f>
        <v>2671.2319776</v>
      </c>
      <c r="AX8" s="17"/>
      <c r="AY8" s="17">
        <f aca="true" t="shared" si="31" ref="AY8:AY13">C8*0.08382/100</f>
        <v>0</v>
      </c>
      <c r="AZ8" s="17">
        <f aca="true" t="shared" si="32" ref="AZ8:AZ13">D8*0.08382/100</f>
        <v>99.66198</v>
      </c>
      <c r="BA8" s="17">
        <f aca="true" t="shared" si="33" ref="BA8:BA13">AY8+AZ8</f>
        <v>99.66198</v>
      </c>
      <c r="BB8" s="18">
        <f aca="true" t="shared" si="34" ref="BB8:BB13">AZ$6*$F8</f>
        <v>38.125527</v>
      </c>
      <c r="BC8" s="18">
        <f aca="true" t="shared" si="35" ref="BC8:BC13">AZ$6*$G8</f>
        <v>34.4801952</v>
      </c>
      <c r="BD8" s="17"/>
      <c r="BE8" s="17">
        <f aca="true" t="shared" si="36" ref="BE8:BE13">C8*0.1264/100</f>
        <v>0</v>
      </c>
      <c r="BF8" s="17">
        <f aca="true" t="shared" si="37" ref="BF8:BF13">D8*0.1264/100</f>
        <v>150.2896</v>
      </c>
      <c r="BG8" s="17">
        <f aca="true" t="shared" si="38" ref="BG8:BG13">BE8+BF8</f>
        <v>150.2896</v>
      </c>
      <c r="BH8" s="18">
        <f aca="true" t="shared" si="39" ref="BH8:BH13">BF$6*$F8</f>
        <v>57.49303999999999</v>
      </c>
      <c r="BI8" s="18">
        <f aca="true" t="shared" si="40" ref="BI8:BI13">BF$6*$G8</f>
        <v>51.995903999999996</v>
      </c>
      <c r="BJ8" s="17"/>
      <c r="BK8" s="17">
        <f aca="true" t="shared" si="41" ref="BK8:BK13">C8*5.15623/100</f>
        <v>0</v>
      </c>
      <c r="BL8" s="17">
        <f aca="true" t="shared" si="42" ref="BL8:BL13">D8*5.15623/100</f>
        <v>6130.75747</v>
      </c>
      <c r="BM8" s="17">
        <f aca="true" t="shared" si="43" ref="BM8:BM13">BK8+BL8</f>
        <v>6130.75747</v>
      </c>
      <c r="BN8" s="18">
        <f aca="true" t="shared" si="44" ref="BN8:BN13">BL$6*$F8</f>
        <v>2345.3112155</v>
      </c>
      <c r="BO8" s="18">
        <f aca="true" t="shared" si="45" ref="BO8:BO13">BL$6*$G8</f>
        <v>2121.0667728</v>
      </c>
      <c r="BP8" s="17"/>
      <c r="BQ8" s="17">
        <f aca="true" t="shared" si="46" ref="BQ8:BQ13">C8*0.88441/100</f>
        <v>0</v>
      </c>
      <c r="BR8" s="17">
        <f aca="true" t="shared" si="47" ref="BR8:BR13">D8*0.88441/100</f>
        <v>1051.56349</v>
      </c>
      <c r="BS8" s="17">
        <f aca="true" t="shared" si="48" ref="BS8:BS13">BQ8+BR8</f>
        <v>1051.56349</v>
      </c>
      <c r="BT8" s="18">
        <f aca="true" t="shared" si="49" ref="BT8:BT13">BR$6*$F8</f>
        <v>402.2738885</v>
      </c>
      <c r="BU8" s="18">
        <f aca="true" t="shared" si="50" ref="BU8:BU13">BR$6*$G8</f>
        <v>363.81089760000003</v>
      </c>
      <c r="BV8" s="17"/>
      <c r="BW8" s="17">
        <f aca="true" t="shared" si="51" ref="BW8:BW13">C8*0.15756/100</f>
        <v>0</v>
      </c>
      <c r="BX8" s="17">
        <f aca="true" t="shared" si="52" ref="BX8:BX13">D8*0.15756/100</f>
        <v>187.33884</v>
      </c>
      <c r="BY8" s="17">
        <f aca="true" t="shared" si="53" ref="BY8:BY13">BW8+BX8</f>
        <v>187.33884</v>
      </c>
      <c r="BZ8" s="18">
        <f aca="true" t="shared" si="54" ref="BZ8:BZ13">BX$6*$F8</f>
        <v>71.66616599999999</v>
      </c>
      <c r="CA8" s="18">
        <f aca="true" t="shared" si="55" ref="CA8:CA13">BX$6*$G8</f>
        <v>64.8138816</v>
      </c>
      <c r="CB8" s="17"/>
      <c r="CC8" s="17">
        <f aca="true" t="shared" si="56" ref="CC8:CC13">C8*1.83309/100</f>
        <v>0</v>
      </c>
      <c r="CD8" s="17">
        <f aca="true" t="shared" si="57" ref="CD8:CD13">D8*1.83309/100</f>
        <v>2179.54401</v>
      </c>
      <c r="CE8" s="17">
        <f aca="true" t="shared" si="58" ref="CE8:CE13">CC8+CD8</f>
        <v>2179.54401</v>
      </c>
      <c r="CF8" s="18">
        <f aca="true" t="shared" si="59" ref="CF8:CF13">CD$6*$F8</f>
        <v>833.7809865</v>
      </c>
      <c r="CG8" s="18">
        <f aca="true" t="shared" si="60" ref="CG8:CG13">CD$6*$G8</f>
        <v>754.0599024</v>
      </c>
      <c r="CH8" s="17"/>
      <c r="CI8" s="17">
        <f aca="true" t="shared" si="61" ref="CI8:CI13">C8*0.88668/100</f>
        <v>0</v>
      </c>
      <c r="CJ8" s="17">
        <f aca="true" t="shared" si="62" ref="CJ8:CJ13">D8*0.88668/100</f>
        <v>1054.26252</v>
      </c>
      <c r="CK8" s="17">
        <f aca="true" t="shared" si="63" ref="CK8:CK13">CI8+CJ8</f>
        <v>1054.26252</v>
      </c>
      <c r="CL8" s="18">
        <f aca="true" t="shared" si="64" ref="CL8:CL13">CJ$6*$F8</f>
        <v>403.30639799999994</v>
      </c>
      <c r="CM8" s="18">
        <f aca="true" t="shared" si="65" ref="CM8:CM13">CJ$6*$G8</f>
        <v>364.74468479999996</v>
      </c>
      <c r="CN8" s="17"/>
      <c r="CO8" s="17">
        <f aca="true" t="shared" si="66" ref="CO8:CO13">C8*1.26751/100</f>
        <v>0</v>
      </c>
      <c r="CP8" s="17">
        <f aca="true" t="shared" si="67" ref="CP8:CP13">D8*1.26751/100</f>
        <v>1507.0693899999999</v>
      </c>
      <c r="CQ8" s="17">
        <f aca="true" t="shared" si="68" ref="CQ8:CQ13">CO8+CP8</f>
        <v>1507.0693899999999</v>
      </c>
      <c r="CR8" s="18">
        <f aca="true" t="shared" si="69" ref="CR8:CR13">CP$6*$F8</f>
        <v>576.5269235</v>
      </c>
      <c r="CS8" s="18">
        <f aca="true" t="shared" si="70" ref="CS8:CS13">CP$6*$G8</f>
        <v>521.4029136</v>
      </c>
      <c r="CT8" s="17"/>
      <c r="CU8" s="17">
        <f aca="true" t="shared" si="71" ref="CU8:CU13">C8*2.38279/100</f>
        <v>0</v>
      </c>
      <c r="CV8" s="17">
        <f aca="true" t="shared" si="72" ref="CV8:CV13">D8*2.38279/100</f>
        <v>2833.1373099999996</v>
      </c>
      <c r="CW8" s="17">
        <f aca="true" t="shared" si="73" ref="CW8:CW13">CU8+CV8</f>
        <v>2833.1373099999996</v>
      </c>
      <c r="CX8" s="18">
        <f aca="true" t="shared" si="74" ref="CX8:CX13">CV$6*$F8</f>
        <v>1083.8120314999999</v>
      </c>
      <c r="CY8" s="18">
        <f aca="true" t="shared" si="75" ref="CY8:CY13">CV$6*$G8</f>
        <v>980.1844944</v>
      </c>
      <c r="CZ8" s="17"/>
      <c r="DA8" s="63">
        <f aca="true" t="shared" si="76" ref="DA8:DA13">C8*1.83593/100</f>
        <v>0</v>
      </c>
      <c r="DB8" s="63">
        <f aca="true" t="shared" si="77" ref="DB8:DB13">D8*1.83593/100</f>
        <v>2182.92077</v>
      </c>
      <c r="DC8" s="63">
        <f aca="true" t="shared" si="78" ref="DC8:DC13">DA8+DB8</f>
        <v>2182.92077</v>
      </c>
      <c r="DD8" s="64">
        <f aca="true" t="shared" si="79" ref="DD8:DD13">DB$6*$F8</f>
        <v>835.0727605</v>
      </c>
      <c r="DE8" s="18">
        <f aca="true" t="shared" si="80" ref="DE8:DE13">DB$6*$G8</f>
        <v>755.2281648</v>
      </c>
      <c r="DF8" s="17"/>
      <c r="DG8" s="17">
        <f aca="true" t="shared" si="81" ref="DG8:DG13">C8*0.00114/100</f>
        <v>0</v>
      </c>
      <c r="DH8" s="17">
        <f aca="true" t="shared" si="82" ref="DH8:DH13">D8*0.00114/100</f>
        <v>1.3554599999999999</v>
      </c>
      <c r="DI8" s="17">
        <f aca="true" t="shared" si="83" ref="DI8:DI13">DG8+DH8</f>
        <v>1.3554599999999999</v>
      </c>
      <c r="DJ8" s="18">
        <f aca="true" t="shared" si="84" ref="DJ8:DJ13">DH$6*$F8</f>
        <v>0.518529</v>
      </c>
      <c r="DK8" s="18">
        <f aca="true" t="shared" si="85" ref="DK8:DK13">DH$6*$G8</f>
        <v>0.4689504</v>
      </c>
      <c r="DL8" s="17"/>
      <c r="DM8" s="17">
        <f aca="true" t="shared" si="86" ref="DM8:DM13">C8*0.01006/100</f>
        <v>0</v>
      </c>
      <c r="DN8" s="17">
        <f aca="true" t="shared" si="87" ref="DN8:DN13">D8*0.01006/100</f>
        <v>11.96134</v>
      </c>
      <c r="DO8" s="17">
        <f aca="true" t="shared" si="88" ref="DO8:DO13">DM8+DN8</f>
        <v>11.96134</v>
      </c>
      <c r="DP8" s="18">
        <f aca="true" t="shared" si="89" ref="DP8:DP13">DN$6*$F8</f>
        <v>4.575791000000001</v>
      </c>
      <c r="DQ8" s="18">
        <f aca="true" t="shared" si="90" ref="DQ8:DQ13">DN$6*$G8</f>
        <v>4.1382816</v>
      </c>
      <c r="DR8" s="17"/>
      <c r="DS8" s="17">
        <f aca="true" t="shared" si="91" ref="DS8:DS13">C8*0.11742/100</f>
        <v>0</v>
      </c>
      <c r="DT8" s="17">
        <f aca="true" t="shared" si="92" ref="DT8:DT13">D8*0.11742/100</f>
        <v>139.61238</v>
      </c>
      <c r="DU8" s="17">
        <f aca="true" t="shared" si="93" ref="DU8:DU13">DS8+DT8</f>
        <v>139.61238</v>
      </c>
      <c r="DV8" s="18">
        <f aca="true" t="shared" si="94" ref="DV8:DV13">DT$6*$F8</f>
        <v>53.408487</v>
      </c>
      <c r="DW8" s="18">
        <f aca="true" t="shared" si="95" ref="DW8:DW13">DT$6*$G8</f>
        <v>48.3018912</v>
      </c>
      <c r="DX8" s="17"/>
      <c r="DY8" s="17">
        <f aca="true" t="shared" si="96" ref="DY8:DY13">C8*0.50913/100</f>
        <v>0</v>
      </c>
      <c r="DZ8" s="17">
        <f aca="true" t="shared" si="97" ref="DZ8:DZ13">D8*0.50913/100</f>
        <v>605.35557</v>
      </c>
      <c r="EA8" s="17">
        <f aca="true" t="shared" si="98" ref="EA8:EA13">DY8+DZ8</f>
        <v>605.35557</v>
      </c>
      <c r="EB8" s="18">
        <f aca="true" t="shared" si="99" ref="EB8:EB13">DZ$6*$F8</f>
        <v>231.5777805</v>
      </c>
      <c r="EC8" s="18">
        <f aca="true" t="shared" si="100" ref="EC8:EC13">DZ$6*$G8</f>
        <v>209.4357168</v>
      </c>
      <c r="ED8" s="17"/>
      <c r="EE8" s="17">
        <f aca="true" t="shared" si="101" ref="EE8:EE13">C8*0.13411/100</f>
        <v>0</v>
      </c>
      <c r="EF8" s="17">
        <f aca="true" t="shared" si="102" ref="EF8:EF13">D8*0.13411/100</f>
        <v>159.45679</v>
      </c>
      <c r="EG8" s="17">
        <f aca="true" t="shared" si="103" ref="EG8:EG13">EE8+EF8</f>
        <v>159.45679</v>
      </c>
      <c r="EH8" s="18">
        <f aca="true" t="shared" si="104" ref="EH8:EH13">EF$6*$F8</f>
        <v>60.9999335</v>
      </c>
      <c r="EI8" s="18">
        <f aca="true" t="shared" si="105" ref="EI8:EI13">EF$6*$G8</f>
        <v>55.1674896</v>
      </c>
      <c r="EJ8" s="17"/>
      <c r="EK8" s="17">
        <f aca="true" t="shared" si="106" ref="EK8:EK13">C8*2.82949/100</f>
        <v>0</v>
      </c>
      <c r="EL8" s="17">
        <f aca="true" t="shared" si="107" ref="EL8:EL13">D8*2.82949/100</f>
        <v>3364.26361</v>
      </c>
      <c r="EM8" s="17">
        <f aca="true" t="shared" si="108" ref="EM8:EM13">EK8+EL8</f>
        <v>3364.26361</v>
      </c>
      <c r="EN8" s="18">
        <f aca="true" t="shared" si="109" ref="EN8:EN13">EL$6*$F8</f>
        <v>1286.9935265000001</v>
      </c>
      <c r="EO8" s="18">
        <f aca="true" t="shared" si="110" ref="EO8:EO13">EL$6*$G8</f>
        <v>1163.9390064000002</v>
      </c>
      <c r="EP8" s="17"/>
      <c r="EQ8" s="17">
        <f aca="true" t="shared" si="111" ref="EQ8:EQ13">C8*17.82682/100</f>
        <v>0</v>
      </c>
      <c r="ER8" s="17">
        <f aca="true" t="shared" si="112" ref="ER8:ER13">D8*17.82682/100</f>
        <v>21196.08898</v>
      </c>
      <c r="ES8" s="17">
        <f aca="true" t="shared" si="113" ref="ES8:ES13">EQ8+ER8</f>
        <v>21196.08898</v>
      </c>
      <c r="ET8" s="18">
        <f aca="true" t="shared" si="114" ref="ET8:ET13">ER$6*$F8</f>
        <v>8108.529076999999</v>
      </c>
      <c r="EU8" s="18">
        <f aca="true" t="shared" si="115" ref="EU8:EU13">ER$6*$G8</f>
        <v>7333.2406752</v>
      </c>
      <c r="EV8" s="17"/>
      <c r="EW8" s="17">
        <f aca="true" t="shared" si="116" ref="EW8:EW13">C8*0.74536/100</f>
        <v>0</v>
      </c>
      <c r="EX8" s="17">
        <f aca="true" t="shared" si="117" ref="EX8:EX13">D8*0.74536/100</f>
        <v>886.2330400000001</v>
      </c>
      <c r="EY8" s="17">
        <f aca="true" t="shared" si="118" ref="EY8:EY13">EW8+EX8</f>
        <v>886.2330400000001</v>
      </c>
      <c r="EZ8" s="18">
        <f aca="true" t="shared" si="119" ref="EZ8:EZ13">EX$6*$F8</f>
        <v>339.026996</v>
      </c>
      <c r="FA8" s="18">
        <f aca="true" t="shared" si="120" ref="FA8:FA13">EX$6*$G8</f>
        <v>306.6112896</v>
      </c>
      <c r="FB8" s="17"/>
      <c r="FC8" s="24"/>
      <c r="FD8" s="17"/>
      <c r="FE8" s="17"/>
      <c r="FF8" s="17"/>
      <c r="FG8" s="18">
        <f aca="true" t="shared" si="121" ref="FG8:FG13">FD$6*$G8</f>
        <v>0</v>
      </c>
    </row>
    <row r="9" spans="1:163" s="34" customFormat="1" ht="12.75">
      <c r="A9" s="33">
        <v>43922</v>
      </c>
      <c r="C9" s="24">
        <v>1905000</v>
      </c>
      <c r="D9" s="24">
        <v>118900</v>
      </c>
      <c r="E9" s="18">
        <f t="shared" si="0"/>
        <v>2023900</v>
      </c>
      <c r="F9" s="18">
        <v>45485</v>
      </c>
      <c r="G9" s="18">
        <v>41136</v>
      </c>
      <c r="H9" s="18"/>
      <c r="I9" s="50">
        <f>'2009D Academic'!I9</f>
        <v>192416.811</v>
      </c>
      <c r="J9" s="18">
        <f>'2009D Academic'!J9</f>
        <v>12009.637180000002</v>
      </c>
      <c r="K9" s="18">
        <f t="shared" si="1"/>
        <v>204426.44817999998</v>
      </c>
      <c r="L9" s="18">
        <f>'2009D Academic'!L9</f>
        <v>4594.267007</v>
      </c>
      <c r="M9" s="18">
        <f>'2009D Academic'!M9</f>
        <v>4154.991043200001</v>
      </c>
      <c r="N9" s="18"/>
      <c r="O9" s="17">
        <f>U9+AA9+AG9+AM9+AS9+AY9+BE9+BK9+BQ9+BW9+CC9+CI9+CO9+CU9+DA9+DG9+DM9+DS9+DY9+EE9+EK9+EQ9+EW9+FC9</f>
        <v>1712583.7605</v>
      </c>
      <c r="P9" s="17">
        <f t="shared" si="2"/>
        <v>106890.39848999999</v>
      </c>
      <c r="Q9" s="17">
        <f t="shared" si="3"/>
        <v>1819474.1589900001</v>
      </c>
      <c r="R9" s="17">
        <f t="shared" si="4"/>
        <v>40890.74663850001</v>
      </c>
      <c r="S9" s="17">
        <f t="shared" si="5"/>
        <v>36981.0212976</v>
      </c>
      <c r="T9"/>
      <c r="U9" s="17">
        <f t="shared" si="6"/>
        <v>767110.7339999999</v>
      </c>
      <c r="V9" s="17">
        <f t="shared" si="7"/>
        <v>47878.984919999995</v>
      </c>
      <c r="W9" s="17">
        <f t="shared" si="8"/>
        <v>814989.7189199999</v>
      </c>
      <c r="X9" s="18">
        <f t="shared" si="9"/>
        <v>18316.027158</v>
      </c>
      <c r="Y9" s="18">
        <f t="shared" si="10"/>
        <v>16564.7596608</v>
      </c>
      <c r="Z9" s="17"/>
      <c r="AA9" s="17">
        <f t="shared" si="11"/>
        <v>34463.355</v>
      </c>
      <c r="AB9" s="17">
        <f t="shared" si="12"/>
        <v>2151.0199</v>
      </c>
      <c r="AC9" s="17">
        <f t="shared" si="13"/>
        <v>36614.3749</v>
      </c>
      <c r="AD9" s="18">
        <f t="shared" si="14"/>
        <v>822.869135</v>
      </c>
      <c r="AE9" s="18">
        <f t="shared" si="15"/>
        <v>744.191376</v>
      </c>
      <c r="AF9" s="17"/>
      <c r="AG9" s="17">
        <f t="shared" si="16"/>
        <v>80659.4145</v>
      </c>
      <c r="AH9" s="17">
        <f t="shared" si="17"/>
        <v>5034.33301</v>
      </c>
      <c r="AI9" s="17">
        <f t="shared" si="18"/>
        <v>85693.74751</v>
      </c>
      <c r="AJ9" s="18">
        <f t="shared" si="19"/>
        <v>1925.8758365</v>
      </c>
      <c r="AK9" s="18">
        <f t="shared" si="20"/>
        <v>1741.7352624</v>
      </c>
      <c r="AL9" s="17"/>
      <c r="AM9" s="17">
        <f t="shared" si="21"/>
        <v>5835.5865</v>
      </c>
      <c r="AN9" s="17">
        <f t="shared" si="22"/>
        <v>364.22637000000003</v>
      </c>
      <c r="AO9" s="17">
        <f t="shared" si="23"/>
        <v>6199.812870000001</v>
      </c>
      <c r="AP9" s="18">
        <f t="shared" si="24"/>
        <v>139.3342005</v>
      </c>
      <c r="AQ9" s="18">
        <f t="shared" si="25"/>
        <v>126.0119088</v>
      </c>
      <c r="AR9" s="17"/>
      <c r="AS9" s="17">
        <f t="shared" si="26"/>
        <v>123704.22300000001</v>
      </c>
      <c r="AT9" s="17">
        <f t="shared" si="27"/>
        <v>7720.96174</v>
      </c>
      <c r="AU9" s="17">
        <f t="shared" si="28"/>
        <v>131425.18474000003</v>
      </c>
      <c r="AV9" s="18">
        <f t="shared" si="29"/>
        <v>2953.641251</v>
      </c>
      <c r="AW9" s="18">
        <f t="shared" si="30"/>
        <v>2671.2319776</v>
      </c>
      <c r="AX9" s="17"/>
      <c r="AY9" s="17">
        <f t="shared" si="31"/>
        <v>1596.771</v>
      </c>
      <c r="AZ9" s="17">
        <f t="shared" si="32"/>
        <v>99.66198</v>
      </c>
      <c r="BA9" s="17">
        <f t="shared" si="33"/>
        <v>1696.43298</v>
      </c>
      <c r="BB9" s="18">
        <f t="shared" si="34"/>
        <v>38.125527</v>
      </c>
      <c r="BC9" s="18">
        <f t="shared" si="35"/>
        <v>34.4801952</v>
      </c>
      <c r="BD9" s="17"/>
      <c r="BE9" s="17">
        <f t="shared" si="36"/>
        <v>2407.92</v>
      </c>
      <c r="BF9" s="17">
        <f t="shared" si="37"/>
        <v>150.2896</v>
      </c>
      <c r="BG9" s="17">
        <f t="shared" si="38"/>
        <v>2558.2096</v>
      </c>
      <c r="BH9" s="18">
        <f t="shared" si="39"/>
        <v>57.49303999999999</v>
      </c>
      <c r="BI9" s="18">
        <f t="shared" si="40"/>
        <v>51.995903999999996</v>
      </c>
      <c r="BJ9" s="17"/>
      <c r="BK9" s="17">
        <f t="shared" si="41"/>
        <v>98226.1815</v>
      </c>
      <c r="BL9" s="17">
        <f t="shared" si="42"/>
        <v>6130.75747</v>
      </c>
      <c r="BM9" s="17">
        <f t="shared" si="43"/>
        <v>104356.93897</v>
      </c>
      <c r="BN9" s="18">
        <f t="shared" si="44"/>
        <v>2345.3112155</v>
      </c>
      <c r="BO9" s="18">
        <f t="shared" si="45"/>
        <v>2121.0667728</v>
      </c>
      <c r="BP9" s="17"/>
      <c r="BQ9" s="17">
        <f t="shared" si="46"/>
        <v>16848.0105</v>
      </c>
      <c r="BR9" s="17">
        <f t="shared" si="47"/>
        <v>1051.56349</v>
      </c>
      <c r="BS9" s="17">
        <f t="shared" si="48"/>
        <v>17899.57399</v>
      </c>
      <c r="BT9" s="18">
        <f t="shared" si="49"/>
        <v>402.2738885</v>
      </c>
      <c r="BU9" s="18">
        <f t="shared" si="50"/>
        <v>363.81089760000003</v>
      </c>
      <c r="BV9" s="17"/>
      <c r="BW9" s="17">
        <f t="shared" si="51"/>
        <v>3001.518</v>
      </c>
      <c r="BX9" s="17">
        <f t="shared" si="52"/>
        <v>187.33884</v>
      </c>
      <c r="BY9" s="17">
        <f t="shared" si="53"/>
        <v>3188.85684</v>
      </c>
      <c r="BZ9" s="18">
        <f t="shared" si="54"/>
        <v>71.66616599999999</v>
      </c>
      <c r="CA9" s="18">
        <f t="shared" si="55"/>
        <v>64.8138816</v>
      </c>
      <c r="CB9" s="17"/>
      <c r="CC9" s="17">
        <f t="shared" si="56"/>
        <v>34920.3645</v>
      </c>
      <c r="CD9" s="17">
        <f t="shared" si="57"/>
        <v>2179.54401</v>
      </c>
      <c r="CE9" s="17">
        <f t="shared" si="58"/>
        <v>37099.90851</v>
      </c>
      <c r="CF9" s="18">
        <f t="shared" si="59"/>
        <v>833.7809865</v>
      </c>
      <c r="CG9" s="18">
        <f t="shared" si="60"/>
        <v>754.0599024</v>
      </c>
      <c r="CH9" s="17"/>
      <c r="CI9" s="17">
        <f t="shared" si="61"/>
        <v>16891.254</v>
      </c>
      <c r="CJ9" s="17">
        <f t="shared" si="62"/>
        <v>1054.26252</v>
      </c>
      <c r="CK9" s="17">
        <f t="shared" si="63"/>
        <v>17945.51652</v>
      </c>
      <c r="CL9" s="18">
        <f t="shared" si="64"/>
        <v>403.30639799999994</v>
      </c>
      <c r="CM9" s="18">
        <f t="shared" si="65"/>
        <v>364.74468479999996</v>
      </c>
      <c r="CN9" s="17"/>
      <c r="CO9" s="17">
        <f t="shared" si="66"/>
        <v>24146.065499999997</v>
      </c>
      <c r="CP9" s="17">
        <f t="shared" si="67"/>
        <v>1507.0693899999999</v>
      </c>
      <c r="CQ9" s="17">
        <f t="shared" si="68"/>
        <v>25653.134889999998</v>
      </c>
      <c r="CR9" s="18">
        <f t="shared" si="69"/>
        <v>576.5269235</v>
      </c>
      <c r="CS9" s="18">
        <f t="shared" si="70"/>
        <v>521.4029136</v>
      </c>
      <c r="CT9" s="17"/>
      <c r="CU9" s="17">
        <f t="shared" si="71"/>
        <v>45392.1495</v>
      </c>
      <c r="CV9" s="17">
        <f t="shared" si="72"/>
        <v>2833.1373099999996</v>
      </c>
      <c r="CW9" s="17">
        <f t="shared" si="73"/>
        <v>48225.28681</v>
      </c>
      <c r="CX9" s="18">
        <f t="shared" si="74"/>
        <v>1083.8120314999999</v>
      </c>
      <c r="CY9" s="18">
        <f t="shared" si="75"/>
        <v>980.1844944</v>
      </c>
      <c r="CZ9" s="17"/>
      <c r="DA9" s="63">
        <f t="shared" si="76"/>
        <v>34974.4665</v>
      </c>
      <c r="DB9" s="63">
        <f t="shared" si="77"/>
        <v>2182.92077</v>
      </c>
      <c r="DC9" s="63">
        <f t="shared" si="78"/>
        <v>37157.38727</v>
      </c>
      <c r="DD9" s="64">
        <f t="shared" si="79"/>
        <v>835.0727605</v>
      </c>
      <c r="DE9" s="18">
        <f t="shared" si="80"/>
        <v>755.2281648</v>
      </c>
      <c r="DF9" s="17"/>
      <c r="DG9" s="17">
        <f t="shared" si="81"/>
        <v>21.717</v>
      </c>
      <c r="DH9" s="17">
        <f t="shared" si="82"/>
        <v>1.3554599999999999</v>
      </c>
      <c r="DI9" s="17">
        <f t="shared" si="83"/>
        <v>23.07246</v>
      </c>
      <c r="DJ9" s="18">
        <f t="shared" si="84"/>
        <v>0.518529</v>
      </c>
      <c r="DK9" s="18">
        <f t="shared" si="85"/>
        <v>0.4689504</v>
      </c>
      <c r="DL9" s="17"/>
      <c r="DM9" s="17">
        <f t="shared" si="86"/>
        <v>191.643</v>
      </c>
      <c r="DN9" s="17">
        <f t="shared" si="87"/>
        <v>11.96134</v>
      </c>
      <c r="DO9" s="17">
        <f t="shared" si="88"/>
        <v>203.60434</v>
      </c>
      <c r="DP9" s="18">
        <f t="shared" si="89"/>
        <v>4.575791000000001</v>
      </c>
      <c r="DQ9" s="18">
        <f t="shared" si="90"/>
        <v>4.1382816</v>
      </c>
      <c r="DR9" s="17"/>
      <c r="DS9" s="17">
        <f t="shared" si="91"/>
        <v>2236.851</v>
      </c>
      <c r="DT9" s="17">
        <f t="shared" si="92"/>
        <v>139.61238</v>
      </c>
      <c r="DU9" s="17">
        <f t="shared" si="93"/>
        <v>2376.46338</v>
      </c>
      <c r="DV9" s="18">
        <f t="shared" si="94"/>
        <v>53.408487</v>
      </c>
      <c r="DW9" s="18">
        <f t="shared" si="95"/>
        <v>48.3018912</v>
      </c>
      <c r="DX9" s="17"/>
      <c r="DY9" s="17">
        <f t="shared" si="96"/>
        <v>9698.9265</v>
      </c>
      <c r="DZ9" s="17">
        <f t="shared" si="97"/>
        <v>605.35557</v>
      </c>
      <c r="EA9" s="17">
        <f t="shared" si="98"/>
        <v>10304.28207</v>
      </c>
      <c r="EB9" s="18">
        <f t="shared" si="99"/>
        <v>231.5777805</v>
      </c>
      <c r="EC9" s="18">
        <f t="shared" si="100"/>
        <v>209.4357168</v>
      </c>
      <c r="ED9" s="17"/>
      <c r="EE9" s="17">
        <f t="shared" si="101"/>
        <v>2554.7955</v>
      </c>
      <c r="EF9" s="17">
        <f t="shared" si="102"/>
        <v>159.45679</v>
      </c>
      <c r="EG9" s="17">
        <f t="shared" si="103"/>
        <v>2714.2522900000004</v>
      </c>
      <c r="EH9" s="18">
        <f t="shared" si="104"/>
        <v>60.9999335</v>
      </c>
      <c r="EI9" s="18">
        <f t="shared" si="105"/>
        <v>55.1674896</v>
      </c>
      <c r="EJ9" s="17"/>
      <c r="EK9" s="17">
        <f t="shared" si="106"/>
        <v>53901.784499999994</v>
      </c>
      <c r="EL9" s="17">
        <f t="shared" si="107"/>
        <v>3364.26361</v>
      </c>
      <c r="EM9" s="17">
        <f t="shared" si="108"/>
        <v>57266.048109999996</v>
      </c>
      <c r="EN9" s="18">
        <f t="shared" si="109"/>
        <v>1286.9935265000001</v>
      </c>
      <c r="EO9" s="18">
        <f t="shared" si="110"/>
        <v>1163.9390064000002</v>
      </c>
      <c r="EP9" s="17"/>
      <c r="EQ9" s="17">
        <f t="shared" si="111"/>
        <v>339600.92100000003</v>
      </c>
      <c r="ER9" s="17">
        <f t="shared" si="112"/>
        <v>21196.08898</v>
      </c>
      <c r="ES9" s="17">
        <f t="shared" si="113"/>
        <v>360797.00998000003</v>
      </c>
      <c r="ET9" s="18">
        <f t="shared" si="114"/>
        <v>8108.529076999999</v>
      </c>
      <c r="EU9" s="18">
        <f t="shared" si="115"/>
        <v>7333.2406752</v>
      </c>
      <c r="EV9" s="17"/>
      <c r="EW9" s="17">
        <f t="shared" si="116"/>
        <v>14199.108</v>
      </c>
      <c r="EX9" s="17">
        <f t="shared" si="117"/>
        <v>886.2330400000001</v>
      </c>
      <c r="EY9" s="17">
        <f t="shared" si="118"/>
        <v>15085.34104</v>
      </c>
      <c r="EZ9" s="18">
        <f t="shared" si="119"/>
        <v>339.026996</v>
      </c>
      <c r="FA9" s="18">
        <f t="shared" si="120"/>
        <v>306.6112896</v>
      </c>
      <c r="FB9" s="17"/>
      <c r="FC9" s="24"/>
      <c r="FD9" s="17"/>
      <c r="FE9" s="17"/>
      <c r="FF9" s="17"/>
      <c r="FG9" s="18">
        <f t="shared" si="121"/>
        <v>0</v>
      </c>
    </row>
    <row r="10" spans="1:163" s="34" customFormat="1" ht="12.75">
      <c r="A10" s="33">
        <v>44105</v>
      </c>
      <c r="C10" s="24"/>
      <c r="D10" s="24">
        <v>80800</v>
      </c>
      <c r="E10" s="18">
        <f t="shared" si="0"/>
        <v>80800</v>
      </c>
      <c r="F10" s="18">
        <v>45485</v>
      </c>
      <c r="G10" s="18">
        <v>41136</v>
      </c>
      <c r="H10" s="18"/>
      <c r="I10" s="50">
        <f>'2009D Academic'!I10</f>
        <v>0</v>
      </c>
      <c r="J10" s="18">
        <f>'2009D Academic'!J10</f>
        <v>8161.3009600000005</v>
      </c>
      <c r="K10" s="18">
        <f t="shared" si="1"/>
        <v>8161.3009600000005</v>
      </c>
      <c r="L10" s="18">
        <f>'2009D Academic'!L10</f>
        <v>4594.267007</v>
      </c>
      <c r="M10" s="18">
        <f>'2009D Academic'!M10</f>
        <v>4154.991043200001</v>
      </c>
      <c r="N10" s="18"/>
      <c r="O10" s="17"/>
      <c r="P10" s="17">
        <f t="shared" si="2"/>
        <v>72638.72328</v>
      </c>
      <c r="Q10" s="17">
        <f t="shared" si="3"/>
        <v>72638.72328</v>
      </c>
      <c r="R10" s="17">
        <f t="shared" si="4"/>
        <v>40890.74663850001</v>
      </c>
      <c r="S10" s="17">
        <f t="shared" si="5"/>
        <v>36981.0212976</v>
      </c>
      <c r="T10"/>
      <c r="U10" s="17">
        <f t="shared" si="6"/>
        <v>0</v>
      </c>
      <c r="V10" s="17">
        <f t="shared" si="7"/>
        <v>32536.770239999998</v>
      </c>
      <c r="W10" s="17">
        <f t="shared" si="8"/>
        <v>32536.770239999998</v>
      </c>
      <c r="X10" s="18">
        <f t="shared" si="9"/>
        <v>18316.027158</v>
      </c>
      <c r="Y10" s="18">
        <f t="shared" si="10"/>
        <v>16564.7596608</v>
      </c>
      <c r="Z10" s="17"/>
      <c r="AA10" s="17">
        <f t="shared" si="11"/>
        <v>0</v>
      </c>
      <c r="AB10" s="17">
        <f t="shared" si="12"/>
        <v>1461.7528</v>
      </c>
      <c r="AC10" s="17">
        <f t="shared" si="13"/>
        <v>1461.7528</v>
      </c>
      <c r="AD10" s="18">
        <f t="shared" si="14"/>
        <v>822.869135</v>
      </c>
      <c r="AE10" s="18">
        <f t="shared" si="15"/>
        <v>744.191376</v>
      </c>
      <c r="AF10" s="17"/>
      <c r="AG10" s="17">
        <f t="shared" si="16"/>
        <v>0</v>
      </c>
      <c r="AH10" s="17">
        <f t="shared" si="17"/>
        <v>3421.1447200000002</v>
      </c>
      <c r="AI10" s="17">
        <f t="shared" si="18"/>
        <v>3421.1447200000002</v>
      </c>
      <c r="AJ10" s="18">
        <f t="shared" si="19"/>
        <v>1925.8758365</v>
      </c>
      <c r="AK10" s="18">
        <f t="shared" si="20"/>
        <v>1741.7352624</v>
      </c>
      <c r="AL10" s="17"/>
      <c r="AM10" s="17">
        <f t="shared" si="21"/>
        <v>0</v>
      </c>
      <c r="AN10" s="17">
        <f t="shared" si="22"/>
        <v>247.51463999999999</v>
      </c>
      <c r="AO10" s="17">
        <f t="shared" si="23"/>
        <v>247.51463999999999</v>
      </c>
      <c r="AP10" s="18">
        <f t="shared" si="24"/>
        <v>139.3342005</v>
      </c>
      <c r="AQ10" s="18">
        <f t="shared" si="25"/>
        <v>126.0119088</v>
      </c>
      <c r="AR10" s="17"/>
      <c r="AS10" s="17">
        <f t="shared" si="26"/>
        <v>0</v>
      </c>
      <c r="AT10" s="17">
        <f t="shared" si="27"/>
        <v>5246.87728</v>
      </c>
      <c r="AU10" s="17">
        <f t="shared" si="28"/>
        <v>5246.87728</v>
      </c>
      <c r="AV10" s="18">
        <f t="shared" si="29"/>
        <v>2953.641251</v>
      </c>
      <c r="AW10" s="18">
        <f t="shared" si="30"/>
        <v>2671.2319776</v>
      </c>
      <c r="AX10" s="17"/>
      <c r="AY10" s="17">
        <f t="shared" si="31"/>
        <v>0</v>
      </c>
      <c r="AZ10" s="17">
        <f t="shared" si="32"/>
        <v>67.72656</v>
      </c>
      <c r="BA10" s="17">
        <f t="shared" si="33"/>
        <v>67.72656</v>
      </c>
      <c r="BB10" s="18">
        <f t="shared" si="34"/>
        <v>38.125527</v>
      </c>
      <c r="BC10" s="18">
        <f t="shared" si="35"/>
        <v>34.4801952</v>
      </c>
      <c r="BD10" s="17"/>
      <c r="BE10" s="17">
        <f t="shared" si="36"/>
        <v>0</v>
      </c>
      <c r="BF10" s="17">
        <f t="shared" si="37"/>
        <v>102.1312</v>
      </c>
      <c r="BG10" s="17">
        <f t="shared" si="38"/>
        <v>102.1312</v>
      </c>
      <c r="BH10" s="18">
        <f t="shared" si="39"/>
        <v>57.49303999999999</v>
      </c>
      <c r="BI10" s="18">
        <f t="shared" si="40"/>
        <v>51.995903999999996</v>
      </c>
      <c r="BJ10" s="17"/>
      <c r="BK10" s="17">
        <f t="shared" si="41"/>
        <v>0</v>
      </c>
      <c r="BL10" s="17">
        <f t="shared" si="42"/>
        <v>4166.23384</v>
      </c>
      <c r="BM10" s="17">
        <f t="shared" si="43"/>
        <v>4166.23384</v>
      </c>
      <c r="BN10" s="18">
        <f t="shared" si="44"/>
        <v>2345.3112155</v>
      </c>
      <c r="BO10" s="18">
        <f t="shared" si="45"/>
        <v>2121.0667728</v>
      </c>
      <c r="BP10" s="17"/>
      <c r="BQ10" s="17">
        <f t="shared" si="46"/>
        <v>0</v>
      </c>
      <c r="BR10" s="17">
        <f t="shared" si="47"/>
        <v>714.60328</v>
      </c>
      <c r="BS10" s="17">
        <f t="shared" si="48"/>
        <v>714.60328</v>
      </c>
      <c r="BT10" s="18">
        <f t="shared" si="49"/>
        <v>402.2738885</v>
      </c>
      <c r="BU10" s="18">
        <f t="shared" si="50"/>
        <v>363.81089760000003</v>
      </c>
      <c r="BV10" s="17"/>
      <c r="BW10" s="17">
        <f t="shared" si="51"/>
        <v>0</v>
      </c>
      <c r="BX10" s="17">
        <f t="shared" si="52"/>
        <v>127.30848</v>
      </c>
      <c r="BY10" s="17">
        <f t="shared" si="53"/>
        <v>127.30848</v>
      </c>
      <c r="BZ10" s="18">
        <f t="shared" si="54"/>
        <v>71.66616599999999</v>
      </c>
      <c r="CA10" s="18">
        <f t="shared" si="55"/>
        <v>64.8138816</v>
      </c>
      <c r="CB10" s="17"/>
      <c r="CC10" s="17">
        <f t="shared" si="56"/>
        <v>0</v>
      </c>
      <c r="CD10" s="17">
        <f t="shared" si="57"/>
        <v>1481.1367200000002</v>
      </c>
      <c r="CE10" s="17">
        <f t="shared" si="58"/>
        <v>1481.1367200000002</v>
      </c>
      <c r="CF10" s="18">
        <f t="shared" si="59"/>
        <v>833.7809865</v>
      </c>
      <c r="CG10" s="18">
        <f t="shared" si="60"/>
        <v>754.0599024</v>
      </c>
      <c r="CH10" s="17"/>
      <c r="CI10" s="17">
        <f t="shared" si="61"/>
        <v>0</v>
      </c>
      <c r="CJ10" s="17">
        <f t="shared" si="62"/>
        <v>716.43744</v>
      </c>
      <c r="CK10" s="17">
        <f t="shared" si="63"/>
        <v>716.43744</v>
      </c>
      <c r="CL10" s="18">
        <f t="shared" si="64"/>
        <v>403.30639799999994</v>
      </c>
      <c r="CM10" s="18">
        <f t="shared" si="65"/>
        <v>364.74468479999996</v>
      </c>
      <c r="CN10" s="17"/>
      <c r="CO10" s="17">
        <f t="shared" si="66"/>
        <v>0</v>
      </c>
      <c r="CP10" s="17">
        <f t="shared" si="67"/>
        <v>1024.14808</v>
      </c>
      <c r="CQ10" s="17">
        <f t="shared" si="68"/>
        <v>1024.14808</v>
      </c>
      <c r="CR10" s="18">
        <f t="shared" si="69"/>
        <v>576.5269235</v>
      </c>
      <c r="CS10" s="18">
        <f t="shared" si="70"/>
        <v>521.4029136</v>
      </c>
      <c r="CT10" s="17"/>
      <c r="CU10" s="17">
        <f t="shared" si="71"/>
        <v>0</v>
      </c>
      <c r="CV10" s="17">
        <f t="shared" si="72"/>
        <v>1925.29432</v>
      </c>
      <c r="CW10" s="17">
        <f t="shared" si="73"/>
        <v>1925.29432</v>
      </c>
      <c r="CX10" s="18">
        <f t="shared" si="74"/>
        <v>1083.8120314999999</v>
      </c>
      <c r="CY10" s="18">
        <f t="shared" si="75"/>
        <v>980.1844944</v>
      </c>
      <c r="CZ10" s="17"/>
      <c r="DA10" s="63">
        <f t="shared" si="76"/>
        <v>0</v>
      </c>
      <c r="DB10" s="63">
        <f t="shared" si="77"/>
        <v>1483.43144</v>
      </c>
      <c r="DC10" s="63">
        <f t="shared" si="78"/>
        <v>1483.43144</v>
      </c>
      <c r="DD10" s="64">
        <f t="shared" si="79"/>
        <v>835.0727605</v>
      </c>
      <c r="DE10" s="18">
        <f t="shared" si="80"/>
        <v>755.2281648</v>
      </c>
      <c r="DF10" s="17"/>
      <c r="DG10" s="17">
        <f t="shared" si="81"/>
        <v>0</v>
      </c>
      <c r="DH10" s="17">
        <f t="shared" si="82"/>
        <v>0.9211199999999999</v>
      </c>
      <c r="DI10" s="17">
        <f t="shared" si="83"/>
        <v>0.9211199999999999</v>
      </c>
      <c r="DJ10" s="18">
        <f t="shared" si="84"/>
        <v>0.518529</v>
      </c>
      <c r="DK10" s="18">
        <f t="shared" si="85"/>
        <v>0.4689504</v>
      </c>
      <c r="DL10" s="17"/>
      <c r="DM10" s="17">
        <f t="shared" si="86"/>
        <v>0</v>
      </c>
      <c r="DN10" s="17">
        <f t="shared" si="87"/>
        <v>8.12848</v>
      </c>
      <c r="DO10" s="17">
        <f t="shared" si="88"/>
        <v>8.12848</v>
      </c>
      <c r="DP10" s="18">
        <f t="shared" si="89"/>
        <v>4.575791000000001</v>
      </c>
      <c r="DQ10" s="18">
        <f t="shared" si="90"/>
        <v>4.1382816</v>
      </c>
      <c r="DR10" s="17"/>
      <c r="DS10" s="17">
        <f t="shared" si="91"/>
        <v>0</v>
      </c>
      <c r="DT10" s="17">
        <f t="shared" si="92"/>
        <v>94.87536</v>
      </c>
      <c r="DU10" s="17">
        <f t="shared" si="93"/>
        <v>94.87536</v>
      </c>
      <c r="DV10" s="18">
        <f t="shared" si="94"/>
        <v>53.408487</v>
      </c>
      <c r="DW10" s="18">
        <f t="shared" si="95"/>
        <v>48.3018912</v>
      </c>
      <c r="DX10" s="17"/>
      <c r="DY10" s="17">
        <f t="shared" si="96"/>
        <v>0</v>
      </c>
      <c r="DZ10" s="17">
        <f t="shared" si="97"/>
        <v>411.37703999999997</v>
      </c>
      <c r="EA10" s="17">
        <f t="shared" si="98"/>
        <v>411.37703999999997</v>
      </c>
      <c r="EB10" s="18">
        <f t="shared" si="99"/>
        <v>231.5777805</v>
      </c>
      <c r="EC10" s="18">
        <f t="shared" si="100"/>
        <v>209.4357168</v>
      </c>
      <c r="ED10" s="17"/>
      <c r="EE10" s="17">
        <f t="shared" si="101"/>
        <v>0</v>
      </c>
      <c r="EF10" s="17">
        <f t="shared" si="102"/>
        <v>108.36088</v>
      </c>
      <c r="EG10" s="17">
        <f t="shared" si="103"/>
        <v>108.36088</v>
      </c>
      <c r="EH10" s="18">
        <f t="shared" si="104"/>
        <v>60.9999335</v>
      </c>
      <c r="EI10" s="18">
        <f t="shared" si="105"/>
        <v>55.1674896</v>
      </c>
      <c r="EJ10" s="17"/>
      <c r="EK10" s="17">
        <f t="shared" si="106"/>
        <v>0</v>
      </c>
      <c r="EL10" s="17">
        <f t="shared" si="107"/>
        <v>2286.22792</v>
      </c>
      <c r="EM10" s="17">
        <f t="shared" si="108"/>
        <v>2286.22792</v>
      </c>
      <c r="EN10" s="18">
        <f t="shared" si="109"/>
        <v>1286.9935265000001</v>
      </c>
      <c r="EO10" s="18">
        <f t="shared" si="110"/>
        <v>1163.9390064000002</v>
      </c>
      <c r="EP10" s="17"/>
      <c r="EQ10" s="17">
        <f t="shared" si="111"/>
        <v>0</v>
      </c>
      <c r="ER10" s="17">
        <f t="shared" si="112"/>
        <v>14404.07056</v>
      </c>
      <c r="ES10" s="17">
        <f t="shared" si="113"/>
        <v>14404.07056</v>
      </c>
      <c r="ET10" s="18">
        <f t="shared" si="114"/>
        <v>8108.529076999999</v>
      </c>
      <c r="EU10" s="18">
        <f t="shared" si="115"/>
        <v>7333.2406752</v>
      </c>
      <c r="EV10" s="17"/>
      <c r="EW10" s="17">
        <f t="shared" si="116"/>
        <v>0</v>
      </c>
      <c r="EX10" s="17">
        <f t="shared" si="117"/>
        <v>602.25088</v>
      </c>
      <c r="EY10" s="17">
        <f t="shared" si="118"/>
        <v>602.25088</v>
      </c>
      <c r="EZ10" s="18">
        <f t="shared" si="119"/>
        <v>339.026996</v>
      </c>
      <c r="FA10" s="18">
        <f t="shared" si="120"/>
        <v>306.6112896</v>
      </c>
      <c r="FB10" s="17"/>
      <c r="FC10" s="24"/>
      <c r="FD10" s="17"/>
      <c r="FE10" s="17"/>
      <c r="FF10" s="17"/>
      <c r="FG10" s="18">
        <f t="shared" si="121"/>
        <v>0</v>
      </c>
    </row>
    <row r="11" spans="1:163" s="34" customFormat="1" ht="12.75">
      <c r="A11" s="33">
        <v>44287</v>
      </c>
      <c r="C11" s="24">
        <v>1980000</v>
      </c>
      <c r="D11" s="24">
        <v>80800</v>
      </c>
      <c r="E11" s="18">
        <f t="shared" si="0"/>
        <v>2060800</v>
      </c>
      <c r="F11" s="18">
        <v>45485</v>
      </c>
      <c r="G11" s="18">
        <v>41136</v>
      </c>
      <c r="H11" s="18"/>
      <c r="I11" s="50">
        <f>'2009D Academic'!I11</f>
        <v>199992.276</v>
      </c>
      <c r="J11" s="18">
        <f>'2009D Academic'!J11</f>
        <v>8161.3009600000005</v>
      </c>
      <c r="K11" s="18">
        <f t="shared" si="1"/>
        <v>208153.57696</v>
      </c>
      <c r="L11" s="18">
        <f>'2009D Academic'!L11</f>
        <v>4594.267007</v>
      </c>
      <c r="M11" s="18">
        <f>'2009D Academic'!M11</f>
        <v>4154.991043200001</v>
      </c>
      <c r="N11" s="18"/>
      <c r="O11" s="17">
        <f>U11+AA11+AG11+AM11+AS11+AY11+BE11+BK11+BQ11+BW11+CC11+CI11+CO11+CU11+DA11+DG11+DM11+DS11+DY11+EE11+EK11+EQ11+EW11+FC11</f>
        <v>1780008.3180000004</v>
      </c>
      <c r="P11" s="17">
        <f t="shared" si="2"/>
        <v>72638.72328</v>
      </c>
      <c r="Q11" s="17">
        <f t="shared" si="3"/>
        <v>1852647.0412800005</v>
      </c>
      <c r="R11" s="17">
        <f t="shared" si="4"/>
        <v>40890.74663850001</v>
      </c>
      <c r="S11" s="17">
        <f t="shared" si="5"/>
        <v>36981.0212976</v>
      </c>
      <c r="T11"/>
      <c r="U11" s="17">
        <f t="shared" si="6"/>
        <v>797311.9439999999</v>
      </c>
      <c r="V11" s="17">
        <f t="shared" si="7"/>
        <v>32536.770239999998</v>
      </c>
      <c r="W11" s="17">
        <f t="shared" si="8"/>
        <v>829848.7142399999</v>
      </c>
      <c r="X11" s="18">
        <f t="shared" si="9"/>
        <v>18316.027158</v>
      </c>
      <c r="Y11" s="18">
        <f t="shared" si="10"/>
        <v>16564.7596608</v>
      </c>
      <c r="Z11" s="17"/>
      <c r="AA11" s="17">
        <f t="shared" si="11"/>
        <v>35820.18</v>
      </c>
      <c r="AB11" s="17">
        <f t="shared" si="12"/>
        <v>1461.7528</v>
      </c>
      <c r="AC11" s="17">
        <f t="shared" si="13"/>
        <v>37281.9328</v>
      </c>
      <c r="AD11" s="18">
        <f t="shared" si="14"/>
        <v>822.869135</v>
      </c>
      <c r="AE11" s="18">
        <f t="shared" si="15"/>
        <v>744.191376</v>
      </c>
      <c r="AF11" s="17"/>
      <c r="AG11" s="17">
        <f t="shared" si="16"/>
        <v>83834.982</v>
      </c>
      <c r="AH11" s="17">
        <f t="shared" si="17"/>
        <v>3421.1447200000002</v>
      </c>
      <c r="AI11" s="17">
        <f t="shared" si="18"/>
        <v>87256.12672</v>
      </c>
      <c r="AJ11" s="18">
        <f t="shared" si="19"/>
        <v>1925.8758365</v>
      </c>
      <c r="AK11" s="18">
        <f t="shared" si="20"/>
        <v>1741.7352624</v>
      </c>
      <c r="AL11" s="17"/>
      <c r="AM11" s="17">
        <f t="shared" si="21"/>
        <v>6065.334</v>
      </c>
      <c r="AN11" s="17">
        <f t="shared" si="22"/>
        <v>247.51463999999999</v>
      </c>
      <c r="AO11" s="17">
        <f t="shared" si="23"/>
        <v>6312.84864</v>
      </c>
      <c r="AP11" s="18">
        <f t="shared" si="24"/>
        <v>139.3342005</v>
      </c>
      <c r="AQ11" s="18">
        <f t="shared" si="25"/>
        <v>126.0119088</v>
      </c>
      <c r="AR11" s="17"/>
      <c r="AS11" s="17">
        <f t="shared" si="26"/>
        <v>128574.46800000001</v>
      </c>
      <c r="AT11" s="17">
        <f t="shared" si="27"/>
        <v>5246.87728</v>
      </c>
      <c r="AU11" s="17">
        <f t="shared" si="28"/>
        <v>133821.34528</v>
      </c>
      <c r="AV11" s="18">
        <f t="shared" si="29"/>
        <v>2953.641251</v>
      </c>
      <c r="AW11" s="18">
        <f t="shared" si="30"/>
        <v>2671.2319776</v>
      </c>
      <c r="AX11" s="17"/>
      <c r="AY11" s="17">
        <f t="shared" si="31"/>
        <v>1659.636</v>
      </c>
      <c r="AZ11" s="17">
        <f t="shared" si="32"/>
        <v>67.72656</v>
      </c>
      <c r="BA11" s="17">
        <f t="shared" si="33"/>
        <v>1727.36256</v>
      </c>
      <c r="BB11" s="18">
        <f t="shared" si="34"/>
        <v>38.125527</v>
      </c>
      <c r="BC11" s="18">
        <f t="shared" si="35"/>
        <v>34.4801952</v>
      </c>
      <c r="BD11" s="17"/>
      <c r="BE11" s="17">
        <f t="shared" si="36"/>
        <v>2502.7200000000003</v>
      </c>
      <c r="BF11" s="17">
        <f t="shared" si="37"/>
        <v>102.1312</v>
      </c>
      <c r="BG11" s="17">
        <f t="shared" si="38"/>
        <v>2604.8512</v>
      </c>
      <c r="BH11" s="18">
        <f t="shared" si="39"/>
        <v>57.49303999999999</v>
      </c>
      <c r="BI11" s="18">
        <f t="shared" si="40"/>
        <v>51.995903999999996</v>
      </c>
      <c r="BJ11" s="17"/>
      <c r="BK11" s="17">
        <f t="shared" si="41"/>
        <v>102093.354</v>
      </c>
      <c r="BL11" s="17">
        <f t="shared" si="42"/>
        <v>4166.23384</v>
      </c>
      <c r="BM11" s="17">
        <f t="shared" si="43"/>
        <v>106259.58784000001</v>
      </c>
      <c r="BN11" s="18">
        <f t="shared" si="44"/>
        <v>2345.3112155</v>
      </c>
      <c r="BO11" s="18">
        <f t="shared" si="45"/>
        <v>2121.0667728</v>
      </c>
      <c r="BP11" s="17"/>
      <c r="BQ11" s="17">
        <f t="shared" si="46"/>
        <v>17511.318</v>
      </c>
      <c r="BR11" s="17">
        <f t="shared" si="47"/>
        <v>714.60328</v>
      </c>
      <c r="BS11" s="17">
        <f t="shared" si="48"/>
        <v>18225.92128</v>
      </c>
      <c r="BT11" s="18">
        <f t="shared" si="49"/>
        <v>402.2738885</v>
      </c>
      <c r="BU11" s="18">
        <f t="shared" si="50"/>
        <v>363.81089760000003</v>
      </c>
      <c r="BV11" s="17"/>
      <c r="BW11" s="17">
        <f t="shared" si="51"/>
        <v>3119.688</v>
      </c>
      <c r="BX11" s="17">
        <f t="shared" si="52"/>
        <v>127.30848</v>
      </c>
      <c r="BY11" s="17">
        <f t="shared" si="53"/>
        <v>3246.9964800000002</v>
      </c>
      <c r="BZ11" s="18">
        <f t="shared" si="54"/>
        <v>71.66616599999999</v>
      </c>
      <c r="CA11" s="18">
        <f t="shared" si="55"/>
        <v>64.8138816</v>
      </c>
      <c r="CB11" s="17"/>
      <c r="CC11" s="17">
        <f t="shared" si="56"/>
        <v>36295.182</v>
      </c>
      <c r="CD11" s="17">
        <f t="shared" si="57"/>
        <v>1481.1367200000002</v>
      </c>
      <c r="CE11" s="17">
        <f t="shared" si="58"/>
        <v>37776.31872</v>
      </c>
      <c r="CF11" s="18">
        <f t="shared" si="59"/>
        <v>833.7809865</v>
      </c>
      <c r="CG11" s="18">
        <f t="shared" si="60"/>
        <v>754.0599024</v>
      </c>
      <c r="CH11" s="17"/>
      <c r="CI11" s="17">
        <f t="shared" si="61"/>
        <v>17556.264000000003</v>
      </c>
      <c r="CJ11" s="17">
        <f t="shared" si="62"/>
        <v>716.43744</v>
      </c>
      <c r="CK11" s="17">
        <f t="shared" si="63"/>
        <v>18272.701440000004</v>
      </c>
      <c r="CL11" s="18">
        <f t="shared" si="64"/>
        <v>403.30639799999994</v>
      </c>
      <c r="CM11" s="18">
        <f t="shared" si="65"/>
        <v>364.74468479999996</v>
      </c>
      <c r="CN11" s="17"/>
      <c r="CO11" s="17">
        <f t="shared" si="66"/>
        <v>25096.697999999997</v>
      </c>
      <c r="CP11" s="17">
        <f t="shared" si="67"/>
        <v>1024.14808</v>
      </c>
      <c r="CQ11" s="17">
        <f t="shared" si="68"/>
        <v>26120.846079999996</v>
      </c>
      <c r="CR11" s="18">
        <f t="shared" si="69"/>
        <v>576.5269235</v>
      </c>
      <c r="CS11" s="18">
        <f t="shared" si="70"/>
        <v>521.4029136</v>
      </c>
      <c r="CT11" s="17"/>
      <c r="CU11" s="17">
        <f t="shared" si="71"/>
        <v>47179.242</v>
      </c>
      <c r="CV11" s="17">
        <f t="shared" si="72"/>
        <v>1925.29432</v>
      </c>
      <c r="CW11" s="17">
        <f t="shared" si="73"/>
        <v>49104.53632</v>
      </c>
      <c r="CX11" s="18">
        <f t="shared" si="74"/>
        <v>1083.8120314999999</v>
      </c>
      <c r="CY11" s="18">
        <f t="shared" si="75"/>
        <v>980.1844944</v>
      </c>
      <c r="CZ11" s="17"/>
      <c r="DA11" s="63">
        <f t="shared" si="76"/>
        <v>36351.414</v>
      </c>
      <c r="DB11" s="63">
        <f t="shared" si="77"/>
        <v>1483.43144</v>
      </c>
      <c r="DC11" s="63">
        <f t="shared" si="78"/>
        <v>37834.84544</v>
      </c>
      <c r="DD11" s="64">
        <f t="shared" si="79"/>
        <v>835.0727605</v>
      </c>
      <c r="DE11" s="18">
        <f t="shared" si="80"/>
        <v>755.2281648</v>
      </c>
      <c r="DF11" s="17"/>
      <c r="DG11" s="17">
        <f t="shared" si="81"/>
        <v>22.572</v>
      </c>
      <c r="DH11" s="17">
        <f t="shared" si="82"/>
        <v>0.9211199999999999</v>
      </c>
      <c r="DI11" s="17">
        <f t="shared" si="83"/>
        <v>23.493119999999998</v>
      </c>
      <c r="DJ11" s="18">
        <f t="shared" si="84"/>
        <v>0.518529</v>
      </c>
      <c r="DK11" s="18">
        <f t="shared" si="85"/>
        <v>0.4689504</v>
      </c>
      <c r="DL11" s="17"/>
      <c r="DM11" s="17">
        <f t="shared" si="86"/>
        <v>199.188</v>
      </c>
      <c r="DN11" s="17">
        <f t="shared" si="87"/>
        <v>8.12848</v>
      </c>
      <c r="DO11" s="17">
        <f t="shared" si="88"/>
        <v>207.31647999999998</v>
      </c>
      <c r="DP11" s="18">
        <f t="shared" si="89"/>
        <v>4.575791000000001</v>
      </c>
      <c r="DQ11" s="18">
        <f t="shared" si="90"/>
        <v>4.1382816</v>
      </c>
      <c r="DR11" s="17"/>
      <c r="DS11" s="17">
        <f t="shared" si="91"/>
        <v>2324.916</v>
      </c>
      <c r="DT11" s="17">
        <f t="shared" si="92"/>
        <v>94.87536</v>
      </c>
      <c r="DU11" s="17">
        <f t="shared" si="93"/>
        <v>2419.79136</v>
      </c>
      <c r="DV11" s="18">
        <f t="shared" si="94"/>
        <v>53.408487</v>
      </c>
      <c r="DW11" s="18">
        <f t="shared" si="95"/>
        <v>48.3018912</v>
      </c>
      <c r="DX11" s="17"/>
      <c r="DY11" s="17">
        <f t="shared" si="96"/>
        <v>10080.774</v>
      </c>
      <c r="DZ11" s="17">
        <f t="shared" si="97"/>
        <v>411.37703999999997</v>
      </c>
      <c r="EA11" s="17">
        <f t="shared" si="98"/>
        <v>10492.151039999999</v>
      </c>
      <c r="EB11" s="18">
        <f t="shared" si="99"/>
        <v>231.5777805</v>
      </c>
      <c r="EC11" s="18">
        <f t="shared" si="100"/>
        <v>209.4357168</v>
      </c>
      <c r="ED11" s="17"/>
      <c r="EE11" s="17">
        <f t="shared" si="101"/>
        <v>2655.3779999999997</v>
      </c>
      <c r="EF11" s="17">
        <f t="shared" si="102"/>
        <v>108.36088</v>
      </c>
      <c r="EG11" s="17">
        <f t="shared" si="103"/>
        <v>2763.73888</v>
      </c>
      <c r="EH11" s="18">
        <f t="shared" si="104"/>
        <v>60.9999335</v>
      </c>
      <c r="EI11" s="18">
        <f t="shared" si="105"/>
        <v>55.1674896</v>
      </c>
      <c r="EJ11" s="17"/>
      <c r="EK11" s="17">
        <f t="shared" si="106"/>
        <v>56023.901999999995</v>
      </c>
      <c r="EL11" s="17">
        <f t="shared" si="107"/>
        <v>2286.22792</v>
      </c>
      <c r="EM11" s="17">
        <f t="shared" si="108"/>
        <v>58310.12991999999</v>
      </c>
      <c r="EN11" s="18">
        <f t="shared" si="109"/>
        <v>1286.9935265000001</v>
      </c>
      <c r="EO11" s="18">
        <f t="shared" si="110"/>
        <v>1163.9390064000002</v>
      </c>
      <c r="EP11" s="17"/>
      <c r="EQ11" s="17">
        <f t="shared" si="111"/>
        <v>352971.036</v>
      </c>
      <c r="ER11" s="17">
        <f t="shared" si="112"/>
        <v>14404.07056</v>
      </c>
      <c r="ES11" s="17">
        <f t="shared" si="113"/>
        <v>367375.10656000004</v>
      </c>
      <c r="ET11" s="18">
        <f t="shared" si="114"/>
        <v>8108.529076999999</v>
      </c>
      <c r="EU11" s="18">
        <f t="shared" si="115"/>
        <v>7333.2406752</v>
      </c>
      <c r="EV11" s="17"/>
      <c r="EW11" s="17">
        <f t="shared" si="116"/>
        <v>14758.128</v>
      </c>
      <c r="EX11" s="17">
        <f t="shared" si="117"/>
        <v>602.25088</v>
      </c>
      <c r="EY11" s="17">
        <f t="shared" si="118"/>
        <v>15360.37888</v>
      </c>
      <c r="EZ11" s="18">
        <f t="shared" si="119"/>
        <v>339.026996</v>
      </c>
      <c r="FA11" s="18">
        <f t="shared" si="120"/>
        <v>306.6112896</v>
      </c>
      <c r="FB11" s="17"/>
      <c r="FC11" s="24"/>
      <c r="FD11" s="17"/>
      <c r="FE11" s="17"/>
      <c r="FF11" s="17"/>
      <c r="FG11" s="18">
        <f t="shared" si="121"/>
        <v>0</v>
      </c>
    </row>
    <row r="12" spans="1:163" s="34" customFormat="1" ht="12.75">
      <c r="A12" s="33">
        <v>44470</v>
      </c>
      <c r="C12" s="24"/>
      <c r="D12" s="24">
        <v>41200</v>
      </c>
      <c r="E12" s="18">
        <f t="shared" si="0"/>
        <v>41200</v>
      </c>
      <c r="F12" s="18">
        <v>45485</v>
      </c>
      <c r="G12" s="18">
        <v>41136</v>
      </c>
      <c r="H12" s="18"/>
      <c r="I12" s="50">
        <f>'2009D Academic'!I12</f>
        <v>0</v>
      </c>
      <c r="J12" s="18">
        <f>'2009D Academic'!J12</f>
        <v>4161.45544</v>
      </c>
      <c r="K12" s="18">
        <f t="shared" si="1"/>
        <v>4161.45544</v>
      </c>
      <c r="L12" s="18">
        <f>'2009D Academic'!L12</f>
        <v>4594.267007</v>
      </c>
      <c r="M12" s="18">
        <f>'2009D Academic'!M12</f>
        <v>4154.991043200001</v>
      </c>
      <c r="N12" s="18"/>
      <c r="O12" s="17"/>
      <c r="P12" s="17">
        <f t="shared" si="2"/>
        <v>37038.55692000001</v>
      </c>
      <c r="Q12" s="17">
        <f t="shared" si="3"/>
        <v>37038.55692000001</v>
      </c>
      <c r="R12" s="17">
        <f t="shared" si="4"/>
        <v>40890.74663850001</v>
      </c>
      <c r="S12" s="17">
        <f t="shared" si="5"/>
        <v>36981.0212976</v>
      </c>
      <c r="T12"/>
      <c r="U12" s="17">
        <f t="shared" si="6"/>
        <v>0</v>
      </c>
      <c r="V12" s="17">
        <f t="shared" si="7"/>
        <v>16590.53136</v>
      </c>
      <c r="W12" s="17">
        <f t="shared" si="8"/>
        <v>16590.53136</v>
      </c>
      <c r="X12" s="18">
        <f t="shared" si="9"/>
        <v>18316.027158</v>
      </c>
      <c r="Y12" s="18">
        <f t="shared" si="10"/>
        <v>16564.7596608</v>
      </c>
      <c r="Z12" s="17"/>
      <c r="AA12" s="17">
        <f t="shared" si="11"/>
        <v>0</v>
      </c>
      <c r="AB12" s="17">
        <f t="shared" si="12"/>
        <v>745.3492</v>
      </c>
      <c r="AC12" s="17">
        <f t="shared" si="13"/>
        <v>745.3492</v>
      </c>
      <c r="AD12" s="18">
        <f t="shared" si="14"/>
        <v>822.869135</v>
      </c>
      <c r="AE12" s="18">
        <f t="shared" si="15"/>
        <v>744.191376</v>
      </c>
      <c r="AF12" s="17"/>
      <c r="AG12" s="17">
        <f t="shared" si="16"/>
        <v>0</v>
      </c>
      <c r="AH12" s="17">
        <f t="shared" si="17"/>
        <v>1744.44508</v>
      </c>
      <c r="AI12" s="17">
        <f t="shared" si="18"/>
        <v>1744.44508</v>
      </c>
      <c r="AJ12" s="18">
        <f t="shared" si="19"/>
        <v>1925.8758365</v>
      </c>
      <c r="AK12" s="18">
        <f t="shared" si="20"/>
        <v>1741.7352624</v>
      </c>
      <c r="AL12" s="17"/>
      <c r="AM12" s="17">
        <f t="shared" si="21"/>
        <v>0</v>
      </c>
      <c r="AN12" s="17">
        <f t="shared" si="22"/>
        <v>126.20796</v>
      </c>
      <c r="AO12" s="17">
        <f t="shared" si="23"/>
        <v>126.20796</v>
      </c>
      <c r="AP12" s="18">
        <f t="shared" si="24"/>
        <v>139.3342005</v>
      </c>
      <c r="AQ12" s="18">
        <f t="shared" si="25"/>
        <v>126.0119088</v>
      </c>
      <c r="AR12" s="17"/>
      <c r="AS12" s="17">
        <f t="shared" si="26"/>
        <v>0</v>
      </c>
      <c r="AT12" s="17">
        <f t="shared" si="27"/>
        <v>2675.38792</v>
      </c>
      <c r="AU12" s="17">
        <f t="shared" si="28"/>
        <v>2675.38792</v>
      </c>
      <c r="AV12" s="18">
        <f t="shared" si="29"/>
        <v>2953.641251</v>
      </c>
      <c r="AW12" s="18">
        <f t="shared" si="30"/>
        <v>2671.2319776</v>
      </c>
      <c r="AX12" s="17"/>
      <c r="AY12" s="17">
        <f t="shared" si="31"/>
        <v>0</v>
      </c>
      <c r="AZ12" s="17">
        <f t="shared" si="32"/>
        <v>34.53384</v>
      </c>
      <c r="BA12" s="17">
        <f t="shared" si="33"/>
        <v>34.53384</v>
      </c>
      <c r="BB12" s="18">
        <f t="shared" si="34"/>
        <v>38.125527</v>
      </c>
      <c r="BC12" s="18">
        <f t="shared" si="35"/>
        <v>34.4801952</v>
      </c>
      <c r="BD12" s="17"/>
      <c r="BE12" s="17">
        <f t="shared" si="36"/>
        <v>0</v>
      </c>
      <c r="BF12" s="17">
        <f t="shared" si="37"/>
        <v>52.076800000000006</v>
      </c>
      <c r="BG12" s="17">
        <f t="shared" si="38"/>
        <v>52.076800000000006</v>
      </c>
      <c r="BH12" s="18">
        <f t="shared" si="39"/>
        <v>57.49303999999999</v>
      </c>
      <c r="BI12" s="18">
        <f t="shared" si="40"/>
        <v>51.995903999999996</v>
      </c>
      <c r="BJ12" s="17"/>
      <c r="BK12" s="17">
        <f t="shared" si="41"/>
        <v>0</v>
      </c>
      <c r="BL12" s="17">
        <f t="shared" si="42"/>
        <v>2124.36676</v>
      </c>
      <c r="BM12" s="17">
        <f t="shared" si="43"/>
        <v>2124.36676</v>
      </c>
      <c r="BN12" s="18">
        <f t="shared" si="44"/>
        <v>2345.3112155</v>
      </c>
      <c r="BO12" s="18">
        <f t="shared" si="45"/>
        <v>2121.0667728</v>
      </c>
      <c r="BP12" s="17"/>
      <c r="BQ12" s="17">
        <f t="shared" si="46"/>
        <v>0</v>
      </c>
      <c r="BR12" s="17">
        <f t="shared" si="47"/>
        <v>364.37692000000004</v>
      </c>
      <c r="BS12" s="17">
        <f t="shared" si="48"/>
        <v>364.37692000000004</v>
      </c>
      <c r="BT12" s="18">
        <f t="shared" si="49"/>
        <v>402.2738885</v>
      </c>
      <c r="BU12" s="18">
        <f t="shared" si="50"/>
        <v>363.81089760000003</v>
      </c>
      <c r="BV12" s="17"/>
      <c r="BW12" s="17">
        <f t="shared" si="51"/>
        <v>0</v>
      </c>
      <c r="BX12" s="17">
        <f t="shared" si="52"/>
        <v>64.91472</v>
      </c>
      <c r="BY12" s="17">
        <f t="shared" si="53"/>
        <v>64.91472</v>
      </c>
      <c r="BZ12" s="18">
        <f t="shared" si="54"/>
        <v>71.66616599999999</v>
      </c>
      <c r="CA12" s="18">
        <f t="shared" si="55"/>
        <v>64.8138816</v>
      </c>
      <c r="CB12" s="17"/>
      <c r="CC12" s="17">
        <f t="shared" si="56"/>
        <v>0</v>
      </c>
      <c r="CD12" s="17">
        <f t="shared" si="57"/>
        <v>755.2330800000001</v>
      </c>
      <c r="CE12" s="17">
        <f t="shared" si="58"/>
        <v>755.2330800000001</v>
      </c>
      <c r="CF12" s="18">
        <f t="shared" si="59"/>
        <v>833.7809865</v>
      </c>
      <c r="CG12" s="18">
        <f t="shared" si="60"/>
        <v>754.0599024</v>
      </c>
      <c r="CH12" s="17"/>
      <c r="CI12" s="17">
        <f t="shared" si="61"/>
        <v>0</v>
      </c>
      <c r="CJ12" s="17">
        <f t="shared" si="62"/>
        <v>365.31216</v>
      </c>
      <c r="CK12" s="17">
        <f t="shared" si="63"/>
        <v>365.31216</v>
      </c>
      <c r="CL12" s="18">
        <f t="shared" si="64"/>
        <v>403.30639799999994</v>
      </c>
      <c r="CM12" s="18">
        <f t="shared" si="65"/>
        <v>364.74468479999996</v>
      </c>
      <c r="CN12" s="17"/>
      <c r="CO12" s="17">
        <f t="shared" si="66"/>
        <v>0</v>
      </c>
      <c r="CP12" s="17">
        <f t="shared" si="67"/>
        <v>522.21412</v>
      </c>
      <c r="CQ12" s="17">
        <f t="shared" si="68"/>
        <v>522.21412</v>
      </c>
      <c r="CR12" s="18">
        <f t="shared" si="69"/>
        <v>576.5269235</v>
      </c>
      <c r="CS12" s="18">
        <f t="shared" si="70"/>
        <v>521.4029136</v>
      </c>
      <c r="CT12" s="17"/>
      <c r="CU12" s="17">
        <f t="shared" si="71"/>
        <v>0</v>
      </c>
      <c r="CV12" s="17">
        <f t="shared" si="72"/>
        <v>981.70948</v>
      </c>
      <c r="CW12" s="17">
        <f t="shared" si="73"/>
        <v>981.70948</v>
      </c>
      <c r="CX12" s="18">
        <f t="shared" si="74"/>
        <v>1083.8120314999999</v>
      </c>
      <c r="CY12" s="18">
        <f t="shared" si="75"/>
        <v>980.1844944</v>
      </c>
      <c r="CZ12" s="17"/>
      <c r="DA12" s="63">
        <f t="shared" si="76"/>
        <v>0</v>
      </c>
      <c r="DB12" s="63">
        <f t="shared" si="77"/>
        <v>756.4031600000001</v>
      </c>
      <c r="DC12" s="63">
        <f t="shared" si="78"/>
        <v>756.4031600000001</v>
      </c>
      <c r="DD12" s="64">
        <f t="shared" si="79"/>
        <v>835.0727605</v>
      </c>
      <c r="DE12" s="18">
        <f t="shared" si="80"/>
        <v>755.2281648</v>
      </c>
      <c r="DF12" s="17"/>
      <c r="DG12" s="17">
        <f t="shared" si="81"/>
        <v>0</v>
      </c>
      <c r="DH12" s="17">
        <f t="shared" si="82"/>
        <v>0.46968</v>
      </c>
      <c r="DI12" s="17">
        <f t="shared" si="83"/>
        <v>0.46968</v>
      </c>
      <c r="DJ12" s="18">
        <f t="shared" si="84"/>
        <v>0.518529</v>
      </c>
      <c r="DK12" s="18">
        <f t="shared" si="85"/>
        <v>0.4689504</v>
      </c>
      <c r="DL12" s="17"/>
      <c r="DM12" s="17">
        <f t="shared" si="86"/>
        <v>0</v>
      </c>
      <c r="DN12" s="17">
        <f t="shared" si="87"/>
        <v>4.1447199999999995</v>
      </c>
      <c r="DO12" s="17">
        <f t="shared" si="88"/>
        <v>4.1447199999999995</v>
      </c>
      <c r="DP12" s="18">
        <f t="shared" si="89"/>
        <v>4.575791000000001</v>
      </c>
      <c r="DQ12" s="18">
        <f t="shared" si="90"/>
        <v>4.1382816</v>
      </c>
      <c r="DR12" s="17"/>
      <c r="DS12" s="17">
        <f t="shared" si="91"/>
        <v>0</v>
      </c>
      <c r="DT12" s="17">
        <f t="shared" si="92"/>
        <v>48.377039999999994</v>
      </c>
      <c r="DU12" s="17">
        <f t="shared" si="93"/>
        <v>48.377039999999994</v>
      </c>
      <c r="DV12" s="18">
        <f t="shared" si="94"/>
        <v>53.408487</v>
      </c>
      <c r="DW12" s="18">
        <f t="shared" si="95"/>
        <v>48.3018912</v>
      </c>
      <c r="DX12" s="17"/>
      <c r="DY12" s="17">
        <f t="shared" si="96"/>
        <v>0</v>
      </c>
      <c r="DZ12" s="17">
        <f t="shared" si="97"/>
        <v>209.76156</v>
      </c>
      <c r="EA12" s="17">
        <f t="shared" si="98"/>
        <v>209.76156</v>
      </c>
      <c r="EB12" s="18">
        <f t="shared" si="99"/>
        <v>231.5777805</v>
      </c>
      <c r="EC12" s="18">
        <f t="shared" si="100"/>
        <v>209.4357168</v>
      </c>
      <c r="ED12" s="17"/>
      <c r="EE12" s="17">
        <f t="shared" si="101"/>
        <v>0</v>
      </c>
      <c r="EF12" s="17">
        <f t="shared" si="102"/>
        <v>55.25332</v>
      </c>
      <c r="EG12" s="17">
        <f t="shared" si="103"/>
        <v>55.25332</v>
      </c>
      <c r="EH12" s="18">
        <f t="shared" si="104"/>
        <v>60.9999335</v>
      </c>
      <c r="EI12" s="18">
        <f t="shared" si="105"/>
        <v>55.1674896</v>
      </c>
      <c r="EJ12" s="17"/>
      <c r="EK12" s="17">
        <f t="shared" si="106"/>
        <v>0</v>
      </c>
      <c r="EL12" s="17">
        <f t="shared" si="107"/>
        <v>1165.74988</v>
      </c>
      <c r="EM12" s="17">
        <f t="shared" si="108"/>
        <v>1165.74988</v>
      </c>
      <c r="EN12" s="18">
        <f t="shared" si="109"/>
        <v>1286.9935265000001</v>
      </c>
      <c r="EO12" s="18">
        <f t="shared" si="110"/>
        <v>1163.9390064000002</v>
      </c>
      <c r="EP12" s="17"/>
      <c r="EQ12" s="17">
        <f t="shared" si="111"/>
        <v>0</v>
      </c>
      <c r="ER12" s="17">
        <f t="shared" si="112"/>
        <v>7344.649840000001</v>
      </c>
      <c r="ES12" s="17">
        <f t="shared" si="113"/>
        <v>7344.649840000001</v>
      </c>
      <c r="ET12" s="18">
        <f t="shared" si="114"/>
        <v>8108.529076999999</v>
      </c>
      <c r="EU12" s="18">
        <f t="shared" si="115"/>
        <v>7333.2406752</v>
      </c>
      <c r="EV12" s="17"/>
      <c r="EW12" s="17">
        <f t="shared" si="116"/>
        <v>0</v>
      </c>
      <c r="EX12" s="17">
        <f t="shared" si="117"/>
        <v>307.08832</v>
      </c>
      <c r="EY12" s="17">
        <f t="shared" si="118"/>
        <v>307.08832</v>
      </c>
      <c r="EZ12" s="18">
        <f t="shared" si="119"/>
        <v>339.026996</v>
      </c>
      <c r="FA12" s="18">
        <f t="shared" si="120"/>
        <v>306.6112896</v>
      </c>
      <c r="FB12" s="17"/>
      <c r="FC12" s="24"/>
      <c r="FD12" s="17"/>
      <c r="FE12" s="17"/>
      <c r="FF12" s="17"/>
      <c r="FG12" s="18">
        <f t="shared" si="121"/>
        <v>0</v>
      </c>
    </row>
    <row r="13" spans="1:163" s="34" customFormat="1" ht="12.75">
      <c r="A13" s="33">
        <v>44652</v>
      </c>
      <c r="C13" s="24">
        <v>2060000</v>
      </c>
      <c r="D13" s="24">
        <v>41200</v>
      </c>
      <c r="E13" s="18">
        <f t="shared" si="0"/>
        <v>2101200</v>
      </c>
      <c r="F13" s="18">
        <v>45478</v>
      </c>
      <c r="G13" s="18">
        <v>41133</v>
      </c>
      <c r="H13" s="18"/>
      <c r="I13" s="50">
        <f>'2009D Academic'!I13</f>
        <v>208072.77200000003</v>
      </c>
      <c r="J13" s="18">
        <f>'2009D Academic'!J13</f>
        <v>4161.45544</v>
      </c>
      <c r="K13" s="18">
        <f t="shared" si="1"/>
        <v>212234.22744000002</v>
      </c>
      <c r="L13" s="18">
        <f>'2009D Academic'!L13</f>
        <v>4593.5599636</v>
      </c>
      <c r="M13" s="18">
        <f>'2009D Academic'!M13</f>
        <v>4154.6880246</v>
      </c>
      <c r="N13" s="18"/>
      <c r="O13" s="17">
        <f>U13+AA13+AG13+AM13+AS13+AY13+BE13+BK13+BQ13+BW13+CC13+CI13+CO13+CU13+DA13+DG13+DM13+DS13+DY13+EE13+EK13+EQ13+EW13+FC13</f>
        <v>1851927.846</v>
      </c>
      <c r="P13" s="17">
        <f t="shared" si="2"/>
        <v>37038.55692000001</v>
      </c>
      <c r="Q13" s="17">
        <f t="shared" si="3"/>
        <v>1888966.40292</v>
      </c>
      <c r="R13" s="17">
        <f t="shared" si="4"/>
        <v>40884.45367979999</v>
      </c>
      <c r="S13" s="17">
        <f t="shared" si="5"/>
        <v>36978.3243153</v>
      </c>
      <c r="T13"/>
      <c r="U13" s="17">
        <f t="shared" si="6"/>
        <v>829526.568</v>
      </c>
      <c r="V13" s="17">
        <f t="shared" si="7"/>
        <v>16590.53136</v>
      </c>
      <c r="W13" s="17">
        <f t="shared" si="8"/>
        <v>846117.09936</v>
      </c>
      <c r="X13" s="18">
        <f t="shared" si="9"/>
        <v>18313.2083784</v>
      </c>
      <c r="Y13" s="18">
        <f t="shared" si="10"/>
        <v>16563.5516124</v>
      </c>
      <c r="Z13" s="17"/>
      <c r="AA13" s="17">
        <f t="shared" si="11"/>
        <v>37267.46</v>
      </c>
      <c r="AB13" s="17">
        <f t="shared" si="12"/>
        <v>745.3492</v>
      </c>
      <c r="AC13" s="17">
        <f t="shared" si="13"/>
        <v>38012.809199999996</v>
      </c>
      <c r="AD13" s="18">
        <f t="shared" si="14"/>
        <v>822.742498</v>
      </c>
      <c r="AE13" s="18">
        <f t="shared" si="15"/>
        <v>744.137103</v>
      </c>
      <c r="AF13" s="17"/>
      <c r="AG13" s="17">
        <f t="shared" si="16"/>
        <v>87222.254</v>
      </c>
      <c r="AH13" s="17">
        <f t="shared" si="17"/>
        <v>1744.44508</v>
      </c>
      <c r="AI13" s="17">
        <f t="shared" si="18"/>
        <v>88966.69908</v>
      </c>
      <c r="AJ13" s="18">
        <f t="shared" si="19"/>
        <v>1925.5794502</v>
      </c>
      <c r="AK13" s="18">
        <f t="shared" si="20"/>
        <v>1741.6082397</v>
      </c>
      <c r="AL13" s="17"/>
      <c r="AM13" s="17">
        <f t="shared" si="21"/>
        <v>6310.397999999999</v>
      </c>
      <c r="AN13" s="17">
        <f t="shared" si="22"/>
        <v>126.20796</v>
      </c>
      <c r="AO13" s="17">
        <f t="shared" si="23"/>
        <v>6436.605959999999</v>
      </c>
      <c r="AP13" s="18">
        <f t="shared" si="24"/>
        <v>139.3127574</v>
      </c>
      <c r="AQ13" s="18">
        <f t="shared" si="25"/>
        <v>126.0027189</v>
      </c>
      <c r="AR13" s="17"/>
      <c r="AS13" s="17">
        <f t="shared" si="26"/>
        <v>133769.396</v>
      </c>
      <c r="AT13" s="17">
        <f t="shared" si="27"/>
        <v>2675.38792</v>
      </c>
      <c r="AU13" s="17">
        <f t="shared" si="28"/>
        <v>136444.78392000002</v>
      </c>
      <c r="AV13" s="18">
        <f t="shared" si="29"/>
        <v>2953.1866947999997</v>
      </c>
      <c r="AW13" s="18">
        <f t="shared" si="30"/>
        <v>2671.0371677999997</v>
      </c>
      <c r="AX13" s="17"/>
      <c r="AY13" s="17">
        <f t="shared" si="31"/>
        <v>1726.692</v>
      </c>
      <c r="AZ13" s="17">
        <f t="shared" si="32"/>
        <v>34.53384</v>
      </c>
      <c r="BA13" s="17">
        <f t="shared" si="33"/>
        <v>1761.22584</v>
      </c>
      <c r="BB13" s="18">
        <f t="shared" si="34"/>
        <v>38.1196596</v>
      </c>
      <c r="BC13" s="18">
        <f t="shared" si="35"/>
        <v>34.4776806</v>
      </c>
      <c r="BD13" s="17"/>
      <c r="BE13" s="17">
        <f t="shared" si="36"/>
        <v>2603.84</v>
      </c>
      <c r="BF13" s="17">
        <f t="shared" si="37"/>
        <v>52.076800000000006</v>
      </c>
      <c r="BG13" s="17">
        <f t="shared" si="38"/>
        <v>2655.9168</v>
      </c>
      <c r="BH13" s="18">
        <f t="shared" si="39"/>
        <v>57.484192</v>
      </c>
      <c r="BI13" s="18">
        <f t="shared" si="40"/>
        <v>51.992112</v>
      </c>
      <c r="BJ13" s="17"/>
      <c r="BK13" s="17">
        <f t="shared" si="41"/>
        <v>106218.33799999999</v>
      </c>
      <c r="BL13" s="17">
        <f t="shared" si="42"/>
        <v>2124.36676</v>
      </c>
      <c r="BM13" s="17">
        <f t="shared" si="43"/>
        <v>108342.70476</v>
      </c>
      <c r="BN13" s="18">
        <f t="shared" si="44"/>
        <v>2344.9502794</v>
      </c>
      <c r="BO13" s="18">
        <f t="shared" si="45"/>
        <v>2120.9120859</v>
      </c>
      <c r="BP13" s="17"/>
      <c r="BQ13" s="17">
        <f t="shared" si="46"/>
        <v>18218.846</v>
      </c>
      <c r="BR13" s="17">
        <f t="shared" si="47"/>
        <v>364.37692000000004</v>
      </c>
      <c r="BS13" s="17">
        <f t="shared" si="48"/>
        <v>18583.22292</v>
      </c>
      <c r="BT13" s="18">
        <f t="shared" si="49"/>
        <v>402.21197980000005</v>
      </c>
      <c r="BU13" s="18">
        <f t="shared" si="50"/>
        <v>363.78436530000005</v>
      </c>
      <c r="BV13" s="17"/>
      <c r="BW13" s="17">
        <f t="shared" si="51"/>
        <v>3245.7360000000003</v>
      </c>
      <c r="BX13" s="17">
        <f t="shared" si="52"/>
        <v>64.91472</v>
      </c>
      <c r="BY13" s="17">
        <f t="shared" si="53"/>
        <v>3310.6507200000005</v>
      </c>
      <c r="BZ13" s="18">
        <f t="shared" si="54"/>
        <v>71.6551368</v>
      </c>
      <c r="CA13" s="18">
        <f t="shared" si="55"/>
        <v>64.8091548</v>
      </c>
      <c r="CB13" s="17"/>
      <c r="CC13" s="17">
        <f t="shared" si="56"/>
        <v>37761.654</v>
      </c>
      <c r="CD13" s="17">
        <f t="shared" si="57"/>
        <v>755.2330800000001</v>
      </c>
      <c r="CE13" s="17">
        <f t="shared" si="58"/>
        <v>38516.88708</v>
      </c>
      <c r="CF13" s="18">
        <f t="shared" si="59"/>
        <v>833.6526702</v>
      </c>
      <c r="CG13" s="18">
        <f t="shared" si="60"/>
        <v>754.0049097</v>
      </c>
      <c r="CH13" s="17"/>
      <c r="CI13" s="17">
        <f t="shared" si="61"/>
        <v>18265.608</v>
      </c>
      <c r="CJ13" s="17">
        <f t="shared" si="62"/>
        <v>365.31216</v>
      </c>
      <c r="CK13" s="17">
        <f t="shared" si="63"/>
        <v>18630.92016</v>
      </c>
      <c r="CL13" s="18">
        <f t="shared" si="64"/>
        <v>403.24433039999997</v>
      </c>
      <c r="CM13" s="18">
        <f t="shared" si="65"/>
        <v>364.71808439999995</v>
      </c>
      <c r="CN13" s="17"/>
      <c r="CO13" s="17">
        <f t="shared" si="66"/>
        <v>26110.705999999995</v>
      </c>
      <c r="CP13" s="17">
        <f t="shared" si="67"/>
        <v>522.21412</v>
      </c>
      <c r="CQ13" s="17">
        <f t="shared" si="68"/>
        <v>26632.920119999995</v>
      </c>
      <c r="CR13" s="18">
        <f t="shared" si="69"/>
        <v>576.4381978</v>
      </c>
      <c r="CS13" s="18">
        <f t="shared" si="70"/>
        <v>521.3648883</v>
      </c>
      <c r="CT13" s="17"/>
      <c r="CU13" s="17">
        <f t="shared" si="71"/>
        <v>49085.474</v>
      </c>
      <c r="CV13" s="17">
        <f t="shared" si="72"/>
        <v>981.70948</v>
      </c>
      <c r="CW13" s="17">
        <f t="shared" si="73"/>
        <v>50067.18348</v>
      </c>
      <c r="CX13" s="18">
        <f t="shared" si="74"/>
        <v>1083.6452362</v>
      </c>
      <c r="CY13" s="18">
        <f t="shared" si="75"/>
        <v>980.1130107</v>
      </c>
      <c r="CZ13" s="17"/>
      <c r="DA13" s="63">
        <f t="shared" si="76"/>
        <v>37820.158</v>
      </c>
      <c r="DB13" s="63">
        <f t="shared" si="77"/>
        <v>756.4031600000001</v>
      </c>
      <c r="DC13" s="63">
        <f t="shared" si="78"/>
        <v>38576.561160000005</v>
      </c>
      <c r="DD13" s="64">
        <f t="shared" si="79"/>
        <v>834.9442453999999</v>
      </c>
      <c r="DE13" s="18">
        <f t="shared" si="80"/>
        <v>755.1730868999999</v>
      </c>
      <c r="DF13" s="17"/>
      <c r="DG13" s="17">
        <f t="shared" si="81"/>
        <v>23.484</v>
      </c>
      <c r="DH13" s="17">
        <f t="shared" si="82"/>
        <v>0.46968</v>
      </c>
      <c r="DI13" s="17">
        <f t="shared" si="83"/>
        <v>23.953680000000002</v>
      </c>
      <c r="DJ13" s="18">
        <f t="shared" si="84"/>
        <v>0.5184491999999999</v>
      </c>
      <c r="DK13" s="18">
        <f t="shared" si="85"/>
        <v>0.46891619999999995</v>
      </c>
      <c r="DL13" s="17"/>
      <c r="DM13" s="17">
        <f t="shared" si="86"/>
        <v>207.236</v>
      </c>
      <c r="DN13" s="17">
        <f t="shared" si="87"/>
        <v>4.1447199999999995</v>
      </c>
      <c r="DO13" s="17">
        <f t="shared" si="88"/>
        <v>211.38072</v>
      </c>
      <c r="DP13" s="18">
        <f t="shared" si="89"/>
        <v>4.5750868</v>
      </c>
      <c r="DQ13" s="18">
        <f t="shared" si="90"/>
        <v>4.1379798</v>
      </c>
      <c r="DR13" s="17"/>
      <c r="DS13" s="17">
        <f t="shared" si="91"/>
        <v>2418.852</v>
      </c>
      <c r="DT13" s="17">
        <f t="shared" si="92"/>
        <v>48.377039999999994</v>
      </c>
      <c r="DU13" s="17">
        <f t="shared" si="93"/>
        <v>2467.2290399999997</v>
      </c>
      <c r="DV13" s="18">
        <f t="shared" si="94"/>
        <v>53.4002676</v>
      </c>
      <c r="DW13" s="18">
        <f t="shared" si="95"/>
        <v>48.2983686</v>
      </c>
      <c r="DX13" s="17"/>
      <c r="DY13" s="17">
        <f t="shared" si="96"/>
        <v>10488.078000000001</v>
      </c>
      <c r="DZ13" s="17">
        <f t="shared" si="97"/>
        <v>209.76156</v>
      </c>
      <c r="EA13" s="17">
        <f t="shared" si="98"/>
        <v>10697.839560000002</v>
      </c>
      <c r="EB13" s="18">
        <f t="shared" si="99"/>
        <v>231.5421414</v>
      </c>
      <c r="EC13" s="18">
        <f t="shared" si="100"/>
        <v>209.4204429</v>
      </c>
      <c r="ED13" s="17"/>
      <c r="EE13" s="17">
        <f t="shared" si="101"/>
        <v>2762.666</v>
      </c>
      <c r="EF13" s="17">
        <f t="shared" si="102"/>
        <v>55.25332</v>
      </c>
      <c r="EG13" s="17">
        <f t="shared" si="103"/>
        <v>2817.91932</v>
      </c>
      <c r="EH13" s="18">
        <f t="shared" si="104"/>
        <v>60.9905458</v>
      </c>
      <c r="EI13" s="18">
        <f t="shared" si="105"/>
        <v>55.1634663</v>
      </c>
      <c r="EJ13" s="17"/>
      <c r="EK13" s="17">
        <f t="shared" si="106"/>
        <v>58287.49399999999</v>
      </c>
      <c r="EL13" s="17">
        <f t="shared" si="107"/>
        <v>1165.74988</v>
      </c>
      <c r="EM13" s="17">
        <f t="shared" si="108"/>
        <v>59453.243879999995</v>
      </c>
      <c r="EN13" s="18">
        <f t="shared" si="109"/>
        <v>1286.7954622</v>
      </c>
      <c r="EO13" s="18">
        <f t="shared" si="110"/>
        <v>1163.8541217</v>
      </c>
      <c r="EP13" s="17"/>
      <c r="EQ13" s="17">
        <f t="shared" si="111"/>
        <v>367232.492</v>
      </c>
      <c r="ER13" s="17">
        <f t="shared" si="112"/>
        <v>7344.649840000001</v>
      </c>
      <c r="ES13" s="17">
        <f t="shared" si="113"/>
        <v>374577.14184000005</v>
      </c>
      <c r="ET13" s="18">
        <f t="shared" si="114"/>
        <v>8107.281199599999</v>
      </c>
      <c r="EU13" s="18">
        <f t="shared" si="115"/>
        <v>7332.7058706</v>
      </c>
      <c r="EV13" s="17"/>
      <c r="EW13" s="17">
        <f t="shared" si="116"/>
        <v>15354.416000000001</v>
      </c>
      <c r="EX13" s="17">
        <f t="shared" si="117"/>
        <v>307.08832</v>
      </c>
      <c r="EY13" s="17">
        <f t="shared" si="118"/>
        <v>15661.504320000002</v>
      </c>
      <c r="EZ13" s="18">
        <f t="shared" si="119"/>
        <v>338.97482080000003</v>
      </c>
      <c r="FA13" s="18">
        <f t="shared" si="120"/>
        <v>306.5889288</v>
      </c>
      <c r="FB13" s="17"/>
      <c r="FC13" s="24"/>
      <c r="FD13" s="17"/>
      <c r="FE13" s="17"/>
      <c r="FF13" s="17"/>
      <c r="FG13" s="18">
        <f t="shared" si="121"/>
        <v>0</v>
      </c>
    </row>
    <row r="14" spans="3:163" ht="12.75"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/>
      <c r="P14"/>
      <c r="Q14"/>
      <c r="R14"/>
      <c r="S14" s="24"/>
      <c r="U14" s="32"/>
      <c r="V14" s="32"/>
      <c r="W14" s="32"/>
      <c r="X14" s="32"/>
      <c r="Y14" s="24"/>
      <c r="Z14" s="17"/>
      <c r="AA14" s="32"/>
      <c r="AB14" s="32"/>
      <c r="AC14" s="32"/>
      <c r="AD14" s="32"/>
      <c r="AE14" s="24"/>
      <c r="AF14" s="17"/>
      <c r="AG14" s="32"/>
      <c r="AH14" s="32"/>
      <c r="AI14" s="32"/>
      <c r="AJ14" s="32"/>
      <c r="AK14" s="24"/>
      <c r="AL14" s="17"/>
      <c r="AM14" s="32"/>
      <c r="AN14" s="32"/>
      <c r="AO14" s="32"/>
      <c r="AP14" s="32"/>
      <c r="AQ14" s="24"/>
      <c r="AR14" s="17"/>
      <c r="AS14" s="32"/>
      <c r="AT14" s="32"/>
      <c r="AU14" s="32"/>
      <c r="AV14" s="32"/>
      <c r="AW14" s="24"/>
      <c r="AX14" s="17"/>
      <c r="AY14" s="32"/>
      <c r="AZ14" s="32"/>
      <c r="BA14" s="32"/>
      <c r="BB14" s="32"/>
      <c r="BC14" s="24"/>
      <c r="BD14" s="17"/>
      <c r="BE14" s="32"/>
      <c r="BF14" s="32"/>
      <c r="BG14" s="32"/>
      <c r="BH14" s="32"/>
      <c r="BI14" s="24"/>
      <c r="BJ14" s="17"/>
      <c r="BK14" s="17"/>
      <c r="BL14" s="17"/>
      <c r="BM14" s="17"/>
      <c r="BN14" s="17"/>
      <c r="BO14" s="24"/>
      <c r="BP14" s="17"/>
      <c r="BQ14" s="17"/>
      <c r="BR14" s="17"/>
      <c r="BS14" s="17"/>
      <c r="BT14" s="17"/>
      <c r="BU14" s="24"/>
      <c r="BV14" s="17"/>
      <c r="BW14" s="17"/>
      <c r="BX14" s="17"/>
      <c r="BY14" s="17"/>
      <c r="BZ14" s="17"/>
      <c r="CA14" s="24"/>
      <c r="CB14" s="17"/>
      <c r="CC14" s="17"/>
      <c r="CD14" s="17"/>
      <c r="CE14" s="17"/>
      <c r="CF14" s="17"/>
      <c r="CG14" s="24"/>
      <c r="CH14" s="17"/>
      <c r="CI14" s="32"/>
      <c r="CJ14" s="32"/>
      <c r="CK14" s="32"/>
      <c r="CL14" s="32"/>
      <c r="CM14" s="24"/>
      <c r="CN14" s="32"/>
      <c r="CO14" s="32"/>
      <c r="CP14" s="32"/>
      <c r="CQ14" s="32"/>
      <c r="CR14" s="32"/>
      <c r="CS14" s="24"/>
      <c r="CT14" s="17"/>
      <c r="CU14" s="17"/>
      <c r="CV14" s="17"/>
      <c r="CW14" s="17"/>
      <c r="CX14" s="17"/>
      <c r="CY14" s="24"/>
      <c r="CZ14" s="17"/>
      <c r="DA14" s="63"/>
      <c r="DB14" s="63"/>
      <c r="DC14" s="63"/>
      <c r="DD14" s="63"/>
      <c r="DE14" s="24"/>
      <c r="DF14" s="17"/>
      <c r="DG14" s="32"/>
      <c r="DH14" s="32"/>
      <c r="DI14" s="32"/>
      <c r="DJ14" s="32"/>
      <c r="DK14" s="24"/>
      <c r="DL14" s="17"/>
      <c r="DM14" s="17"/>
      <c r="DN14" s="17"/>
      <c r="DO14" s="17"/>
      <c r="DP14" s="17"/>
      <c r="DQ14" s="24"/>
      <c r="DR14" s="17"/>
      <c r="DS14" s="32"/>
      <c r="DT14" s="32"/>
      <c r="DU14" s="32"/>
      <c r="DV14" s="32"/>
      <c r="DW14" s="24"/>
      <c r="DX14" s="17"/>
      <c r="DY14" s="17"/>
      <c r="DZ14" s="17"/>
      <c r="EA14" s="17"/>
      <c r="EB14" s="17"/>
      <c r="EC14" s="24"/>
      <c r="ED14" s="17"/>
      <c r="EE14" s="17"/>
      <c r="EF14" s="17"/>
      <c r="EG14" s="17"/>
      <c r="EH14" s="17"/>
      <c r="EI14" s="24"/>
      <c r="EJ14" s="17"/>
      <c r="EK14" s="17"/>
      <c r="EL14" s="17"/>
      <c r="EM14" s="17"/>
      <c r="EN14" s="17"/>
      <c r="EO14" s="24"/>
      <c r="EP14" s="17"/>
      <c r="EQ14" s="17"/>
      <c r="ER14" s="17"/>
      <c r="ES14" s="17"/>
      <c r="ET14" s="17"/>
      <c r="EU14" s="24"/>
      <c r="EV14" s="17"/>
      <c r="EW14" s="17"/>
      <c r="EX14" s="17"/>
      <c r="EY14" s="17"/>
      <c r="EZ14" s="17"/>
      <c r="FA14" s="24"/>
      <c r="FB14" s="17"/>
      <c r="FC14" s="32"/>
      <c r="FD14" s="32"/>
      <c r="FE14" s="32"/>
      <c r="FF14" s="17"/>
      <c r="FG14" s="24"/>
    </row>
    <row r="15" spans="1:163" ht="13.5" thickBot="1">
      <c r="A15" s="15" t="s">
        <v>0</v>
      </c>
      <c r="C15" s="31">
        <f>SUM(C8:C14)</f>
        <v>5945000</v>
      </c>
      <c r="D15" s="31">
        <f>SUM(D8:D14)</f>
        <v>481800</v>
      </c>
      <c r="E15" s="31">
        <f>SUM(E8:E14)</f>
        <v>6426800</v>
      </c>
      <c r="F15" s="31">
        <f>SUM(F8:F14)</f>
        <v>272903</v>
      </c>
      <c r="G15" s="31">
        <f>SUM(G8:G14)</f>
        <v>246813</v>
      </c>
      <c r="H15" s="24"/>
      <c r="I15" s="31">
        <f>SUM(I8:I14)</f>
        <v>600481.859</v>
      </c>
      <c r="J15" s="31">
        <f>SUM(J8:J14)</f>
        <v>48664.78716</v>
      </c>
      <c r="K15" s="31">
        <f>SUM(K8:K14)</f>
        <v>649146.64616</v>
      </c>
      <c r="L15" s="31">
        <f>SUM(L8:L14)</f>
        <v>27564.894998600004</v>
      </c>
      <c r="M15" s="31">
        <f>SUM(M8:M14)</f>
        <v>24929.643240600002</v>
      </c>
      <c r="N15" s="24"/>
      <c r="O15" s="31">
        <f>SUM(O8:O14)</f>
        <v>5344519.924500001</v>
      </c>
      <c r="P15" s="31">
        <f>SUM(P8:P14)</f>
        <v>433135.35738000006</v>
      </c>
      <c r="Q15" s="31">
        <f>SUM(Q8:Q14)</f>
        <v>5777655.281880001</v>
      </c>
      <c r="R15" s="31">
        <f>SUM(R8:R14)</f>
        <v>245338.18687230005</v>
      </c>
      <c r="S15" s="31">
        <f>SUM(S8:S14)</f>
        <v>221883.4308033</v>
      </c>
      <c r="U15" s="31">
        <f>SUM(U8:U14)</f>
        <v>2393949.246</v>
      </c>
      <c r="V15" s="31">
        <f>SUM(V8:V14)</f>
        <v>194012.57304</v>
      </c>
      <c r="W15" s="31">
        <f>SUM(W8:W14)</f>
        <v>2587961.8190399995</v>
      </c>
      <c r="X15" s="31">
        <f>SUM(X8:X14)</f>
        <v>109893.3441684</v>
      </c>
      <c r="Y15" s="31">
        <f>SUM(Y8:Y14)</f>
        <v>99387.3499164</v>
      </c>
      <c r="Z15" s="17"/>
      <c r="AA15" s="31">
        <f>SUM(AA8:AA14)</f>
        <v>107550.995</v>
      </c>
      <c r="AB15" s="31">
        <f>SUM(AB8:AB14)</f>
        <v>8716.2438</v>
      </c>
      <c r="AC15" s="31">
        <f>SUM(AC8:AC14)</f>
        <v>116267.23879999999</v>
      </c>
      <c r="AD15" s="31">
        <f>SUM(AD8:AD14)</f>
        <v>4937.088173</v>
      </c>
      <c r="AE15" s="31">
        <f>SUM(AE8:AE14)</f>
        <v>4465.093983</v>
      </c>
      <c r="AF15" s="17"/>
      <c r="AG15" s="31">
        <f>SUM(AG8:AG14)</f>
        <v>251716.6505</v>
      </c>
      <c r="AH15" s="31">
        <f>SUM(AH8:AH14)</f>
        <v>20399.845620000004</v>
      </c>
      <c r="AI15" s="31">
        <f>SUM(AI8:AI14)</f>
        <v>272116.49612</v>
      </c>
      <c r="AJ15" s="31">
        <f>SUM(AJ8:AJ14)</f>
        <v>11554.958632700002</v>
      </c>
      <c r="AK15" s="31">
        <f>SUM(AK8:AK14)</f>
        <v>10450.284551699999</v>
      </c>
      <c r="AL15" s="17"/>
      <c r="AM15" s="31">
        <f>SUM(AM8:AM14)</f>
        <v>18211.3185</v>
      </c>
      <c r="AN15" s="31">
        <f>SUM(AN8:AN14)</f>
        <v>1475.8979399999998</v>
      </c>
      <c r="AO15" s="31">
        <f>SUM(AO8:AO14)</f>
        <v>19687.21644</v>
      </c>
      <c r="AP15" s="31">
        <f>SUM(AP8:AP14)</f>
        <v>835.9837599</v>
      </c>
      <c r="AQ15" s="31">
        <f>SUM(AQ8:AQ14)</f>
        <v>756.0622629</v>
      </c>
      <c r="AR15" s="17"/>
      <c r="AS15" s="31">
        <f>SUM(AS8:AS14)</f>
        <v>386048.08700000006</v>
      </c>
      <c r="AT15" s="31">
        <f>SUM(AT8:AT14)</f>
        <v>31286.45388</v>
      </c>
      <c r="AU15" s="31">
        <f>SUM(AU8:AU14)</f>
        <v>417334.54088000004</v>
      </c>
      <c r="AV15" s="31">
        <f>SUM(AV8:AV14)</f>
        <v>17721.3929498</v>
      </c>
      <c r="AW15" s="31">
        <f>SUM(AW8:AW14)</f>
        <v>16027.1970558</v>
      </c>
      <c r="AX15" s="17"/>
      <c r="AY15" s="31">
        <f>SUM(AY8:AY14)</f>
        <v>4983.099</v>
      </c>
      <c r="AZ15" s="31">
        <f>SUM(AZ8:AZ14)</f>
        <v>403.84476</v>
      </c>
      <c r="BA15" s="31">
        <f>SUM(BA8:BA14)</f>
        <v>5386.94376</v>
      </c>
      <c r="BB15" s="31">
        <f>SUM(BB8:BB14)</f>
        <v>228.7472946</v>
      </c>
      <c r="BC15" s="31">
        <f>SUM(BC8:BC14)</f>
        <v>206.8786566</v>
      </c>
      <c r="BD15" s="17"/>
      <c r="BE15" s="31">
        <f>SUM(BE8:BE14)</f>
        <v>7514.4800000000005</v>
      </c>
      <c r="BF15" s="31">
        <f>SUM(BF8:BF14)</f>
        <v>608.9952000000002</v>
      </c>
      <c r="BG15" s="31">
        <f>SUM(BG8:BG14)</f>
        <v>8123.4752</v>
      </c>
      <c r="BH15" s="31">
        <f>SUM(BH8:BH14)</f>
        <v>344.949392</v>
      </c>
      <c r="BI15" s="31">
        <f>SUM(BI8:BI14)</f>
        <v>311.971632</v>
      </c>
      <c r="BJ15" s="17"/>
      <c r="BK15" s="31">
        <f>SUM(BK8:BK14)</f>
        <v>306537.8735</v>
      </c>
      <c r="BL15" s="31">
        <f>SUM(BL8:BL14)</f>
        <v>24842.71614</v>
      </c>
      <c r="BM15" s="31">
        <f>SUM(BM8:BM14)</f>
        <v>331380.58964</v>
      </c>
      <c r="BN15" s="31">
        <f>SUM(BN8:BN14)</f>
        <v>14071.5063569</v>
      </c>
      <c r="BO15" s="31">
        <f>SUM(BO8:BO14)</f>
        <v>12726.2459499</v>
      </c>
      <c r="BP15" s="17"/>
      <c r="BQ15" s="31">
        <f>SUM(BQ8:BQ14)</f>
        <v>52578.17450000001</v>
      </c>
      <c r="BR15" s="31">
        <f>SUM(BR8:BR14)</f>
        <v>4261.087380000001</v>
      </c>
      <c r="BS15" s="31">
        <f>SUM(BS8:BS14)</f>
        <v>56839.26188</v>
      </c>
      <c r="BT15" s="31">
        <f>SUM(BT8:BT14)</f>
        <v>2413.5814222999998</v>
      </c>
      <c r="BU15" s="31">
        <f>SUM(BU8:BU14)</f>
        <v>2182.8388533</v>
      </c>
      <c r="BV15" s="17"/>
      <c r="BW15" s="31">
        <f>SUM(BW8:BW14)</f>
        <v>9366.942000000001</v>
      </c>
      <c r="BX15" s="31">
        <f>SUM(BX8:BX14)</f>
        <v>759.12408</v>
      </c>
      <c r="BY15" s="31">
        <f>SUM(BY8:BY14)</f>
        <v>10126.06608</v>
      </c>
      <c r="BZ15" s="31">
        <f>SUM(BZ8:BZ14)</f>
        <v>429.9859667999999</v>
      </c>
      <c r="CA15" s="31">
        <f>SUM(CA8:CA14)</f>
        <v>388.8785628</v>
      </c>
      <c r="CB15" s="17"/>
      <c r="CC15" s="31">
        <f>SUM(CC8:CC14)</f>
        <v>108977.2005</v>
      </c>
      <c r="CD15" s="31">
        <f>SUM(CD8:CD14)</f>
        <v>8831.827620000002</v>
      </c>
      <c r="CE15" s="31">
        <f>SUM(CE8:CE14)</f>
        <v>117809.02812000002</v>
      </c>
      <c r="CF15" s="31">
        <f>SUM(CF8:CF14)</f>
        <v>5002.557602700001</v>
      </c>
      <c r="CG15" s="31">
        <f>SUM(CG8:CG14)</f>
        <v>4524.304421700001</v>
      </c>
      <c r="CH15" s="17"/>
      <c r="CI15" s="31">
        <f>SUM(CI8:CI14)</f>
        <v>52713.126000000004</v>
      </c>
      <c r="CJ15" s="31">
        <f>SUM(CJ8:CJ14)</f>
        <v>4272.024240000001</v>
      </c>
      <c r="CK15" s="31">
        <f>SUM(CK8:CK14)</f>
        <v>56985.15024000001</v>
      </c>
      <c r="CL15" s="31">
        <f>SUM(CL8:CL14)</f>
        <v>2419.7763204</v>
      </c>
      <c r="CM15" s="31">
        <f>SUM(CM8:CM14)</f>
        <v>2188.4415083999997</v>
      </c>
      <c r="CN15" s="24"/>
      <c r="CO15" s="31">
        <f>SUM(CO8:CO14)</f>
        <v>75353.46949999999</v>
      </c>
      <c r="CP15" s="31">
        <f>SUM(CP8:CP14)</f>
        <v>6106.8631799999985</v>
      </c>
      <c r="CQ15" s="31">
        <f>SUM(CQ8:CQ14)</f>
        <v>81460.33267999999</v>
      </c>
      <c r="CR15" s="31">
        <f>SUM(CR8:CR14)</f>
        <v>3459.0728153</v>
      </c>
      <c r="CS15" s="31">
        <f>SUM(CS8:CS14)</f>
        <v>3128.3794563</v>
      </c>
      <c r="CT15" s="17"/>
      <c r="CU15" s="31">
        <f>SUM(CU8:CU14)</f>
        <v>141656.8655</v>
      </c>
      <c r="CV15" s="31">
        <f>SUM(CV8:CV14)</f>
        <v>11480.282219999997</v>
      </c>
      <c r="CW15" s="31">
        <f>SUM(CW8:CW14)</f>
        <v>153137.14772</v>
      </c>
      <c r="CX15" s="31">
        <f>SUM(CX8:CX14)</f>
        <v>6502.705393699999</v>
      </c>
      <c r="CY15" s="31">
        <f>SUM(CY8:CY14)</f>
        <v>5881.0354827</v>
      </c>
      <c r="CZ15" s="17"/>
      <c r="DA15" s="65">
        <f>SUM(DA8:DA14)</f>
        <v>109146.0385</v>
      </c>
      <c r="DB15" s="65">
        <f>SUM(DB8:DB14)</f>
        <v>8845.510740000002</v>
      </c>
      <c r="DC15" s="65">
        <f>SUM(DC8:DC14)</f>
        <v>117991.54924</v>
      </c>
      <c r="DD15" s="65">
        <f>SUM(DD8:DD14)</f>
        <v>5010.3080479</v>
      </c>
      <c r="DE15" s="31">
        <f>SUM(DE8:DE14)</f>
        <v>4531.313910899999</v>
      </c>
      <c r="DF15" s="17"/>
      <c r="DG15" s="31">
        <f>SUM(DG8:DG14)</f>
        <v>67.773</v>
      </c>
      <c r="DH15" s="31">
        <f>SUM(DH8:DH14)</f>
        <v>5.492520000000001</v>
      </c>
      <c r="DI15" s="31">
        <f>SUM(DI8:DI14)</f>
        <v>73.26552</v>
      </c>
      <c r="DJ15" s="31">
        <f>SUM(DJ8:DJ14)</f>
        <v>3.1110942</v>
      </c>
      <c r="DK15" s="31">
        <f>SUM(DK8:DK14)</f>
        <v>2.8136681999999995</v>
      </c>
      <c r="DL15" s="17"/>
      <c r="DM15" s="31">
        <f>SUM(DM8:DM14)</f>
        <v>598.067</v>
      </c>
      <c r="DN15" s="31">
        <f>SUM(DN8:DN14)</f>
        <v>48.46907999999999</v>
      </c>
      <c r="DO15" s="31">
        <f>SUM(DO8:DO14)</f>
        <v>646.53608</v>
      </c>
      <c r="DP15" s="31">
        <f>SUM(DP8:DP14)</f>
        <v>27.454041800000006</v>
      </c>
      <c r="DQ15" s="31">
        <f>SUM(DQ8:DQ14)</f>
        <v>24.8293878</v>
      </c>
      <c r="DR15" s="17"/>
      <c r="DS15" s="31">
        <f>SUM(DS8:DS14)</f>
        <v>6980.619</v>
      </c>
      <c r="DT15" s="31">
        <f>SUM(DT8:DT14)</f>
        <v>565.72956</v>
      </c>
      <c r="DU15" s="31">
        <f>SUM(DU8:DU14)</f>
        <v>7546.34856</v>
      </c>
      <c r="DV15" s="31">
        <f>SUM(DV8:DV14)</f>
        <v>320.4427026</v>
      </c>
      <c r="DW15" s="31">
        <f>SUM(DW8:DW14)</f>
        <v>289.8078246</v>
      </c>
      <c r="DX15" s="17"/>
      <c r="DY15" s="31">
        <f>SUM(DY8:DY14)</f>
        <v>30267.7785</v>
      </c>
      <c r="DZ15" s="31">
        <f>SUM(DZ8:DZ14)</f>
        <v>2452.9883399999994</v>
      </c>
      <c r="EA15" s="31">
        <f>SUM(EA8:EA14)</f>
        <v>32720.766839999997</v>
      </c>
      <c r="EB15" s="31">
        <f>SUM(EB8:EB14)</f>
        <v>1389.4310438999998</v>
      </c>
      <c r="EC15" s="31">
        <f>SUM(EC8:EC14)</f>
        <v>1256.5990269</v>
      </c>
      <c r="ED15" s="17"/>
      <c r="EE15" s="31">
        <f>SUM(EE8:EE14)</f>
        <v>7972.8395</v>
      </c>
      <c r="EF15" s="31">
        <f>SUM(EF8:EF14)</f>
        <v>646.1419800000001</v>
      </c>
      <c r="EG15" s="31">
        <f>SUM(EG8:EG14)</f>
        <v>8618.98148</v>
      </c>
      <c r="EH15" s="31">
        <f>SUM(EH8:EH14)</f>
        <v>365.9902133</v>
      </c>
      <c r="EI15" s="31">
        <f>SUM(EI8:EI14)</f>
        <v>331.0009143</v>
      </c>
      <c r="EJ15" s="17"/>
      <c r="EK15" s="31">
        <f>SUM(EK8:EK14)</f>
        <v>168213.18049999996</v>
      </c>
      <c r="EL15" s="31">
        <f>SUM(EL8:EL14)</f>
        <v>13632.482819999997</v>
      </c>
      <c r="EM15" s="31">
        <f>SUM(EM8:EM14)</f>
        <v>181845.66332</v>
      </c>
      <c r="EN15" s="31">
        <f>SUM(EN8:EN14)</f>
        <v>7721.763094700001</v>
      </c>
      <c r="EO15" s="31">
        <f>SUM(EO8:EO14)</f>
        <v>6983.549153700001</v>
      </c>
      <c r="EP15" s="17"/>
      <c r="EQ15" s="31">
        <f>SUM(EQ8:EQ14)</f>
        <v>1059804.449</v>
      </c>
      <c r="ER15" s="31">
        <f>SUM(ER8:ER14)</f>
        <v>85889.61876</v>
      </c>
      <c r="ES15" s="31">
        <f>SUM(ES8:ES14)</f>
        <v>1145694.06776</v>
      </c>
      <c r="ET15" s="31">
        <f>SUM(ET8:ET14)</f>
        <v>48649.9265846</v>
      </c>
      <c r="EU15" s="31">
        <f>SUM(EU8:EU14)</f>
        <v>43998.9092466</v>
      </c>
      <c r="EV15" s="17"/>
      <c r="EW15" s="31">
        <f>SUM(EW8:EW14)</f>
        <v>44311.652</v>
      </c>
      <c r="EX15" s="31">
        <f>SUM(EX8:EX14)</f>
        <v>3591.14448</v>
      </c>
      <c r="EY15" s="31">
        <f>SUM(EY8:EY14)</f>
        <v>47902.79648</v>
      </c>
      <c r="EZ15" s="31">
        <f>SUM(EZ8:EZ14)</f>
        <v>2034.1098008000001</v>
      </c>
      <c r="FA15" s="31">
        <f>SUM(FA8:FA14)</f>
        <v>1839.6453768000001</v>
      </c>
      <c r="FB15" s="17"/>
      <c r="FC15" s="31">
        <f>SUM(FC8:FC14)</f>
        <v>0</v>
      </c>
      <c r="FD15" s="31">
        <f>SUM(FD8:FD14)</f>
        <v>0</v>
      </c>
      <c r="FE15" s="31">
        <f>SUM(FE8:FE14)</f>
        <v>0</v>
      </c>
      <c r="FF15" s="17"/>
      <c r="FG15" s="31">
        <f>SUM(FG8:FG14)</f>
        <v>0</v>
      </c>
    </row>
    <row r="16" ht="13.5" thickTop="1"/>
  </sheetData>
  <sheetProtection/>
  <printOptions/>
  <pageMargins left="0.75" right="0.75" top="1" bottom="1" header="0.3" footer="0.3"/>
  <pageSetup horizontalDpi="600" verticalDpi="600" orientation="landscape" scale="69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B29"/>
  <sheetViews>
    <sheetView zoomScale="150" zoomScaleNormal="150" zoomScalePageLayoutView="0" workbookViewId="0" topLeftCell="A1">
      <pane xSplit="2" ySplit="7" topLeftCell="I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0" sqref="I10"/>
    </sheetView>
  </sheetViews>
  <sheetFormatPr defaultColWidth="14.57421875" defaultRowHeight="12.75"/>
  <cols>
    <col min="1" max="1" width="9.7109375" style="2" customWidth="1"/>
    <col min="2" max="2" width="3.7109375" style="0" customWidth="1"/>
    <col min="3" max="6" width="13.7109375" style="17" hidden="1" customWidth="1"/>
    <col min="7" max="7" width="15.7109375" style="17" hidden="1" customWidth="1"/>
    <col min="8" max="8" width="3.7109375" style="17" hidden="1" customWidth="1"/>
    <col min="9" max="9" width="13.7109375" style="17" customWidth="1"/>
    <col min="10" max="10" width="15.421875" style="17" customWidth="1"/>
    <col min="11" max="11" width="17.8515625" style="17" customWidth="1"/>
    <col min="12" max="12" width="13.8515625" style="17" customWidth="1"/>
    <col min="13" max="13" width="16.421875" style="17" customWidth="1"/>
    <col min="14" max="14" width="3.7109375" style="17" customWidth="1"/>
    <col min="15" max="19" width="13.7109375" style="17" customWidth="1"/>
    <col min="20" max="20" width="3.421875" style="17" customWidth="1"/>
    <col min="21" max="22" width="13.7109375" style="17" customWidth="1"/>
    <col min="23" max="25" width="14.7109375" style="17" customWidth="1"/>
    <col min="26" max="26" width="3.7109375" style="17" customWidth="1"/>
    <col min="27" max="31" width="14.7109375" style="17" customWidth="1"/>
    <col min="32" max="32" width="3.7109375" style="17" customWidth="1"/>
    <col min="33" max="37" width="14.7109375" style="17" customWidth="1"/>
    <col min="38" max="38" width="3.7109375" style="17" customWidth="1"/>
    <col min="39" max="43" width="14.7109375" style="17" customWidth="1"/>
    <col min="44" max="44" width="3.7109375" style="17" customWidth="1"/>
    <col min="45" max="49" width="14.7109375" style="17" customWidth="1"/>
    <col min="50" max="50" width="3.8515625" style="17" customWidth="1"/>
    <col min="51" max="55" width="14.7109375" style="17" customWidth="1"/>
    <col min="56" max="56" width="3.7109375" style="17" customWidth="1"/>
    <col min="57" max="61" width="13.7109375" style="17" customWidth="1"/>
    <col min="62" max="62" width="3.7109375" style="0" customWidth="1"/>
    <col min="63" max="63" width="11.7109375" style="0" customWidth="1"/>
    <col min="64" max="64" width="12.7109375" style="0" customWidth="1"/>
    <col min="65" max="67" width="11.8515625" style="0" customWidth="1"/>
    <col min="68" max="68" width="3.7109375" style="0" customWidth="1"/>
    <col min="69" max="69" width="13.8515625" style="0" customWidth="1"/>
    <col min="70" max="73" width="13.7109375" style="0" customWidth="1"/>
    <col min="74" max="74" width="3.7109375" style="0" customWidth="1"/>
    <col min="75" max="79" width="13.7109375" style="0" customWidth="1"/>
    <col min="80" max="80" width="3.7109375" style="0" customWidth="1"/>
    <col min="81" max="85" width="13.7109375" style="0" customWidth="1"/>
    <col min="86" max="86" width="3.7109375" style="0" customWidth="1"/>
    <col min="87" max="91" width="13.7109375" style="0" customWidth="1"/>
    <col min="92" max="92" width="3.7109375" style="0" customWidth="1"/>
    <col min="93" max="97" width="13.7109375" style="0" customWidth="1"/>
    <col min="98" max="98" width="3.7109375" style="0" customWidth="1"/>
    <col min="99" max="103" width="13.7109375" style="0" customWidth="1"/>
    <col min="104" max="104" width="3.7109375" style="0" customWidth="1"/>
    <col min="105" max="109" width="13.7109375" style="0" customWidth="1"/>
    <col min="110" max="110" width="3.7109375" style="0" customWidth="1"/>
    <col min="111" max="115" width="13.7109375" style="0" customWidth="1"/>
    <col min="116" max="116" width="3.7109375" style="0" customWidth="1"/>
    <col min="117" max="121" width="13.7109375" style="0" customWidth="1"/>
    <col min="122" max="122" width="3.7109375" style="0" customWidth="1"/>
    <col min="123" max="127" width="13.7109375" style="0" customWidth="1"/>
    <col min="128" max="16384" width="14.421875" style="0" customWidth="1"/>
  </cols>
  <sheetData>
    <row r="1" spans="1:127" ht="12.75">
      <c r="A1" s="26"/>
      <c r="B1" s="12"/>
      <c r="C1" s="27"/>
      <c r="H1" s="27"/>
      <c r="I1" s="27" t="s">
        <v>6</v>
      </c>
      <c r="J1" s="18"/>
      <c r="L1"/>
      <c r="M1"/>
      <c r="N1" s="3"/>
      <c r="P1" s="27"/>
      <c r="Q1" s="27" t="s">
        <v>6</v>
      </c>
      <c r="R1" s="3"/>
      <c r="S1" s="3"/>
      <c r="U1" s="3"/>
      <c r="V1" s="3"/>
      <c r="W1" s="3"/>
      <c r="Z1" s="27"/>
      <c r="AA1" s="4"/>
      <c r="AB1" s="3"/>
      <c r="AD1" s="27"/>
      <c r="AE1" s="27"/>
      <c r="AF1" s="27" t="s">
        <v>6</v>
      </c>
      <c r="AG1" s="3"/>
      <c r="AI1" s="27"/>
      <c r="AJ1" s="4"/>
      <c r="AK1" s="4"/>
      <c r="AL1" s="3"/>
      <c r="AN1" s="27"/>
      <c r="AO1" s="3"/>
      <c r="AP1" s="3"/>
      <c r="AQ1" s="3"/>
      <c r="AS1" s="27"/>
      <c r="AT1" s="27" t="s">
        <v>6</v>
      </c>
      <c r="AU1" s="3"/>
      <c r="AX1" s="3"/>
      <c r="AY1" s="3"/>
      <c r="AZ1" s="3"/>
      <c r="BB1" s="27"/>
      <c r="BC1" s="27"/>
      <c r="BD1" s="3"/>
      <c r="BE1" s="3"/>
      <c r="BG1" s="27"/>
      <c r="BH1" s="27" t="s">
        <v>6</v>
      </c>
      <c r="BI1" s="27"/>
      <c r="BJ1" s="3"/>
      <c r="BK1" s="17"/>
      <c r="BL1" s="3"/>
      <c r="BM1" s="4"/>
      <c r="BN1" s="3"/>
      <c r="BO1" s="3"/>
      <c r="BP1" s="17"/>
      <c r="BQ1" s="27"/>
      <c r="BR1" s="3"/>
      <c r="BS1" s="3"/>
      <c r="BT1" s="17"/>
      <c r="BU1" s="17"/>
      <c r="BV1" s="27"/>
      <c r="BW1" s="27" t="s">
        <v>6</v>
      </c>
      <c r="BX1" s="3"/>
      <c r="BY1" s="17"/>
      <c r="BZ1" s="3"/>
      <c r="CA1" s="3"/>
      <c r="CB1" s="3"/>
      <c r="CC1" s="3"/>
      <c r="CD1" s="17"/>
      <c r="CE1" s="27"/>
      <c r="CF1" s="3"/>
      <c r="CG1" s="3"/>
      <c r="CH1" s="3"/>
      <c r="CI1" s="17"/>
      <c r="CJ1" s="27"/>
      <c r="CK1" s="27" t="s">
        <v>6</v>
      </c>
      <c r="CL1" s="3"/>
      <c r="CM1" s="3"/>
      <c r="CN1" s="17"/>
      <c r="CO1" s="3"/>
      <c r="CP1" s="4"/>
      <c r="CQ1" s="3"/>
      <c r="CR1" s="17"/>
      <c r="CS1" s="17"/>
      <c r="CT1" s="27"/>
      <c r="CU1" s="3"/>
      <c r="CV1" s="3"/>
      <c r="CW1" s="17"/>
      <c r="CX1" s="27"/>
      <c r="CY1" s="27"/>
      <c r="CZ1" s="27" t="s">
        <v>6</v>
      </c>
      <c r="DA1" s="3"/>
      <c r="DB1" s="17"/>
      <c r="DC1" s="3"/>
      <c r="DD1" s="3"/>
      <c r="DE1" s="3"/>
      <c r="DF1" s="3"/>
      <c r="DG1" s="17"/>
      <c r="DH1" s="27"/>
      <c r="DI1" s="3"/>
      <c r="DJ1" s="3"/>
      <c r="DK1" s="3"/>
      <c r="DL1" s="17"/>
      <c r="DM1" s="27"/>
      <c r="DN1" s="27" t="s">
        <v>6</v>
      </c>
      <c r="DO1" s="3"/>
      <c r="DP1" s="17"/>
      <c r="DQ1" s="17"/>
      <c r="DR1" s="27"/>
      <c r="DS1" s="3"/>
      <c r="DT1" s="3"/>
      <c r="DV1" s="27"/>
      <c r="DW1" s="27"/>
    </row>
    <row r="2" spans="1:127" ht="12.75">
      <c r="A2" s="26"/>
      <c r="B2" s="12"/>
      <c r="C2" s="27"/>
      <c r="H2" s="27" t="s">
        <v>53</v>
      </c>
      <c r="I2" s="18"/>
      <c r="J2" s="18"/>
      <c r="L2"/>
      <c r="M2"/>
      <c r="N2" s="3"/>
      <c r="P2" s="27" t="s">
        <v>53</v>
      </c>
      <c r="Q2" s="18"/>
      <c r="R2" s="3"/>
      <c r="S2" s="3"/>
      <c r="U2" s="3"/>
      <c r="V2" s="3"/>
      <c r="W2" s="3"/>
      <c r="Z2" s="27"/>
      <c r="AA2" s="4"/>
      <c r="AB2" s="3"/>
      <c r="AD2" s="27" t="s">
        <v>53</v>
      </c>
      <c r="AE2" s="27"/>
      <c r="AF2" s="18"/>
      <c r="AG2" s="3"/>
      <c r="AI2" s="27"/>
      <c r="AJ2" s="4"/>
      <c r="AK2" s="4"/>
      <c r="AL2" s="3"/>
      <c r="AN2" s="27"/>
      <c r="AO2" s="3"/>
      <c r="AP2" s="3"/>
      <c r="AQ2" s="3"/>
      <c r="AS2" s="27" t="s">
        <v>53</v>
      </c>
      <c r="AT2" s="18"/>
      <c r="AU2" s="3"/>
      <c r="AX2" s="3"/>
      <c r="AY2" s="3"/>
      <c r="AZ2" s="3"/>
      <c r="BB2" s="27"/>
      <c r="BC2" s="27"/>
      <c r="BD2" s="3"/>
      <c r="BE2" s="3"/>
      <c r="BG2" s="27" t="s">
        <v>53</v>
      </c>
      <c r="BH2" s="18"/>
      <c r="BI2" s="18"/>
      <c r="BJ2" s="3"/>
      <c r="BK2" s="17"/>
      <c r="BL2" s="3"/>
      <c r="BM2" s="4"/>
      <c r="BN2" s="3"/>
      <c r="BO2" s="3"/>
      <c r="BP2" s="17"/>
      <c r="BQ2" s="27"/>
      <c r="BR2" s="3"/>
      <c r="BS2" s="3"/>
      <c r="BT2" s="17"/>
      <c r="BU2" s="17"/>
      <c r="BV2" s="27" t="s">
        <v>53</v>
      </c>
      <c r="BW2" s="18"/>
      <c r="BX2" s="3"/>
      <c r="BY2" s="17"/>
      <c r="BZ2" s="3"/>
      <c r="CA2" s="3"/>
      <c r="CB2" s="3"/>
      <c r="CC2" s="3"/>
      <c r="CD2" s="17"/>
      <c r="CE2" s="27"/>
      <c r="CF2" s="3"/>
      <c r="CG2" s="3"/>
      <c r="CH2" s="3"/>
      <c r="CI2" s="17"/>
      <c r="CJ2" s="27" t="s">
        <v>53</v>
      </c>
      <c r="CK2" s="18"/>
      <c r="CL2" s="3"/>
      <c r="CM2" s="3"/>
      <c r="CN2" s="17"/>
      <c r="CO2" s="3"/>
      <c r="CP2" s="4"/>
      <c r="CQ2" s="3"/>
      <c r="CR2" s="17"/>
      <c r="CS2" s="17"/>
      <c r="CT2" s="27"/>
      <c r="CU2" s="3"/>
      <c r="CV2" s="3"/>
      <c r="CW2" s="17"/>
      <c r="CX2" s="27" t="s">
        <v>53</v>
      </c>
      <c r="CY2" s="27"/>
      <c r="CZ2" s="18"/>
      <c r="DA2" s="3"/>
      <c r="DB2" s="17"/>
      <c r="DC2" s="3"/>
      <c r="DD2" s="3"/>
      <c r="DE2" s="3"/>
      <c r="DF2" s="3"/>
      <c r="DG2" s="17"/>
      <c r="DH2" s="27"/>
      <c r="DI2" s="3"/>
      <c r="DJ2" s="3"/>
      <c r="DK2" s="3"/>
      <c r="DL2" s="17"/>
      <c r="DM2" s="27" t="s">
        <v>53</v>
      </c>
      <c r="DN2" s="18"/>
      <c r="DO2" s="3"/>
      <c r="DP2" s="17"/>
      <c r="DQ2" s="17"/>
      <c r="DR2" s="27"/>
      <c r="DS2" s="3"/>
      <c r="DT2" s="3"/>
      <c r="DV2" s="27"/>
      <c r="DW2" s="27"/>
    </row>
    <row r="3" spans="1:127" ht="12.75">
      <c r="A3" s="26"/>
      <c r="B3" s="12"/>
      <c r="C3" s="27"/>
      <c r="H3" s="25"/>
      <c r="I3" s="27" t="s">
        <v>7</v>
      </c>
      <c r="J3" s="18"/>
      <c r="L3"/>
      <c r="M3"/>
      <c r="N3" s="3"/>
      <c r="P3" s="25"/>
      <c r="Q3" s="27" t="s">
        <v>7</v>
      </c>
      <c r="R3" s="3"/>
      <c r="S3" s="3"/>
      <c r="U3" s="3"/>
      <c r="V3" s="3"/>
      <c r="W3" s="3"/>
      <c r="Z3" s="27"/>
      <c r="AA3" s="3"/>
      <c r="AB3" s="3"/>
      <c r="AD3" s="25"/>
      <c r="AE3" s="25"/>
      <c r="AF3" s="27" t="s">
        <v>7</v>
      </c>
      <c r="AG3" s="3"/>
      <c r="AJ3" s="3"/>
      <c r="AK3" s="3"/>
      <c r="AL3" s="3"/>
      <c r="AN3" s="27"/>
      <c r="AO3" s="3"/>
      <c r="AP3" s="3"/>
      <c r="AQ3" s="3"/>
      <c r="AS3" s="25"/>
      <c r="AT3" s="27" t="s">
        <v>7</v>
      </c>
      <c r="AU3" s="3"/>
      <c r="AX3" s="3"/>
      <c r="AY3" s="3"/>
      <c r="AZ3" s="3"/>
      <c r="BB3" s="27"/>
      <c r="BC3" s="27"/>
      <c r="BD3" s="3"/>
      <c r="BE3" s="3"/>
      <c r="BG3" s="25"/>
      <c r="BH3" s="27" t="s">
        <v>7</v>
      </c>
      <c r="BI3" s="27"/>
      <c r="BJ3" s="3"/>
      <c r="BK3" s="17"/>
      <c r="BL3" s="3"/>
      <c r="BM3" s="3"/>
      <c r="BN3" s="3"/>
      <c r="BO3" s="3"/>
      <c r="BP3" s="17"/>
      <c r="BQ3" s="27"/>
      <c r="BR3" s="3"/>
      <c r="BS3" s="3"/>
      <c r="BT3" s="17"/>
      <c r="BU3" s="17"/>
      <c r="BV3" s="25"/>
      <c r="BW3" s="27" t="s">
        <v>7</v>
      </c>
      <c r="BX3" s="3"/>
      <c r="BY3" s="17"/>
      <c r="BZ3" s="3"/>
      <c r="CA3" s="3"/>
      <c r="CB3" s="3"/>
      <c r="CC3" s="3"/>
      <c r="CD3" s="17"/>
      <c r="CE3" s="27"/>
      <c r="CF3" s="3"/>
      <c r="CG3" s="3"/>
      <c r="CH3" s="3"/>
      <c r="CI3" s="17"/>
      <c r="CJ3" s="25"/>
      <c r="CK3" s="27" t="s">
        <v>7</v>
      </c>
      <c r="CL3" s="3"/>
      <c r="CM3" s="3"/>
      <c r="CN3" s="17"/>
      <c r="CO3" s="3"/>
      <c r="CP3" s="3"/>
      <c r="CQ3" s="3"/>
      <c r="CR3" s="17"/>
      <c r="CS3" s="17"/>
      <c r="CT3" s="27"/>
      <c r="CU3" s="3"/>
      <c r="CV3" s="3"/>
      <c r="CW3" s="17"/>
      <c r="CX3" s="25"/>
      <c r="CY3" s="25"/>
      <c r="CZ3" s="27" t="s">
        <v>7</v>
      </c>
      <c r="DA3" s="3"/>
      <c r="DB3" s="17"/>
      <c r="DC3" s="3"/>
      <c r="DD3" s="3"/>
      <c r="DE3" s="3"/>
      <c r="DF3" s="3"/>
      <c r="DG3" s="17"/>
      <c r="DH3" s="27"/>
      <c r="DI3" s="3"/>
      <c r="DJ3" s="3"/>
      <c r="DK3" s="3"/>
      <c r="DL3" s="17"/>
      <c r="DM3" s="25"/>
      <c r="DN3" s="27" t="s">
        <v>7</v>
      </c>
      <c r="DO3" s="3"/>
      <c r="DP3" s="17"/>
      <c r="DQ3" s="17"/>
      <c r="DR3" s="27"/>
      <c r="DS3" s="3"/>
      <c r="DT3" s="3"/>
      <c r="DV3" s="27"/>
      <c r="DW3" s="27"/>
    </row>
    <row r="4" spans="1:61" ht="12.75">
      <c r="A4" s="26"/>
      <c r="B4" s="12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</row>
    <row r="5" spans="1:127" ht="12.75">
      <c r="A5" s="5" t="s">
        <v>1</v>
      </c>
      <c r="C5" s="46" t="s">
        <v>54</v>
      </c>
      <c r="D5" s="42"/>
      <c r="E5" s="43"/>
      <c r="F5" s="47"/>
      <c r="G5" s="44"/>
      <c r="H5" s="24"/>
      <c r="I5" s="49" t="s">
        <v>58</v>
      </c>
      <c r="J5" s="20"/>
      <c r="K5" s="21"/>
      <c r="L5" s="23"/>
      <c r="M5" s="36"/>
      <c r="N5" s="24"/>
      <c r="O5" s="37" t="s">
        <v>31</v>
      </c>
      <c r="P5" s="20"/>
      <c r="Q5" s="21"/>
      <c r="R5" s="23"/>
      <c r="S5" s="36"/>
      <c r="T5" s="24"/>
      <c r="U5" s="37" t="s">
        <v>32</v>
      </c>
      <c r="V5" s="20"/>
      <c r="W5" s="21"/>
      <c r="X5" s="23"/>
      <c r="Y5" s="36"/>
      <c r="Z5" s="24"/>
      <c r="AA5" s="41" t="s">
        <v>33</v>
      </c>
      <c r="AB5" s="42"/>
      <c r="AC5" s="43"/>
      <c r="AD5" s="23"/>
      <c r="AE5" s="36"/>
      <c r="AF5" s="24"/>
      <c r="AG5" s="41" t="s">
        <v>34</v>
      </c>
      <c r="AH5" s="42"/>
      <c r="AI5" s="43"/>
      <c r="AJ5" s="23"/>
      <c r="AK5" s="36"/>
      <c r="AL5" s="24"/>
      <c r="AM5" s="38" t="s">
        <v>35</v>
      </c>
      <c r="AN5" s="39"/>
      <c r="AO5" s="40"/>
      <c r="AP5" s="23"/>
      <c r="AQ5" s="36"/>
      <c r="AR5" s="24"/>
      <c r="AS5" s="38" t="s">
        <v>36</v>
      </c>
      <c r="AT5" s="39"/>
      <c r="AU5" s="40"/>
      <c r="AV5" s="23"/>
      <c r="AW5" s="36"/>
      <c r="AX5" s="44"/>
      <c r="AY5" s="45" t="s">
        <v>37</v>
      </c>
      <c r="AZ5" s="42"/>
      <c r="BA5" s="43"/>
      <c r="BB5" s="23"/>
      <c r="BC5" s="36"/>
      <c r="BD5" s="24"/>
      <c r="BE5" s="45" t="s">
        <v>38</v>
      </c>
      <c r="BF5" s="42"/>
      <c r="BG5" s="43"/>
      <c r="BH5" s="23"/>
      <c r="BI5" s="36"/>
      <c r="BK5" s="45" t="s">
        <v>39</v>
      </c>
      <c r="BL5" s="42"/>
      <c r="BM5" s="43"/>
      <c r="BN5" s="23"/>
      <c r="BO5" s="36"/>
      <c r="BQ5" s="45" t="s">
        <v>40</v>
      </c>
      <c r="BR5" s="42"/>
      <c r="BS5" s="43"/>
      <c r="BT5" s="23"/>
      <c r="BU5" s="36"/>
      <c r="BW5" s="45" t="s">
        <v>41</v>
      </c>
      <c r="BX5" s="42"/>
      <c r="BY5" s="43"/>
      <c r="BZ5" s="23"/>
      <c r="CA5" s="36"/>
      <c r="CC5" s="45" t="s">
        <v>42</v>
      </c>
      <c r="CD5" s="42"/>
      <c r="CE5" s="43"/>
      <c r="CF5" s="23"/>
      <c r="CG5" s="36"/>
      <c r="CI5" s="45" t="s">
        <v>43</v>
      </c>
      <c r="CJ5" s="42"/>
      <c r="CK5" s="43"/>
      <c r="CL5" s="23"/>
      <c r="CM5" s="36"/>
      <c r="CO5" s="45" t="s">
        <v>44</v>
      </c>
      <c r="CP5" s="42"/>
      <c r="CQ5" s="43"/>
      <c r="CR5" s="23"/>
      <c r="CS5" s="36"/>
      <c r="CU5" s="45" t="s">
        <v>45</v>
      </c>
      <c r="CV5" s="42"/>
      <c r="CW5" s="43"/>
      <c r="CX5" s="23"/>
      <c r="CY5" s="36"/>
      <c r="DA5" s="45" t="s">
        <v>46</v>
      </c>
      <c r="DB5" s="42"/>
      <c r="DC5" s="43"/>
      <c r="DD5" s="23"/>
      <c r="DE5" s="36"/>
      <c r="DG5" s="45" t="s">
        <v>47</v>
      </c>
      <c r="DH5" s="42"/>
      <c r="DI5" s="43"/>
      <c r="DJ5" s="23"/>
      <c r="DK5" s="36"/>
      <c r="DM5" s="45" t="s">
        <v>48</v>
      </c>
      <c r="DN5" s="42"/>
      <c r="DO5" s="43"/>
      <c r="DP5" s="23"/>
      <c r="DQ5" s="36"/>
      <c r="DS5" s="45" t="s">
        <v>49</v>
      </c>
      <c r="DT5" s="42"/>
      <c r="DU5" s="43"/>
      <c r="DV5" s="23"/>
      <c r="DW5" s="36"/>
    </row>
    <row r="6" spans="1:127" s="1" customFormat="1" ht="12.75">
      <c r="A6" s="28" t="s">
        <v>3</v>
      </c>
      <c r="C6" s="48" t="s">
        <v>55</v>
      </c>
      <c r="D6" s="42"/>
      <c r="E6" s="43"/>
      <c r="F6" s="23" t="s">
        <v>51</v>
      </c>
      <c r="G6" s="23" t="s">
        <v>56</v>
      </c>
      <c r="H6" s="24"/>
      <c r="I6" s="22"/>
      <c r="J6" s="35">
        <f>P6+V6+AB6+AH6+AN6+AT6+AZ6+BF6+BL6+BR6+BX6+CD6+CJ6+CP6+CV6+DB6+DH6+DN6+DT6</f>
        <v>0.10100619999999999</v>
      </c>
      <c r="K6" s="21"/>
      <c r="L6" s="23" t="s">
        <v>51</v>
      </c>
      <c r="M6" s="23" t="s">
        <v>56</v>
      </c>
      <c r="N6" s="24"/>
      <c r="O6" s="22"/>
      <c r="P6" s="35">
        <v>0.010918</v>
      </c>
      <c r="Q6" s="21"/>
      <c r="R6" s="23" t="s">
        <v>51</v>
      </c>
      <c r="S6" s="23" t="s">
        <v>56</v>
      </c>
      <c r="T6" s="24"/>
      <c r="U6" s="22"/>
      <c r="V6" s="35">
        <v>0.0227367</v>
      </c>
      <c r="W6" s="21"/>
      <c r="X6" s="23" t="s">
        <v>51</v>
      </c>
      <c r="Y6" s="23" t="s">
        <v>56</v>
      </c>
      <c r="Z6" s="24"/>
      <c r="AA6" s="22"/>
      <c r="AB6" s="35">
        <v>0.0013518</v>
      </c>
      <c r="AC6" s="21"/>
      <c r="AD6" s="23" t="s">
        <v>51</v>
      </c>
      <c r="AE6" s="23" t="s">
        <v>56</v>
      </c>
      <c r="AF6" s="24"/>
      <c r="AG6" s="22"/>
      <c r="AH6" s="35">
        <v>0.00023</v>
      </c>
      <c r="AI6" s="21"/>
      <c r="AJ6" s="23" t="s">
        <v>51</v>
      </c>
      <c r="AK6" s="23" t="s">
        <v>56</v>
      </c>
      <c r="AL6" s="24"/>
      <c r="AM6" s="22"/>
      <c r="AN6" s="35">
        <v>0.045646</v>
      </c>
      <c r="AO6" s="21"/>
      <c r="AP6" s="23" t="s">
        <v>51</v>
      </c>
      <c r="AQ6" s="23" t="s">
        <v>56</v>
      </c>
      <c r="AR6" s="24"/>
      <c r="AS6" s="22"/>
      <c r="AT6" s="35">
        <v>0.0005393</v>
      </c>
      <c r="AU6" s="21"/>
      <c r="AV6" s="23" t="s">
        <v>51</v>
      </c>
      <c r="AW6" s="23" t="s">
        <v>56</v>
      </c>
      <c r="AX6" s="24"/>
      <c r="AY6" s="22"/>
      <c r="AZ6" s="35">
        <v>0.0018469</v>
      </c>
      <c r="BA6" s="21"/>
      <c r="BB6" s="23" t="s">
        <v>51</v>
      </c>
      <c r="BC6" s="23" t="s">
        <v>56</v>
      </c>
      <c r="BD6" s="24"/>
      <c r="BE6" s="22"/>
      <c r="BF6" s="35">
        <v>7.71E-05</v>
      </c>
      <c r="BG6" s="21"/>
      <c r="BH6" s="23" t="s">
        <v>51</v>
      </c>
      <c r="BI6" s="23" t="s">
        <v>56</v>
      </c>
      <c r="BK6" s="22"/>
      <c r="BL6" s="35">
        <v>0.0045607</v>
      </c>
      <c r="BM6" s="21"/>
      <c r="BN6" s="23" t="s">
        <v>51</v>
      </c>
      <c r="BO6" s="23" t="s">
        <v>56</v>
      </c>
      <c r="BQ6" s="22"/>
      <c r="BR6" s="35">
        <v>5.3E-06</v>
      </c>
      <c r="BS6" s="21"/>
      <c r="BT6" s="23" t="s">
        <v>51</v>
      </c>
      <c r="BU6" s="23" t="s">
        <v>56</v>
      </c>
      <c r="BW6" s="22"/>
      <c r="BX6" s="35">
        <v>0.0015032</v>
      </c>
      <c r="BY6" s="21"/>
      <c r="BZ6" s="23" t="s">
        <v>51</v>
      </c>
      <c r="CA6" s="23" t="s">
        <v>56</v>
      </c>
      <c r="CC6" s="22"/>
      <c r="CD6" s="35">
        <v>0.0001676</v>
      </c>
      <c r="CE6" s="21"/>
      <c r="CF6" s="23" t="s">
        <v>51</v>
      </c>
      <c r="CG6" s="23" t="s">
        <v>56</v>
      </c>
      <c r="CI6" s="22"/>
      <c r="CJ6" s="35">
        <v>0.0003019</v>
      </c>
      <c r="CK6" s="21"/>
      <c r="CL6" s="23" t="s">
        <v>51</v>
      </c>
      <c r="CM6" s="23" t="s">
        <v>56</v>
      </c>
      <c r="CO6" s="22"/>
      <c r="CP6" s="35">
        <v>0.0003017</v>
      </c>
      <c r="CQ6" s="21"/>
      <c r="CR6" s="23" t="s">
        <v>51</v>
      </c>
      <c r="CS6" s="23" t="s">
        <v>56</v>
      </c>
      <c r="CU6" s="22"/>
      <c r="CV6" s="35">
        <v>0.00149</v>
      </c>
      <c r="CW6" s="21"/>
      <c r="CX6" s="23" t="s">
        <v>51</v>
      </c>
      <c r="CY6" s="23" t="s">
        <v>56</v>
      </c>
      <c r="DA6" s="22"/>
      <c r="DB6" s="35">
        <v>0.0028098</v>
      </c>
      <c r="DC6" s="21"/>
      <c r="DD6" s="23" t="s">
        <v>51</v>
      </c>
      <c r="DE6" s="23" t="s">
        <v>56</v>
      </c>
      <c r="DG6" s="22"/>
      <c r="DH6" s="35">
        <v>0.0014966</v>
      </c>
      <c r="DI6" s="21"/>
      <c r="DJ6" s="23" t="s">
        <v>51</v>
      </c>
      <c r="DK6" s="23" t="s">
        <v>56</v>
      </c>
      <c r="DM6" s="22"/>
      <c r="DN6" s="35">
        <v>0.0022932</v>
      </c>
      <c r="DO6" s="21"/>
      <c r="DP6" s="23" t="s">
        <v>51</v>
      </c>
      <c r="DQ6" s="23" t="s">
        <v>56</v>
      </c>
      <c r="DS6" s="22"/>
      <c r="DT6" s="35">
        <v>0.0027304</v>
      </c>
      <c r="DU6" s="21"/>
      <c r="DV6" s="23" t="s">
        <v>51</v>
      </c>
      <c r="DW6" s="23" t="s">
        <v>56</v>
      </c>
    </row>
    <row r="7" spans="1:127" ht="12.75">
      <c r="A7" s="9"/>
      <c r="C7" s="23" t="s">
        <v>4</v>
      </c>
      <c r="D7" s="23" t="s">
        <v>5</v>
      </c>
      <c r="E7" s="23" t="s">
        <v>0</v>
      </c>
      <c r="F7" s="23" t="s">
        <v>52</v>
      </c>
      <c r="G7" s="23" t="s">
        <v>57</v>
      </c>
      <c r="H7" s="36"/>
      <c r="I7" s="23" t="s">
        <v>4</v>
      </c>
      <c r="J7" s="23" t="s">
        <v>5</v>
      </c>
      <c r="K7" s="23" t="s">
        <v>0</v>
      </c>
      <c r="L7" s="23" t="s">
        <v>52</v>
      </c>
      <c r="M7" s="23" t="s">
        <v>57</v>
      </c>
      <c r="N7" s="36"/>
      <c r="O7" s="23" t="s">
        <v>4</v>
      </c>
      <c r="P7" s="23" t="s">
        <v>5</v>
      </c>
      <c r="Q7" s="23" t="s">
        <v>0</v>
      </c>
      <c r="R7" s="23" t="s">
        <v>52</v>
      </c>
      <c r="S7" s="23" t="s">
        <v>57</v>
      </c>
      <c r="T7" s="36"/>
      <c r="U7" s="23" t="s">
        <v>4</v>
      </c>
      <c r="V7" s="23" t="s">
        <v>5</v>
      </c>
      <c r="W7" s="23" t="s">
        <v>0</v>
      </c>
      <c r="X7" s="23" t="s">
        <v>52</v>
      </c>
      <c r="Y7" s="23" t="s">
        <v>57</v>
      </c>
      <c r="Z7" s="36"/>
      <c r="AA7" s="23" t="s">
        <v>4</v>
      </c>
      <c r="AB7" s="23" t="s">
        <v>5</v>
      </c>
      <c r="AC7" s="23" t="s">
        <v>0</v>
      </c>
      <c r="AD7" s="23" t="s">
        <v>52</v>
      </c>
      <c r="AE7" s="23" t="s">
        <v>57</v>
      </c>
      <c r="AF7" s="36"/>
      <c r="AG7" s="23" t="s">
        <v>4</v>
      </c>
      <c r="AH7" s="23" t="s">
        <v>5</v>
      </c>
      <c r="AI7" s="23" t="s">
        <v>0</v>
      </c>
      <c r="AJ7" s="23" t="s">
        <v>52</v>
      </c>
      <c r="AK7" s="23" t="s">
        <v>57</v>
      </c>
      <c r="AL7" s="36"/>
      <c r="AM7" s="23" t="s">
        <v>4</v>
      </c>
      <c r="AN7" s="23" t="s">
        <v>5</v>
      </c>
      <c r="AO7" s="23" t="s">
        <v>0</v>
      </c>
      <c r="AP7" s="23" t="s">
        <v>52</v>
      </c>
      <c r="AQ7" s="23" t="s">
        <v>57</v>
      </c>
      <c r="AR7" s="36"/>
      <c r="AS7" s="23" t="s">
        <v>4</v>
      </c>
      <c r="AT7" s="23" t="s">
        <v>5</v>
      </c>
      <c r="AU7" s="23" t="s">
        <v>0</v>
      </c>
      <c r="AV7" s="23" t="s">
        <v>52</v>
      </c>
      <c r="AW7" s="23" t="s">
        <v>57</v>
      </c>
      <c r="AX7" s="36"/>
      <c r="AY7" s="23" t="s">
        <v>4</v>
      </c>
      <c r="AZ7" s="23" t="s">
        <v>5</v>
      </c>
      <c r="BA7" s="23" t="s">
        <v>0</v>
      </c>
      <c r="BB7" s="23" t="s">
        <v>52</v>
      </c>
      <c r="BC7" s="23" t="s">
        <v>57</v>
      </c>
      <c r="BD7" s="36"/>
      <c r="BE7" s="23" t="s">
        <v>4</v>
      </c>
      <c r="BF7" s="23" t="s">
        <v>5</v>
      </c>
      <c r="BG7" s="23" t="s">
        <v>0</v>
      </c>
      <c r="BH7" s="23" t="s">
        <v>52</v>
      </c>
      <c r="BI7" s="23" t="s">
        <v>57</v>
      </c>
      <c r="BK7" s="23" t="s">
        <v>4</v>
      </c>
      <c r="BL7" s="23" t="s">
        <v>5</v>
      </c>
      <c r="BM7" s="23" t="s">
        <v>0</v>
      </c>
      <c r="BN7" s="23" t="s">
        <v>52</v>
      </c>
      <c r="BO7" s="23" t="s">
        <v>57</v>
      </c>
      <c r="BQ7" s="23" t="s">
        <v>4</v>
      </c>
      <c r="BR7" s="23" t="s">
        <v>5</v>
      </c>
      <c r="BS7" s="23" t="s">
        <v>0</v>
      </c>
      <c r="BT7" s="23" t="s">
        <v>52</v>
      </c>
      <c r="BU7" s="23" t="s">
        <v>57</v>
      </c>
      <c r="BW7" s="23" t="s">
        <v>4</v>
      </c>
      <c r="BX7" s="23" t="s">
        <v>5</v>
      </c>
      <c r="BY7" s="23" t="s">
        <v>0</v>
      </c>
      <c r="BZ7" s="23" t="s">
        <v>52</v>
      </c>
      <c r="CA7" s="23" t="s">
        <v>57</v>
      </c>
      <c r="CC7" s="23" t="s">
        <v>4</v>
      </c>
      <c r="CD7" s="23" t="s">
        <v>5</v>
      </c>
      <c r="CE7" s="23" t="s">
        <v>0</v>
      </c>
      <c r="CF7" s="23" t="s">
        <v>52</v>
      </c>
      <c r="CG7" s="23" t="s">
        <v>57</v>
      </c>
      <c r="CI7" s="23" t="s">
        <v>4</v>
      </c>
      <c r="CJ7" s="23" t="s">
        <v>5</v>
      </c>
      <c r="CK7" s="23" t="s">
        <v>0</v>
      </c>
      <c r="CL7" s="23" t="s">
        <v>52</v>
      </c>
      <c r="CM7" s="23" t="s">
        <v>57</v>
      </c>
      <c r="CO7" s="23" t="s">
        <v>4</v>
      </c>
      <c r="CP7" s="23" t="s">
        <v>5</v>
      </c>
      <c r="CQ7" s="23" t="s">
        <v>0</v>
      </c>
      <c r="CR7" s="23" t="s">
        <v>52</v>
      </c>
      <c r="CS7" s="23" t="s">
        <v>57</v>
      </c>
      <c r="CU7" s="23" t="s">
        <v>4</v>
      </c>
      <c r="CV7" s="23" t="s">
        <v>5</v>
      </c>
      <c r="CW7" s="23" t="s">
        <v>0</v>
      </c>
      <c r="CX7" s="23" t="s">
        <v>52</v>
      </c>
      <c r="CY7" s="23" t="s">
        <v>57</v>
      </c>
      <c r="DA7" s="23" t="s">
        <v>4</v>
      </c>
      <c r="DB7" s="23" t="s">
        <v>5</v>
      </c>
      <c r="DC7" s="23" t="s">
        <v>0</v>
      </c>
      <c r="DD7" s="23" t="s">
        <v>52</v>
      </c>
      <c r="DE7" s="23" t="s">
        <v>57</v>
      </c>
      <c r="DG7" s="23" t="s">
        <v>4</v>
      </c>
      <c r="DH7" s="23" t="s">
        <v>5</v>
      </c>
      <c r="DI7" s="23" t="s">
        <v>0</v>
      </c>
      <c r="DJ7" s="23" t="s">
        <v>52</v>
      </c>
      <c r="DK7" s="23" t="s">
        <v>57</v>
      </c>
      <c r="DM7" s="23" t="s">
        <v>4</v>
      </c>
      <c r="DN7" s="23" t="s">
        <v>5</v>
      </c>
      <c r="DO7" s="23" t="s">
        <v>0</v>
      </c>
      <c r="DP7" s="23" t="s">
        <v>52</v>
      </c>
      <c r="DQ7" s="23" t="s">
        <v>57</v>
      </c>
      <c r="DS7" s="23" t="s">
        <v>4</v>
      </c>
      <c r="DT7" s="23" t="s">
        <v>5</v>
      </c>
      <c r="DU7" s="23" t="s">
        <v>0</v>
      </c>
      <c r="DV7" s="23" t="s">
        <v>52</v>
      </c>
      <c r="DW7" s="23" t="s">
        <v>57</v>
      </c>
    </row>
    <row r="8" spans="1:132" s="34" customFormat="1" ht="12.75">
      <c r="A8" s="33">
        <v>43739</v>
      </c>
      <c r="C8" s="24"/>
      <c r="D8" s="24">
        <v>118900</v>
      </c>
      <c r="E8" s="18">
        <f aca="true" t="shared" si="0" ref="E8:E13">C8+D8</f>
        <v>118900</v>
      </c>
      <c r="F8" s="18">
        <v>45485</v>
      </c>
      <c r="G8" s="18">
        <v>41136</v>
      </c>
      <c r="H8" s="18"/>
      <c r="I8" s="50"/>
      <c r="J8" s="50">
        <f aca="true" t="shared" si="1" ref="J8:J13">P8+V8+AB8+AH8+AN8+AT8+AZ8+BF8+BL8+BR8+BX8+CD8+CJ8+CP8+CV8+DB8+DH8+DN8+DT8</f>
        <v>12009.637180000002</v>
      </c>
      <c r="K8" s="50">
        <f aca="true" t="shared" si="2" ref="K8:K13">I8+J8</f>
        <v>12009.637180000002</v>
      </c>
      <c r="L8" s="50">
        <f aca="true" t="shared" si="3" ref="L8:L13">R8+X8+AD8+AJ8+AP8+AV8+BB8+BH8+BN8+BT8+BZ8+CF8+CL8+CR8+CX8+DD8+DJ8+DP8+DV8</f>
        <v>4594.267007</v>
      </c>
      <c r="M8" s="50">
        <f aca="true" t="shared" si="4" ref="M8:M13">S8+Y8+AE8+AK8+AQ8+AW8+BC8+BI8+BO8+BU8+CA8+CG8+CM8+CS8+CY8+DE8+DK8+DQ8+DW8</f>
        <v>4154.991043200001</v>
      </c>
      <c r="N8" s="51"/>
      <c r="O8" s="50">
        <f aca="true" t="shared" si="5" ref="O8:O13">P$6*C8</f>
        <v>0</v>
      </c>
      <c r="P8" s="52">
        <f aca="true" t="shared" si="6" ref="P8:P13">+P$6*D8</f>
        <v>1298.1502</v>
      </c>
      <c r="Q8" s="50">
        <f aca="true" t="shared" si="7" ref="Q8:Q13">O8+P8</f>
        <v>1298.1502</v>
      </c>
      <c r="R8" s="50">
        <f aca="true" t="shared" si="8" ref="R8:R13">P$6*$F8</f>
        <v>496.60523</v>
      </c>
      <c r="S8" s="50">
        <f aca="true" t="shared" si="9" ref="S8:S13">P$6*$G8</f>
        <v>449.12284800000003</v>
      </c>
      <c r="T8" s="50"/>
      <c r="U8" s="50">
        <f aca="true" t="shared" si="10" ref="U8:U13">C8*V$6</f>
        <v>0</v>
      </c>
      <c r="V8" s="52">
        <f aca="true" t="shared" si="11" ref="V8:V13">V$6*D8</f>
        <v>2703.39363</v>
      </c>
      <c r="W8" s="50">
        <f aca="true" t="shared" si="12" ref="W8:W13">U8+V8</f>
        <v>2703.39363</v>
      </c>
      <c r="X8" s="50">
        <f aca="true" t="shared" si="13" ref="X8:X13">V$6*$F8</f>
        <v>1034.1787995</v>
      </c>
      <c r="Y8" s="50">
        <f aca="true" t="shared" si="14" ref="Y8:Y13">V$6*$G8</f>
        <v>935.2968911999999</v>
      </c>
      <c r="Z8" s="50"/>
      <c r="AA8" s="50">
        <f aca="true" t="shared" si="15" ref="AA8:AA13">AB$6*C8</f>
        <v>0</v>
      </c>
      <c r="AB8" s="52">
        <f aca="true" t="shared" si="16" ref="AB8:AB13">AB$6*D8</f>
        <v>160.72902</v>
      </c>
      <c r="AC8" s="50">
        <f aca="true" t="shared" si="17" ref="AC8:AC13">AA8+AB8</f>
        <v>160.72902</v>
      </c>
      <c r="AD8" s="50">
        <f aca="true" t="shared" si="18" ref="AD8:AD13">AB$6*$F8</f>
        <v>61.486623</v>
      </c>
      <c r="AE8" s="50">
        <f aca="true" t="shared" si="19" ref="AE8:AE13">AB$6*$G8</f>
        <v>55.6076448</v>
      </c>
      <c r="AF8" s="50"/>
      <c r="AG8" s="50">
        <f aca="true" t="shared" si="20" ref="AG8:AG13">+AH$6*C8</f>
        <v>0</v>
      </c>
      <c r="AH8" s="52">
        <f aca="true" t="shared" si="21" ref="AH8:AH13">AH$6*D8</f>
        <v>27.347</v>
      </c>
      <c r="AI8" s="50">
        <f aca="true" t="shared" si="22" ref="AI8:AI13">AG8+AH8</f>
        <v>27.347</v>
      </c>
      <c r="AJ8" s="50">
        <f aca="true" t="shared" si="23" ref="AJ8:AJ13">AH$6*$F8</f>
        <v>10.46155</v>
      </c>
      <c r="AK8" s="50">
        <f aca="true" t="shared" si="24" ref="AK8:AK13">AH$6*$G8</f>
        <v>9.46128</v>
      </c>
      <c r="AL8" s="50"/>
      <c r="AM8" s="50">
        <f aca="true" t="shared" si="25" ref="AM8:AM13">AN$6*C8</f>
        <v>0</v>
      </c>
      <c r="AN8" s="52">
        <f aca="true" t="shared" si="26" ref="AN8:AN13">AN$6*D8</f>
        <v>5427.3094</v>
      </c>
      <c r="AO8" s="50">
        <f aca="true" t="shared" si="27" ref="AO8:AO13">AM8+AN8</f>
        <v>5427.3094</v>
      </c>
      <c r="AP8" s="50">
        <f aca="true" t="shared" si="28" ref="AP8:AP13">AN$6*$F8</f>
        <v>2076.20831</v>
      </c>
      <c r="AQ8" s="50">
        <f aca="true" t="shared" si="29" ref="AQ8:AQ13">AN$6*$G8</f>
        <v>1877.6938559999999</v>
      </c>
      <c r="AR8" s="50"/>
      <c r="AS8" s="50">
        <f aca="true" t="shared" si="30" ref="AS8:AS13">AT$6*C8</f>
        <v>0</v>
      </c>
      <c r="AT8" s="52">
        <f aca="true" t="shared" si="31" ref="AT8:AT13">AT$6*D8</f>
        <v>64.12277</v>
      </c>
      <c r="AU8" s="50">
        <f aca="true" t="shared" si="32" ref="AU8:AU13">AS8+AT8</f>
        <v>64.12277</v>
      </c>
      <c r="AV8" s="50">
        <f aca="true" t="shared" si="33" ref="AV8:AV13">AT$6*$F8</f>
        <v>24.5300605</v>
      </c>
      <c r="AW8" s="50">
        <f aca="true" t="shared" si="34" ref="AW8:AW13">AT$6*$G8</f>
        <v>22.1846448</v>
      </c>
      <c r="AX8" s="50"/>
      <c r="AY8" s="50">
        <f aca="true" t="shared" si="35" ref="AY8:AY13">+AZ$6*C8</f>
        <v>0</v>
      </c>
      <c r="AZ8" s="52">
        <f aca="true" t="shared" si="36" ref="AZ8:AZ13">AZ$6*D8</f>
        <v>219.59641000000002</v>
      </c>
      <c r="BA8" s="50">
        <f aca="true" t="shared" si="37" ref="BA8:BA13">AY8+AZ8</f>
        <v>219.59641000000002</v>
      </c>
      <c r="BB8" s="50">
        <f aca="true" t="shared" si="38" ref="BB8:BB13">AZ$6*$F8</f>
        <v>84.0062465</v>
      </c>
      <c r="BC8" s="50">
        <f aca="true" t="shared" si="39" ref="BC8:BC13">AZ$6*$G8</f>
        <v>75.9740784</v>
      </c>
      <c r="BD8" s="50"/>
      <c r="BE8" s="50">
        <f aca="true" t="shared" si="40" ref="BE8:BE13">BF$6*C8</f>
        <v>0</v>
      </c>
      <c r="BF8" s="52">
        <f aca="true" t="shared" si="41" ref="BF8:BF13">BF$6*D8</f>
        <v>9.16719</v>
      </c>
      <c r="BG8" s="50">
        <f aca="true" t="shared" si="42" ref="BG8:BG13">BE8+BF8</f>
        <v>9.16719</v>
      </c>
      <c r="BH8" s="50">
        <f aca="true" t="shared" si="43" ref="BH8:BH13">BF$6*$F8</f>
        <v>3.5068935000000003</v>
      </c>
      <c r="BI8" s="50">
        <f aca="true" t="shared" si="44" ref="BI8:BI13">BF$6*$G8</f>
        <v>3.1715856000000002</v>
      </c>
      <c r="BJ8" s="51"/>
      <c r="BK8" s="50">
        <f aca="true" t="shared" si="45" ref="BK8:BK13">BL$6*C8</f>
        <v>0</v>
      </c>
      <c r="BL8" s="52">
        <f aca="true" t="shared" si="46" ref="BL8:BL13">BL$6*D8</f>
        <v>542.26723</v>
      </c>
      <c r="BM8" s="50">
        <f aca="true" t="shared" si="47" ref="BM8:BM13">BK8+BL8</f>
        <v>542.26723</v>
      </c>
      <c r="BN8" s="50">
        <f aca="true" t="shared" si="48" ref="BN8:BN13">BL$6*$F8</f>
        <v>207.4434395</v>
      </c>
      <c r="BO8" s="50">
        <f aca="true" t="shared" si="49" ref="BO8:BO13">BL$6*$G8</f>
        <v>187.6089552</v>
      </c>
      <c r="BP8" s="51"/>
      <c r="BQ8" s="50">
        <f aca="true" t="shared" si="50" ref="BQ8:BQ13">BR$6*C8</f>
        <v>0</v>
      </c>
      <c r="BR8" s="52">
        <f aca="true" t="shared" si="51" ref="BR8:BR13">BR$6*D8</f>
        <v>0.63017</v>
      </c>
      <c r="BS8" s="50">
        <f aca="true" t="shared" si="52" ref="BS8:BS13">SUM(BQ8:BR8)</f>
        <v>0.63017</v>
      </c>
      <c r="BT8" s="50">
        <f aca="true" t="shared" si="53" ref="BT8:BT13">BR$6*$F8</f>
        <v>0.2410705</v>
      </c>
      <c r="BU8" s="50">
        <f aca="true" t="shared" si="54" ref="BU8:BU13">BR$6*$G8</f>
        <v>0.21802080000000001</v>
      </c>
      <c r="BV8" s="51"/>
      <c r="BW8" s="50">
        <f aca="true" t="shared" si="55" ref="BW8:BW13">BX$6*C8</f>
        <v>0</v>
      </c>
      <c r="BX8" s="52">
        <f aca="true" t="shared" si="56" ref="BX8:BX13">BX$6*D8</f>
        <v>178.73048</v>
      </c>
      <c r="BY8" s="50">
        <f aca="true" t="shared" si="57" ref="BY8:BY13">BW8+BX8</f>
        <v>178.73048</v>
      </c>
      <c r="BZ8" s="50">
        <f aca="true" t="shared" si="58" ref="BZ8:BZ13">BX$6*$F8</f>
        <v>68.373052</v>
      </c>
      <c r="CA8" s="50">
        <f aca="true" t="shared" si="59" ref="CA8:CA13">BX$6*$G8</f>
        <v>61.8356352</v>
      </c>
      <c r="CB8" s="51"/>
      <c r="CC8" s="50">
        <f aca="true" t="shared" si="60" ref="CC8:CC13">CD$6*C8</f>
        <v>0</v>
      </c>
      <c r="CD8" s="52">
        <f aca="true" t="shared" si="61" ref="CD8:CD13">CD$6*D8</f>
        <v>19.92764</v>
      </c>
      <c r="CE8" s="50">
        <f aca="true" t="shared" si="62" ref="CE8:CE13">CC8+CD8</f>
        <v>19.92764</v>
      </c>
      <c r="CF8" s="50">
        <f aca="true" t="shared" si="63" ref="CF8:CF13">CD$6*$F8</f>
        <v>7.623286</v>
      </c>
      <c r="CG8" s="50">
        <f aca="true" t="shared" si="64" ref="CG8:CG13">CD$6*$G8</f>
        <v>6.8943936</v>
      </c>
      <c r="CH8" s="51"/>
      <c r="CI8" s="50">
        <f aca="true" t="shared" si="65" ref="CI8:CI13">CJ$6*C8</f>
        <v>0</v>
      </c>
      <c r="CJ8" s="52">
        <f aca="true" t="shared" si="66" ref="CJ8:CJ13">CJ$6*D8</f>
        <v>35.89591</v>
      </c>
      <c r="CK8" s="50">
        <f aca="true" t="shared" si="67" ref="CK8:CK13">CI8+CJ8</f>
        <v>35.89591</v>
      </c>
      <c r="CL8" s="50">
        <f aca="true" t="shared" si="68" ref="CL8:CL13">CJ$6*$F8</f>
        <v>13.7319215</v>
      </c>
      <c r="CM8" s="50">
        <f aca="true" t="shared" si="69" ref="CM8:CM13">CJ$6*$G8</f>
        <v>12.418958400000001</v>
      </c>
      <c r="CN8" s="51"/>
      <c r="CO8" s="50">
        <f aca="true" t="shared" si="70" ref="CO8:CO13">CP$6*C8</f>
        <v>0</v>
      </c>
      <c r="CP8" s="52">
        <f aca="true" t="shared" si="71" ref="CP8:CP13">CP$6*D8</f>
        <v>35.87213</v>
      </c>
      <c r="CQ8" s="50">
        <f aca="true" t="shared" si="72" ref="CQ8:CQ13">CO8+CP8</f>
        <v>35.87213</v>
      </c>
      <c r="CR8" s="50">
        <f aca="true" t="shared" si="73" ref="CR8:CR13">CP$6*$F8</f>
        <v>13.722824500000002</v>
      </c>
      <c r="CS8" s="50">
        <f aca="true" t="shared" si="74" ref="CS8:CS13">CP$6*$G8</f>
        <v>12.4107312</v>
      </c>
      <c r="CT8" s="51"/>
      <c r="CU8" s="50">
        <f aca="true" t="shared" si="75" ref="CU8:CU13">CV$6*C8</f>
        <v>0</v>
      </c>
      <c r="CV8" s="52">
        <f aca="true" t="shared" si="76" ref="CV8:CV13">CV$6*D8</f>
        <v>177.161</v>
      </c>
      <c r="CW8" s="50">
        <f aca="true" t="shared" si="77" ref="CW8:CW13">CU8+CV8</f>
        <v>177.161</v>
      </c>
      <c r="CX8" s="50">
        <f aca="true" t="shared" si="78" ref="CX8:CX13">CV$6*$F8</f>
        <v>67.77265</v>
      </c>
      <c r="CY8" s="50">
        <f aca="true" t="shared" si="79" ref="CY8:CY13">CV$6*$G8</f>
        <v>61.29264</v>
      </c>
      <c r="CZ8" s="51"/>
      <c r="DA8" s="50">
        <f aca="true" t="shared" si="80" ref="DA8:DA13">DB$6*C8</f>
        <v>0</v>
      </c>
      <c r="DB8" s="52">
        <f aca="true" t="shared" si="81" ref="DB8:DB13">DB$6*D8</f>
        <v>334.08522</v>
      </c>
      <c r="DC8" s="50">
        <f aca="true" t="shared" si="82" ref="DC8:DC13">DA8+DB8</f>
        <v>334.08522</v>
      </c>
      <c r="DD8" s="50">
        <f aca="true" t="shared" si="83" ref="DD8:DD13">DB$6*$F8</f>
        <v>127.803753</v>
      </c>
      <c r="DE8" s="50">
        <f aca="true" t="shared" si="84" ref="DE8:DE13">DB$6*$G8</f>
        <v>115.5839328</v>
      </c>
      <c r="DF8" s="51"/>
      <c r="DG8" s="50">
        <f aca="true" t="shared" si="85" ref="DG8:DG13">DH$6*C8</f>
        <v>0</v>
      </c>
      <c r="DH8" s="52">
        <f aca="true" t="shared" si="86" ref="DH8:DH13">DH$6*D8</f>
        <v>177.94574</v>
      </c>
      <c r="DI8" s="50">
        <f aca="true" t="shared" si="87" ref="DI8:DI13">DG8+DH8</f>
        <v>177.94574</v>
      </c>
      <c r="DJ8" s="50">
        <f aca="true" t="shared" si="88" ref="DJ8:DJ13">DH$6*$F8</f>
        <v>68.072851</v>
      </c>
      <c r="DK8" s="50">
        <f aca="true" t="shared" si="89" ref="DK8:DK13">DH$6*$G8</f>
        <v>61.5641376</v>
      </c>
      <c r="DL8" s="51"/>
      <c r="DM8" s="50">
        <f aca="true" t="shared" si="90" ref="DM8:DM13">DN$6*C8</f>
        <v>0</v>
      </c>
      <c r="DN8" s="52">
        <f aca="true" t="shared" si="91" ref="DN8:DN13">DN$6*D8</f>
        <v>272.66148</v>
      </c>
      <c r="DO8" s="50">
        <f aca="true" t="shared" si="92" ref="DO8:DO13">DM8+DN8</f>
        <v>272.66148</v>
      </c>
      <c r="DP8" s="50">
        <f aca="true" t="shared" si="93" ref="DP8:DP13">DN$6*$F8</f>
        <v>104.306202</v>
      </c>
      <c r="DQ8" s="50">
        <f aca="true" t="shared" si="94" ref="DQ8:DQ13">DN$6*$G8</f>
        <v>94.3330752</v>
      </c>
      <c r="DR8" s="51"/>
      <c r="DS8" s="50">
        <f aca="true" t="shared" si="95" ref="DS8:DS13">DT$6*C8</f>
        <v>0</v>
      </c>
      <c r="DT8" s="52">
        <f aca="true" t="shared" si="96" ref="DT8:DT13">DT$6*D8</f>
        <v>324.64456</v>
      </c>
      <c r="DU8" s="50">
        <f aca="true" t="shared" si="97" ref="DU8:DU13">DS8+DT8</f>
        <v>324.64456</v>
      </c>
      <c r="DV8" s="50">
        <f aca="true" t="shared" si="98" ref="DV8:DV13">DT$6*$F8</f>
        <v>124.192244</v>
      </c>
      <c r="DW8" s="50">
        <f aca="true" t="shared" si="99" ref="DW8:DW13">DT$6*$G8</f>
        <v>112.3177344</v>
      </c>
      <c r="DX8" s="53"/>
      <c r="DY8" s="53"/>
      <c r="DZ8" s="53"/>
      <c r="EA8" s="53"/>
      <c r="EB8" s="53"/>
    </row>
    <row r="9" spans="1:132" s="34" customFormat="1" ht="12.75">
      <c r="A9" s="33">
        <v>43922</v>
      </c>
      <c r="C9" s="24">
        <v>1905000</v>
      </c>
      <c r="D9" s="24">
        <v>118900</v>
      </c>
      <c r="E9" s="18">
        <f t="shared" si="0"/>
        <v>2023900</v>
      </c>
      <c r="F9" s="18">
        <v>45485</v>
      </c>
      <c r="G9" s="18">
        <v>41136</v>
      </c>
      <c r="H9" s="18"/>
      <c r="I9" s="50">
        <f>O9+U9+AA9+AG9+AM9+AS9+AY9+BE9+BK9+BQ9+BW9+CC9+CI9+CO9+CU9+DA9+DG9+DM9+DS9</f>
        <v>192416.811</v>
      </c>
      <c r="J9" s="50">
        <f t="shared" si="1"/>
        <v>12009.637180000002</v>
      </c>
      <c r="K9" s="50">
        <f t="shared" si="2"/>
        <v>204426.44817999998</v>
      </c>
      <c r="L9" s="50">
        <f t="shared" si="3"/>
        <v>4594.267007</v>
      </c>
      <c r="M9" s="50">
        <f t="shared" si="4"/>
        <v>4154.991043200001</v>
      </c>
      <c r="N9" s="51"/>
      <c r="O9" s="50">
        <f t="shared" si="5"/>
        <v>20798.79</v>
      </c>
      <c r="P9" s="52">
        <f t="shared" si="6"/>
        <v>1298.1502</v>
      </c>
      <c r="Q9" s="50">
        <f t="shared" si="7"/>
        <v>22096.9402</v>
      </c>
      <c r="R9" s="50">
        <f t="shared" si="8"/>
        <v>496.60523</v>
      </c>
      <c r="S9" s="50">
        <f t="shared" si="9"/>
        <v>449.12284800000003</v>
      </c>
      <c r="T9" s="50"/>
      <c r="U9" s="50">
        <f t="shared" si="10"/>
        <v>43313.413499999995</v>
      </c>
      <c r="V9" s="52">
        <f t="shared" si="11"/>
        <v>2703.39363</v>
      </c>
      <c r="W9" s="50">
        <f t="shared" si="12"/>
        <v>46016.807129999994</v>
      </c>
      <c r="X9" s="50">
        <f t="shared" si="13"/>
        <v>1034.1787995</v>
      </c>
      <c r="Y9" s="50">
        <f t="shared" si="14"/>
        <v>935.2968911999999</v>
      </c>
      <c r="Z9" s="50"/>
      <c r="AA9" s="50">
        <f t="shared" si="15"/>
        <v>2575.179</v>
      </c>
      <c r="AB9" s="52">
        <f t="shared" si="16"/>
        <v>160.72902</v>
      </c>
      <c r="AC9" s="50">
        <f t="shared" si="17"/>
        <v>2735.90802</v>
      </c>
      <c r="AD9" s="50">
        <f t="shared" si="18"/>
        <v>61.486623</v>
      </c>
      <c r="AE9" s="50">
        <f t="shared" si="19"/>
        <v>55.6076448</v>
      </c>
      <c r="AF9" s="50"/>
      <c r="AG9" s="50">
        <f t="shared" si="20"/>
        <v>438.15000000000003</v>
      </c>
      <c r="AH9" s="52">
        <f t="shared" si="21"/>
        <v>27.347</v>
      </c>
      <c r="AI9" s="50">
        <f t="shared" si="22"/>
        <v>465.497</v>
      </c>
      <c r="AJ9" s="50">
        <f t="shared" si="23"/>
        <v>10.46155</v>
      </c>
      <c r="AK9" s="50">
        <f t="shared" si="24"/>
        <v>9.46128</v>
      </c>
      <c r="AL9" s="50"/>
      <c r="AM9" s="50">
        <f t="shared" si="25"/>
        <v>86955.63</v>
      </c>
      <c r="AN9" s="52">
        <f t="shared" si="26"/>
        <v>5427.3094</v>
      </c>
      <c r="AO9" s="50">
        <f t="shared" si="27"/>
        <v>92382.9394</v>
      </c>
      <c r="AP9" s="50">
        <f t="shared" si="28"/>
        <v>2076.20831</v>
      </c>
      <c r="AQ9" s="50">
        <f t="shared" si="29"/>
        <v>1877.6938559999999</v>
      </c>
      <c r="AR9" s="50"/>
      <c r="AS9" s="50">
        <f t="shared" si="30"/>
        <v>1027.3665</v>
      </c>
      <c r="AT9" s="52">
        <f t="shared" si="31"/>
        <v>64.12277</v>
      </c>
      <c r="AU9" s="50">
        <f t="shared" si="32"/>
        <v>1091.48927</v>
      </c>
      <c r="AV9" s="50">
        <f t="shared" si="33"/>
        <v>24.5300605</v>
      </c>
      <c r="AW9" s="50">
        <f t="shared" si="34"/>
        <v>22.1846448</v>
      </c>
      <c r="AX9" s="50"/>
      <c r="AY9" s="50">
        <f t="shared" si="35"/>
        <v>3518.3445</v>
      </c>
      <c r="AZ9" s="52">
        <f t="shared" si="36"/>
        <v>219.59641000000002</v>
      </c>
      <c r="BA9" s="50">
        <f t="shared" si="37"/>
        <v>3737.9409100000003</v>
      </c>
      <c r="BB9" s="50">
        <f t="shared" si="38"/>
        <v>84.0062465</v>
      </c>
      <c r="BC9" s="50">
        <f t="shared" si="39"/>
        <v>75.9740784</v>
      </c>
      <c r="BD9" s="50"/>
      <c r="BE9" s="50">
        <f t="shared" si="40"/>
        <v>146.87550000000002</v>
      </c>
      <c r="BF9" s="52">
        <f t="shared" si="41"/>
        <v>9.16719</v>
      </c>
      <c r="BG9" s="50">
        <f t="shared" si="42"/>
        <v>156.04269000000002</v>
      </c>
      <c r="BH9" s="50">
        <f t="shared" si="43"/>
        <v>3.5068935000000003</v>
      </c>
      <c r="BI9" s="50">
        <f t="shared" si="44"/>
        <v>3.1715856000000002</v>
      </c>
      <c r="BJ9" s="51"/>
      <c r="BK9" s="50">
        <f t="shared" si="45"/>
        <v>8688.1335</v>
      </c>
      <c r="BL9" s="52">
        <f t="shared" si="46"/>
        <v>542.26723</v>
      </c>
      <c r="BM9" s="50">
        <f t="shared" si="47"/>
        <v>9230.40073</v>
      </c>
      <c r="BN9" s="50">
        <f t="shared" si="48"/>
        <v>207.4434395</v>
      </c>
      <c r="BO9" s="50">
        <f t="shared" si="49"/>
        <v>187.6089552</v>
      </c>
      <c r="BP9" s="51"/>
      <c r="BQ9" s="50">
        <f t="shared" si="50"/>
        <v>10.0965</v>
      </c>
      <c r="BR9" s="52">
        <f t="shared" si="51"/>
        <v>0.63017</v>
      </c>
      <c r="BS9" s="50">
        <f t="shared" si="52"/>
        <v>10.72667</v>
      </c>
      <c r="BT9" s="50">
        <f t="shared" si="53"/>
        <v>0.2410705</v>
      </c>
      <c r="BU9" s="50">
        <f t="shared" si="54"/>
        <v>0.21802080000000001</v>
      </c>
      <c r="BV9" s="51"/>
      <c r="BW9" s="50">
        <f t="shared" si="55"/>
        <v>2863.596</v>
      </c>
      <c r="BX9" s="52">
        <f t="shared" si="56"/>
        <v>178.73048</v>
      </c>
      <c r="BY9" s="50">
        <f t="shared" si="57"/>
        <v>3042.32648</v>
      </c>
      <c r="BZ9" s="50">
        <f t="shared" si="58"/>
        <v>68.373052</v>
      </c>
      <c r="CA9" s="50">
        <f t="shared" si="59"/>
        <v>61.8356352</v>
      </c>
      <c r="CB9" s="51"/>
      <c r="CC9" s="50">
        <f t="shared" si="60"/>
        <v>319.278</v>
      </c>
      <c r="CD9" s="52">
        <f t="shared" si="61"/>
        <v>19.92764</v>
      </c>
      <c r="CE9" s="50">
        <f t="shared" si="62"/>
        <v>339.20564</v>
      </c>
      <c r="CF9" s="50">
        <f t="shared" si="63"/>
        <v>7.623286</v>
      </c>
      <c r="CG9" s="50">
        <f t="shared" si="64"/>
        <v>6.8943936</v>
      </c>
      <c r="CH9" s="51"/>
      <c r="CI9" s="50">
        <f t="shared" si="65"/>
        <v>575.1195</v>
      </c>
      <c r="CJ9" s="52">
        <f t="shared" si="66"/>
        <v>35.89591</v>
      </c>
      <c r="CK9" s="50">
        <f t="shared" si="67"/>
        <v>611.01541</v>
      </c>
      <c r="CL9" s="50">
        <f t="shared" si="68"/>
        <v>13.7319215</v>
      </c>
      <c r="CM9" s="50">
        <f t="shared" si="69"/>
        <v>12.418958400000001</v>
      </c>
      <c r="CN9" s="51"/>
      <c r="CO9" s="50">
        <f t="shared" si="70"/>
        <v>574.7385</v>
      </c>
      <c r="CP9" s="52">
        <f t="shared" si="71"/>
        <v>35.87213</v>
      </c>
      <c r="CQ9" s="50">
        <f t="shared" si="72"/>
        <v>610.61063</v>
      </c>
      <c r="CR9" s="50">
        <f t="shared" si="73"/>
        <v>13.722824500000002</v>
      </c>
      <c r="CS9" s="50">
        <f t="shared" si="74"/>
        <v>12.4107312</v>
      </c>
      <c r="CT9" s="51"/>
      <c r="CU9" s="50">
        <f t="shared" si="75"/>
        <v>2838.45</v>
      </c>
      <c r="CV9" s="52">
        <f t="shared" si="76"/>
        <v>177.161</v>
      </c>
      <c r="CW9" s="50">
        <f t="shared" si="77"/>
        <v>3015.611</v>
      </c>
      <c r="CX9" s="50">
        <f t="shared" si="78"/>
        <v>67.77265</v>
      </c>
      <c r="CY9" s="50">
        <f t="shared" si="79"/>
        <v>61.29264</v>
      </c>
      <c r="CZ9" s="51"/>
      <c r="DA9" s="50">
        <f t="shared" si="80"/>
        <v>5352.669</v>
      </c>
      <c r="DB9" s="52">
        <f t="shared" si="81"/>
        <v>334.08522</v>
      </c>
      <c r="DC9" s="50">
        <f t="shared" si="82"/>
        <v>5686.75422</v>
      </c>
      <c r="DD9" s="50">
        <f t="shared" si="83"/>
        <v>127.803753</v>
      </c>
      <c r="DE9" s="50">
        <f t="shared" si="84"/>
        <v>115.5839328</v>
      </c>
      <c r="DF9" s="51"/>
      <c r="DG9" s="50">
        <f t="shared" si="85"/>
        <v>2851.023</v>
      </c>
      <c r="DH9" s="52">
        <f t="shared" si="86"/>
        <v>177.94574</v>
      </c>
      <c r="DI9" s="50">
        <f t="shared" si="87"/>
        <v>3028.9687400000003</v>
      </c>
      <c r="DJ9" s="50">
        <f t="shared" si="88"/>
        <v>68.072851</v>
      </c>
      <c r="DK9" s="50">
        <f t="shared" si="89"/>
        <v>61.5641376</v>
      </c>
      <c r="DL9" s="51"/>
      <c r="DM9" s="50">
        <f t="shared" si="90"/>
        <v>4368.546</v>
      </c>
      <c r="DN9" s="52">
        <f t="shared" si="91"/>
        <v>272.66148</v>
      </c>
      <c r="DO9" s="50">
        <f t="shared" si="92"/>
        <v>4641.20748</v>
      </c>
      <c r="DP9" s="50">
        <f t="shared" si="93"/>
        <v>104.306202</v>
      </c>
      <c r="DQ9" s="50">
        <f t="shared" si="94"/>
        <v>94.3330752</v>
      </c>
      <c r="DR9" s="51"/>
      <c r="DS9" s="50">
        <f t="shared" si="95"/>
        <v>5201.412</v>
      </c>
      <c r="DT9" s="52">
        <f t="shared" si="96"/>
        <v>324.64456</v>
      </c>
      <c r="DU9" s="50">
        <f t="shared" si="97"/>
        <v>5526.05656</v>
      </c>
      <c r="DV9" s="50">
        <f t="shared" si="98"/>
        <v>124.192244</v>
      </c>
      <c r="DW9" s="50">
        <f t="shared" si="99"/>
        <v>112.3177344</v>
      </c>
      <c r="DX9" s="53"/>
      <c r="DY9" s="53"/>
      <c r="DZ9" s="53"/>
      <c r="EA9" s="53"/>
      <c r="EB9" s="53"/>
    </row>
    <row r="10" spans="1:132" s="34" customFormat="1" ht="12.75">
      <c r="A10" s="33">
        <v>44105</v>
      </c>
      <c r="C10" s="24"/>
      <c r="D10" s="24">
        <v>80800</v>
      </c>
      <c r="E10" s="18">
        <f t="shared" si="0"/>
        <v>80800</v>
      </c>
      <c r="F10" s="18">
        <v>45485</v>
      </c>
      <c r="G10" s="18">
        <v>41136</v>
      </c>
      <c r="H10" s="18"/>
      <c r="I10" s="50"/>
      <c r="J10" s="50">
        <f t="shared" si="1"/>
        <v>8161.3009600000005</v>
      </c>
      <c r="K10" s="50">
        <f t="shared" si="2"/>
        <v>8161.3009600000005</v>
      </c>
      <c r="L10" s="50">
        <f t="shared" si="3"/>
        <v>4594.267007</v>
      </c>
      <c r="M10" s="50">
        <f t="shared" si="4"/>
        <v>4154.991043200001</v>
      </c>
      <c r="N10" s="51"/>
      <c r="O10" s="50">
        <f t="shared" si="5"/>
        <v>0</v>
      </c>
      <c r="P10" s="52">
        <f t="shared" si="6"/>
        <v>882.1744000000001</v>
      </c>
      <c r="Q10" s="50">
        <f t="shared" si="7"/>
        <v>882.1744000000001</v>
      </c>
      <c r="R10" s="50">
        <f t="shared" si="8"/>
        <v>496.60523</v>
      </c>
      <c r="S10" s="50">
        <f t="shared" si="9"/>
        <v>449.12284800000003</v>
      </c>
      <c r="T10" s="50"/>
      <c r="U10" s="50">
        <f t="shared" si="10"/>
        <v>0</v>
      </c>
      <c r="V10" s="52">
        <f t="shared" si="11"/>
        <v>1837.1253599999998</v>
      </c>
      <c r="W10" s="50">
        <f t="shared" si="12"/>
        <v>1837.1253599999998</v>
      </c>
      <c r="X10" s="50">
        <f t="shared" si="13"/>
        <v>1034.1787995</v>
      </c>
      <c r="Y10" s="50">
        <f t="shared" si="14"/>
        <v>935.2968911999999</v>
      </c>
      <c r="Z10" s="50"/>
      <c r="AA10" s="50">
        <f t="shared" si="15"/>
        <v>0</v>
      </c>
      <c r="AB10" s="52">
        <f t="shared" si="16"/>
        <v>109.22544</v>
      </c>
      <c r="AC10" s="50">
        <f t="shared" si="17"/>
        <v>109.22544</v>
      </c>
      <c r="AD10" s="50">
        <f t="shared" si="18"/>
        <v>61.486623</v>
      </c>
      <c r="AE10" s="50">
        <f t="shared" si="19"/>
        <v>55.6076448</v>
      </c>
      <c r="AF10" s="50"/>
      <c r="AG10" s="50">
        <f t="shared" si="20"/>
        <v>0</v>
      </c>
      <c r="AH10" s="52">
        <f t="shared" si="21"/>
        <v>18.584</v>
      </c>
      <c r="AI10" s="50">
        <f t="shared" si="22"/>
        <v>18.584</v>
      </c>
      <c r="AJ10" s="50">
        <f t="shared" si="23"/>
        <v>10.46155</v>
      </c>
      <c r="AK10" s="50">
        <f t="shared" si="24"/>
        <v>9.46128</v>
      </c>
      <c r="AL10" s="50"/>
      <c r="AM10" s="50">
        <f t="shared" si="25"/>
        <v>0</v>
      </c>
      <c r="AN10" s="52">
        <f t="shared" si="26"/>
        <v>3688.1967999999997</v>
      </c>
      <c r="AO10" s="50">
        <f t="shared" si="27"/>
        <v>3688.1967999999997</v>
      </c>
      <c r="AP10" s="50">
        <f t="shared" si="28"/>
        <v>2076.20831</v>
      </c>
      <c r="AQ10" s="50">
        <f t="shared" si="29"/>
        <v>1877.6938559999999</v>
      </c>
      <c r="AR10" s="50"/>
      <c r="AS10" s="50">
        <f t="shared" si="30"/>
        <v>0</v>
      </c>
      <c r="AT10" s="52">
        <f t="shared" si="31"/>
        <v>43.57544</v>
      </c>
      <c r="AU10" s="50">
        <f t="shared" si="32"/>
        <v>43.57544</v>
      </c>
      <c r="AV10" s="50">
        <f t="shared" si="33"/>
        <v>24.5300605</v>
      </c>
      <c r="AW10" s="50">
        <f t="shared" si="34"/>
        <v>22.1846448</v>
      </c>
      <c r="AX10" s="50"/>
      <c r="AY10" s="50">
        <f t="shared" si="35"/>
        <v>0</v>
      </c>
      <c r="AZ10" s="52">
        <f t="shared" si="36"/>
        <v>149.22952</v>
      </c>
      <c r="BA10" s="50">
        <f t="shared" si="37"/>
        <v>149.22952</v>
      </c>
      <c r="BB10" s="50">
        <f t="shared" si="38"/>
        <v>84.0062465</v>
      </c>
      <c r="BC10" s="50">
        <f t="shared" si="39"/>
        <v>75.9740784</v>
      </c>
      <c r="BD10" s="50"/>
      <c r="BE10" s="50">
        <f t="shared" si="40"/>
        <v>0</v>
      </c>
      <c r="BF10" s="52">
        <f t="shared" si="41"/>
        <v>6.22968</v>
      </c>
      <c r="BG10" s="50">
        <f t="shared" si="42"/>
        <v>6.22968</v>
      </c>
      <c r="BH10" s="50">
        <f t="shared" si="43"/>
        <v>3.5068935000000003</v>
      </c>
      <c r="BI10" s="50">
        <f t="shared" si="44"/>
        <v>3.1715856000000002</v>
      </c>
      <c r="BJ10" s="51"/>
      <c r="BK10" s="50">
        <f t="shared" si="45"/>
        <v>0</v>
      </c>
      <c r="BL10" s="52">
        <f t="shared" si="46"/>
        <v>368.50456</v>
      </c>
      <c r="BM10" s="50">
        <f t="shared" si="47"/>
        <v>368.50456</v>
      </c>
      <c r="BN10" s="50">
        <f t="shared" si="48"/>
        <v>207.4434395</v>
      </c>
      <c r="BO10" s="50">
        <f t="shared" si="49"/>
        <v>187.6089552</v>
      </c>
      <c r="BP10" s="51"/>
      <c r="BQ10" s="50">
        <f t="shared" si="50"/>
        <v>0</v>
      </c>
      <c r="BR10" s="52">
        <f t="shared" si="51"/>
        <v>0.42824</v>
      </c>
      <c r="BS10" s="50">
        <f t="shared" si="52"/>
        <v>0.42824</v>
      </c>
      <c r="BT10" s="50">
        <f t="shared" si="53"/>
        <v>0.2410705</v>
      </c>
      <c r="BU10" s="50">
        <f t="shared" si="54"/>
        <v>0.21802080000000001</v>
      </c>
      <c r="BV10" s="51"/>
      <c r="BW10" s="50">
        <f t="shared" si="55"/>
        <v>0</v>
      </c>
      <c r="BX10" s="52">
        <f t="shared" si="56"/>
        <v>121.45855999999999</v>
      </c>
      <c r="BY10" s="50">
        <f t="shared" si="57"/>
        <v>121.45855999999999</v>
      </c>
      <c r="BZ10" s="50">
        <f t="shared" si="58"/>
        <v>68.373052</v>
      </c>
      <c r="CA10" s="50">
        <f t="shared" si="59"/>
        <v>61.8356352</v>
      </c>
      <c r="CB10" s="51"/>
      <c r="CC10" s="50">
        <f t="shared" si="60"/>
        <v>0</v>
      </c>
      <c r="CD10" s="52">
        <f t="shared" si="61"/>
        <v>13.54208</v>
      </c>
      <c r="CE10" s="50">
        <f t="shared" si="62"/>
        <v>13.54208</v>
      </c>
      <c r="CF10" s="50">
        <f t="shared" si="63"/>
        <v>7.623286</v>
      </c>
      <c r="CG10" s="50">
        <f t="shared" si="64"/>
        <v>6.8943936</v>
      </c>
      <c r="CH10" s="51"/>
      <c r="CI10" s="50">
        <f t="shared" si="65"/>
        <v>0</v>
      </c>
      <c r="CJ10" s="52">
        <f t="shared" si="66"/>
        <v>24.393520000000002</v>
      </c>
      <c r="CK10" s="50">
        <f t="shared" si="67"/>
        <v>24.393520000000002</v>
      </c>
      <c r="CL10" s="50">
        <f t="shared" si="68"/>
        <v>13.7319215</v>
      </c>
      <c r="CM10" s="50">
        <f t="shared" si="69"/>
        <v>12.418958400000001</v>
      </c>
      <c r="CN10" s="51"/>
      <c r="CO10" s="50">
        <f t="shared" si="70"/>
        <v>0</v>
      </c>
      <c r="CP10" s="52">
        <f t="shared" si="71"/>
        <v>24.37736</v>
      </c>
      <c r="CQ10" s="50">
        <f t="shared" si="72"/>
        <v>24.37736</v>
      </c>
      <c r="CR10" s="50">
        <f t="shared" si="73"/>
        <v>13.722824500000002</v>
      </c>
      <c r="CS10" s="50">
        <f t="shared" si="74"/>
        <v>12.4107312</v>
      </c>
      <c r="CT10" s="51"/>
      <c r="CU10" s="50">
        <f t="shared" si="75"/>
        <v>0</v>
      </c>
      <c r="CV10" s="52">
        <f t="shared" si="76"/>
        <v>120.392</v>
      </c>
      <c r="CW10" s="50">
        <f t="shared" si="77"/>
        <v>120.392</v>
      </c>
      <c r="CX10" s="50">
        <f t="shared" si="78"/>
        <v>67.77265</v>
      </c>
      <c r="CY10" s="50">
        <f t="shared" si="79"/>
        <v>61.29264</v>
      </c>
      <c r="CZ10" s="51"/>
      <c r="DA10" s="50">
        <f t="shared" si="80"/>
        <v>0</v>
      </c>
      <c r="DB10" s="52">
        <f t="shared" si="81"/>
        <v>227.03184</v>
      </c>
      <c r="DC10" s="50">
        <f t="shared" si="82"/>
        <v>227.03184</v>
      </c>
      <c r="DD10" s="50">
        <f t="shared" si="83"/>
        <v>127.803753</v>
      </c>
      <c r="DE10" s="50">
        <f t="shared" si="84"/>
        <v>115.5839328</v>
      </c>
      <c r="DF10" s="51"/>
      <c r="DG10" s="50">
        <f t="shared" si="85"/>
        <v>0</v>
      </c>
      <c r="DH10" s="52">
        <f t="shared" si="86"/>
        <v>120.92528</v>
      </c>
      <c r="DI10" s="50">
        <f t="shared" si="87"/>
        <v>120.92528</v>
      </c>
      <c r="DJ10" s="50">
        <f t="shared" si="88"/>
        <v>68.072851</v>
      </c>
      <c r="DK10" s="50">
        <f t="shared" si="89"/>
        <v>61.5641376</v>
      </c>
      <c r="DL10" s="51"/>
      <c r="DM10" s="50">
        <f t="shared" si="90"/>
        <v>0</v>
      </c>
      <c r="DN10" s="52">
        <f t="shared" si="91"/>
        <v>185.29056</v>
      </c>
      <c r="DO10" s="50">
        <f t="shared" si="92"/>
        <v>185.29056</v>
      </c>
      <c r="DP10" s="50">
        <f t="shared" si="93"/>
        <v>104.306202</v>
      </c>
      <c r="DQ10" s="50">
        <f t="shared" si="94"/>
        <v>94.3330752</v>
      </c>
      <c r="DR10" s="51"/>
      <c r="DS10" s="50">
        <f t="shared" si="95"/>
        <v>0</v>
      </c>
      <c r="DT10" s="52">
        <f t="shared" si="96"/>
        <v>220.61632</v>
      </c>
      <c r="DU10" s="50">
        <f t="shared" si="97"/>
        <v>220.61632</v>
      </c>
      <c r="DV10" s="50">
        <f t="shared" si="98"/>
        <v>124.192244</v>
      </c>
      <c r="DW10" s="50">
        <f t="shared" si="99"/>
        <v>112.3177344</v>
      </c>
      <c r="DX10" s="53"/>
      <c r="DY10" s="53"/>
      <c r="DZ10" s="53"/>
      <c r="EA10" s="53"/>
      <c r="EB10" s="53"/>
    </row>
    <row r="11" spans="1:132" s="34" customFormat="1" ht="12.75">
      <c r="A11" s="33">
        <v>44287</v>
      </c>
      <c r="C11" s="24">
        <v>1980000</v>
      </c>
      <c r="D11" s="24">
        <v>80800</v>
      </c>
      <c r="E11" s="18">
        <f t="shared" si="0"/>
        <v>2060800</v>
      </c>
      <c r="F11" s="18">
        <v>45485</v>
      </c>
      <c r="G11" s="18">
        <v>41136</v>
      </c>
      <c r="H11" s="18"/>
      <c r="I11" s="50">
        <f>O11+U11+AA11+AG11+AM11+AS11+AY11+BE11+BK11+BQ11+BW11+CC11+CI11+CO11+CU11+DA11+DG11+DM11+DS11</f>
        <v>199992.276</v>
      </c>
      <c r="J11" s="50">
        <f t="shared" si="1"/>
        <v>8161.3009600000005</v>
      </c>
      <c r="K11" s="50">
        <f t="shared" si="2"/>
        <v>208153.57696</v>
      </c>
      <c r="L11" s="50">
        <f t="shared" si="3"/>
        <v>4594.267007</v>
      </c>
      <c r="M11" s="50">
        <f t="shared" si="4"/>
        <v>4154.991043200001</v>
      </c>
      <c r="N11" s="51"/>
      <c r="O11" s="50">
        <f t="shared" si="5"/>
        <v>21617.64</v>
      </c>
      <c r="P11" s="52">
        <f t="shared" si="6"/>
        <v>882.1744000000001</v>
      </c>
      <c r="Q11" s="50">
        <f t="shared" si="7"/>
        <v>22499.8144</v>
      </c>
      <c r="R11" s="50">
        <f t="shared" si="8"/>
        <v>496.60523</v>
      </c>
      <c r="S11" s="50">
        <f t="shared" si="9"/>
        <v>449.12284800000003</v>
      </c>
      <c r="T11" s="50"/>
      <c r="U11" s="50">
        <f t="shared" si="10"/>
        <v>45018.666</v>
      </c>
      <c r="V11" s="52">
        <f t="shared" si="11"/>
        <v>1837.1253599999998</v>
      </c>
      <c r="W11" s="50">
        <f t="shared" si="12"/>
        <v>46855.791359999996</v>
      </c>
      <c r="X11" s="50">
        <f t="shared" si="13"/>
        <v>1034.1787995</v>
      </c>
      <c r="Y11" s="50">
        <f t="shared" si="14"/>
        <v>935.2968911999999</v>
      </c>
      <c r="Z11" s="50"/>
      <c r="AA11" s="50">
        <f t="shared" si="15"/>
        <v>2676.564</v>
      </c>
      <c r="AB11" s="52">
        <f t="shared" si="16"/>
        <v>109.22544</v>
      </c>
      <c r="AC11" s="50">
        <f t="shared" si="17"/>
        <v>2785.78944</v>
      </c>
      <c r="AD11" s="50">
        <f t="shared" si="18"/>
        <v>61.486623</v>
      </c>
      <c r="AE11" s="50">
        <f t="shared" si="19"/>
        <v>55.6076448</v>
      </c>
      <c r="AF11" s="50"/>
      <c r="AG11" s="50">
        <f t="shared" si="20"/>
        <v>455.40000000000003</v>
      </c>
      <c r="AH11" s="52">
        <f t="shared" si="21"/>
        <v>18.584</v>
      </c>
      <c r="AI11" s="50">
        <f t="shared" si="22"/>
        <v>473.98400000000004</v>
      </c>
      <c r="AJ11" s="50">
        <f t="shared" si="23"/>
        <v>10.46155</v>
      </c>
      <c r="AK11" s="50">
        <f t="shared" si="24"/>
        <v>9.46128</v>
      </c>
      <c r="AL11" s="50"/>
      <c r="AM11" s="50">
        <f t="shared" si="25"/>
        <v>90379.08</v>
      </c>
      <c r="AN11" s="52">
        <f t="shared" si="26"/>
        <v>3688.1967999999997</v>
      </c>
      <c r="AO11" s="50">
        <f t="shared" si="27"/>
        <v>94067.2768</v>
      </c>
      <c r="AP11" s="50">
        <f t="shared" si="28"/>
        <v>2076.20831</v>
      </c>
      <c r="AQ11" s="50">
        <f t="shared" si="29"/>
        <v>1877.6938559999999</v>
      </c>
      <c r="AR11" s="50"/>
      <c r="AS11" s="50">
        <f t="shared" si="30"/>
        <v>1067.814</v>
      </c>
      <c r="AT11" s="52">
        <f t="shared" si="31"/>
        <v>43.57544</v>
      </c>
      <c r="AU11" s="50">
        <f t="shared" si="32"/>
        <v>1111.3894400000001</v>
      </c>
      <c r="AV11" s="50">
        <f t="shared" si="33"/>
        <v>24.5300605</v>
      </c>
      <c r="AW11" s="50">
        <f t="shared" si="34"/>
        <v>22.1846448</v>
      </c>
      <c r="AX11" s="50"/>
      <c r="AY11" s="50">
        <f t="shared" si="35"/>
        <v>3656.862</v>
      </c>
      <c r="AZ11" s="52">
        <f t="shared" si="36"/>
        <v>149.22952</v>
      </c>
      <c r="BA11" s="50">
        <f t="shared" si="37"/>
        <v>3806.09152</v>
      </c>
      <c r="BB11" s="50">
        <f t="shared" si="38"/>
        <v>84.0062465</v>
      </c>
      <c r="BC11" s="50">
        <f t="shared" si="39"/>
        <v>75.9740784</v>
      </c>
      <c r="BD11" s="50"/>
      <c r="BE11" s="50">
        <f t="shared" si="40"/>
        <v>152.65800000000002</v>
      </c>
      <c r="BF11" s="52">
        <f t="shared" si="41"/>
        <v>6.22968</v>
      </c>
      <c r="BG11" s="50">
        <f t="shared" si="42"/>
        <v>158.88768000000002</v>
      </c>
      <c r="BH11" s="50">
        <f t="shared" si="43"/>
        <v>3.5068935000000003</v>
      </c>
      <c r="BI11" s="50">
        <f t="shared" si="44"/>
        <v>3.1715856000000002</v>
      </c>
      <c r="BJ11" s="51"/>
      <c r="BK11" s="50">
        <f t="shared" si="45"/>
        <v>9030.186</v>
      </c>
      <c r="BL11" s="52">
        <f t="shared" si="46"/>
        <v>368.50456</v>
      </c>
      <c r="BM11" s="50">
        <f t="shared" si="47"/>
        <v>9398.69056</v>
      </c>
      <c r="BN11" s="50">
        <f t="shared" si="48"/>
        <v>207.4434395</v>
      </c>
      <c r="BO11" s="50">
        <f t="shared" si="49"/>
        <v>187.6089552</v>
      </c>
      <c r="BP11" s="51"/>
      <c r="BQ11" s="50">
        <f t="shared" si="50"/>
        <v>10.494</v>
      </c>
      <c r="BR11" s="52">
        <f t="shared" si="51"/>
        <v>0.42824</v>
      </c>
      <c r="BS11" s="50">
        <f t="shared" si="52"/>
        <v>10.92224</v>
      </c>
      <c r="BT11" s="50">
        <f t="shared" si="53"/>
        <v>0.2410705</v>
      </c>
      <c r="BU11" s="50">
        <f t="shared" si="54"/>
        <v>0.21802080000000001</v>
      </c>
      <c r="BV11" s="51"/>
      <c r="BW11" s="50">
        <f t="shared" si="55"/>
        <v>2976.336</v>
      </c>
      <c r="BX11" s="52">
        <f t="shared" si="56"/>
        <v>121.45855999999999</v>
      </c>
      <c r="BY11" s="50">
        <f t="shared" si="57"/>
        <v>3097.79456</v>
      </c>
      <c r="BZ11" s="50">
        <f t="shared" si="58"/>
        <v>68.373052</v>
      </c>
      <c r="CA11" s="50">
        <f t="shared" si="59"/>
        <v>61.8356352</v>
      </c>
      <c r="CB11" s="51"/>
      <c r="CC11" s="50">
        <f t="shared" si="60"/>
        <v>331.848</v>
      </c>
      <c r="CD11" s="52">
        <f t="shared" si="61"/>
        <v>13.54208</v>
      </c>
      <c r="CE11" s="50">
        <f t="shared" si="62"/>
        <v>345.39008</v>
      </c>
      <c r="CF11" s="50">
        <f t="shared" si="63"/>
        <v>7.623286</v>
      </c>
      <c r="CG11" s="50">
        <f t="shared" si="64"/>
        <v>6.8943936</v>
      </c>
      <c r="CH11" s="51"/>
      <c r="CI11" s="50">
        <f t="shared" si="65"/>
        <v>597.7620000000001</v>
      </c>
      <c r="CJ11" s="52">
        <f t="shared" si="66"/>
        <v>24.393520000000002</v>
      </c>
      <c r="CK11" s="50">
        <f t="shared" si="67"/>
        <v>622.15552</v>
      </c>
      <c r="CL11" s="50">
        <f t="shared" si="68"/>
        <v>13.7319215</v>
      </c>
      <c r="CM11" s="50">
        <f t="shared" si="69"/>
        <v>12.418958400000001</v>
      </c>
      <c r="CN11" s="51"/>
      <c r="CO11" s="50">
        <f t="shared" si="70"/>
        <v>597.366</v>
      </c>
      <c r="CP11" s="52">
        <f t="shared" si="71"/>
        <v>24.37736</v>
      </c>
      <c r="CQ11" s="50">
        <f t="shared" si="72"/>
        <v>621.7433599999999</v>
      </c>
      <c r="CR11" s="50">
        <f t="shared" si="73"/>
        <v>13.722824500000002</v>
      </c>
      <c r="CS11" s="50">
        <f t="shared" si="74"/>
        <v>12.4107312</v>
      </c>
      <c r="CT11" s="51"/>
      <c r="CU11" s="50">
        <f t="shared" si="75"/>
        <v>2950.2</v>
      </c>
      <c r="CV11" s="52">
        <f t="shared" si="76"/>
        <v>120.392</v>
      </c>
      <c r="CW11" s="50">
        <f t="shared" si="77"/>
        <v>3070.5919999999996</v>
      </c>
      <c r="CX11" s="50">
        <f t="shared" si="78"/>
        <v>67.77265</v>
      </c>
      <c r="CY11" s="50">
        <f t="shared" si="79"/>
        <v>61.29264</v>
      </c>
      <c r="CZ11" s="51"/>
      <c r="DA11" s="50">
        <f t="shared" si="80"/>
        <v>5563.4039999999995</v>
      </c>
      <c r="DB11" s="52">
        <f t="shared" si="81"/>
        <v>227.03184</v>
      </c>
      <c r="DC11" s="50">
        <f t="shared" si="82"/>
        <v>5790.435839999999</v>
      </c>
      <c r="DD11" s="50">
        <f t="shared" si="83"/>
        <v>127.803753</v>
      </c>
      <c r="DE11" s="50">
        <f t="shared" si="84"/>
        <v>115.5839328</v>
      </c>
      <c r="DF11" s="51"/>
      <c r="DG11" s="50">
        <f t="shared" si="85"/>
        <v>2963.268</v>
      </c>
      <c r="DH11" s="52">
        <f t="shared" si="86"/>
        <v>120.92528</v>
      </c>
      <c r="DI11" s="50">
        <f t="shared" si="87"/>
        <v>3084.19328</v>
      </c>
      <c r="DJ11" s="50">
        <f t="shared" si="88"/>
        <v>68.072851</v>
      </c>
      <c r="DK11" s="50">
        <f t="shared" si="89"/>
        <v>61.5641376</v>
      </c>
      <c r="DL11" s="51"/>
      <c r="DM11" s="50">
        <f t="shared" si="90"/>
        <v>4540.536</v>
      </c>
      <c r="DN11" s="52">
        <f t="shared" si="91"/>
        <v>185.29056</v>
      </c>
      <c r="DO11" s="50">
        <f t="shared" si="92"/>
        <v>4725.82656</v>
      </c>
      <c r="DP11" s="50">
        <f t="shared" si="93"/>
        <v>104.306202</v>
      </c>
      <c r="DQ11" s="50">
        <f t="shared" si="94"/>
        <v>94.3330752</v>
      </c>
      <c r="DR11" s="51"/>
      <c r="DS11" s="50">
        <f t="shared" si="95"/>
        <v>5406.192</v>
      </c>
      <c r="DT11" s="52">
        <f t="shared" si="96"/>
        <v>220.61632</v>
      </c>
      <c r="DU11" s="50">
        <f t="shared" si="97"/>
        <v>5626.80832</v>
      </c>
      <c r="DV11" s="50">
        <f t="shared" si="98"/>
        <v>124.192244</v>
      </c>
      <c r="DW11" s="50">
        <f t="shared" si="99"/>
        <v>112.3177344</v>
      </c>
      <c r="DX11" s="53"/>
      <c r="DY11" s="53"/>
      <c r="DZ11" s="53"/>
      <c r="EA11" s="53"/>
      <c r="EB11" s="53"/>
    </row>
    <row r="12" spans="1:132" s="34" customFormat="1" ht="12.75">
      <c r="A12" s="33">
        <v>44470</v>
      </c>
      <c r="C12" s="24"/>
      <c r="D12" s="24">
        <v>41200</v>
      </c>
      <c r="E12" s="18">
        <f t="shared" si="0"/>
        <v>41200</v>
      </c>
      <c r="F12" s="18">
        <v>45485</v>
      </c>
      <c r="G12" s="18">
        <v>41136</v>
      </c>
      <c r="H12" s="18"/>
      <c r="I12" s="50"/>
      <c r="J12" s="50">
        <f t="shared" si="1"/>
        <v>4161.45544</v>
      </c>
      <c r="K12" s="50">
        <f t="shared" si="2"/>
        <v>4161.45544</v>
      </c>
      <c r="L12" s="50">
        <f t="shared" si="3"/>
        <v>4594.267007</v>
      </c>
      <c r="M12" s="50">
        <f t="shared" si="4"/>
        <v>4154.991043200001</v>
      </c>
      <c r="N12" s="51"/>
      <c r="O12" s="50">
        <f t="shared" si="5"/>
        <v>0</v>
      </c>
      <c r="P12" s="52">
        <f t="shared" si="6"/>
        <v>449.82160000000005</v>
      </c>
      <c r="Q12" s="50">
        <f t="shared" si="7"/>
        <v>449.82160000000005</v>
      </c>
      <c r="R12" s="50">
        <f t="shared" si="8"/>
        <v>496.60523</v>
      </c>
      <c r="S12" s="50">
        <f t="shared" si="9"/>
        <v>449.12284800000003</v>
      </c>
      <c r="T12" s="50"/>
      <c r="U12" s="50">
        <f t="shared" si="10"/>
        <v>0</v>
      </c>
      <c r="V12" s="52">
        <f t="shared" si="11"/>
        <v>936.75204</v>
      </c>
      <c r="W12" s="50">
        <f t="shared" si="12"/>
        <v>936.75204</v>
      </c>
      <c r="X12" s="50">
        <f t="shared" si="13"/>
        <v>1034.1787995</v>
      </c>
      <c r="Y12" s="50">
        <f t="shared" si="14"/>
        <v>935.2968911999999</v>
      </c>
      <c r="Z12" s="50"/>
      <c r="AA12" s="50">
        <f t="shared" si="15"/>
        <v>0</v>
      </c>
      <c r="AB12" s="52">
        <f t="shared" si="16"/>
        <v>55.694160000000004</v>
      </c>
      <c r="AC12" s="50">
        <f t="shared" si="17"/>
        <v>55.694160000000004</v>
      </c>
      <c r="AD12" s="50">
        <f t="shared" si="18"/>
        <v>61.486623</v>
      </c>
      <c r="AE12" s="50">
        <f t="shared" si="19"/>
        <v>55.6076448</v>
      </c>
      <c r="AF12" s="50"/>
      <c r="AG12" s="50">
        <f t="shared" si="20"/>
        <v>0</v>
      </c>
      <c r="AH12" s="52">
        <f t="shared" si="21"/>
        <v>9.476</v>
      </c>
      <c r="AI12" s="50">
        <f t="shared" si="22"/>
        <v>9.476</v>
      </c>
      <c r="AJ12" s="50">
        <f t="shared" si="23"/>
        <v>10.46155</v>
      </c>
      <c r="AK12" s="50">
        <f t="shared" si="24"/>
        <v>9.46128</v>
      </c>
      <c r="AL12" s="50"/>
      <c r="AM12" s="50">
        <f t="shared" si="25"/>
        <v>0</v>
      </c>
      <c r="AN12" s="52">
        <f t="shared" si="26"/>
        <v>1880.6152</v>
      </c>
      <c r="AO12" s="50">
        <f t="shared" si="27"/>
        <v>1880.6152</v>
      </c>
      <c r="AP12" s="50">
        <f t="shared" si="28"/>
        <v>2076.20831</v>
      </c>
      <c r="AQ12" s="50">
        <f t="shared" si="29"/>
        <v>1877.6938559999999</v>
      </c>
      <c r="AR12" s="50"/>
      <c r="AS12" s="50">
        <f t="shared" si="30"/>
        <v>0</v>
      </c>
      <c r="AT12" s="52">
        <f t="shared" si="31"/>
        <v>22.219160000000002</v>
      </c>
      <c r="AU12" s="50">
        <f t="shared" si="32"/>
        <v>22.219160000000002</v>
      </c>
      <c r="AV12" s="50">
        <f t="shared" si="33"/>
        <v>24.5300605</v>
      </c>
      <c r="AW12" s="50">
        <f t="shared" si="34"/>
        <v>22.1846448</v>
      </c>
      <c r="AX12" s="50"/>
      <c r="AY12" s="50">
        <f t="shared" si="35"/>
        <v>0</v>
      </c>
      <c r="AZ12" s="52">
        <f t="shared" si="36"/>
        <v>76.09228</v>
      </c>
      <c r="BA12" s="50">
        <f t="shared" si="37"/>
        <v>76.09228</v>
      </c>
      <c r="BB12" s="50">
        <f t="shared" si="38"/>
        <v>84.0062465</v>
      </c>
      <c r="BC12" s="50">
        <f t="shared" si="39"/>
        <v>75.9740784</v>
      </c>
      <c r="BD12" s="50"/>
      <c r="BE12" s="50">
        <f t="shared" si="40"/>
        <v>0</v>
      </c>
      <c r="BF12" s="52">
        <f t="shared" si="41"/>
        <v>3.17652</v>
      </c>
      <c r="BG12" s="50">
        <f t="shared" si="42"/>
        <v>3.17652</v>
      </c>
      <c r="BH12" s="50">
        <f t="shared" si="43"/>
        <v>3.5068935000000003</v>
      </c>
      <c r="BI12" s="50">
        <f t="shared" si="44"/>
        <v>3.1715856000000002</v>
      </c>
      <c r="BJ12" s="51"/>
      <c r="BK12" s="50">
        <f t="shared" si="45"/>
        <v>0</v>
      </c>
      <c r="BL12" s="52">
        <f t="shared" si="46"/>
        <v>187.90084</v>
      </c>
      <c r="BM12" s="50">
        <f t="shared" si="47"/>
        <v>187.90084</v>
      </c>
      <c r="BN12" s="50">
        <f t="shared" si="48"/>
        <v>207.4434395</v>
      </c>
      <c r="BO12" s="50">
        <f t="shared" si="49"/>
        <v>187.6089552</v>
      </c>
      <c r="BP12" s="51"/>
      <c r="BQ12" s="50">
        <f t="shared" si="50"/>
        <v>0</v>
      </c>
      <c r="BR12" s="52">
        <f t="shared" si="51"/>
        <v>0.21836</v>
      </c>
      <c r="BS12" s="50">
        <f t="shared" si="52"/>
        <v>0.21836</v>
      </c>
      <c r="BT12" s="50">
        <f t="shared" si="53"/>
        <v>0.2410705</v>
      </c>
      <c r="BU12" s="50">
        <f t="shared" si="54"/>
        <v>0.21802080000000001</v>
      </c>
      <c r="BV12" s="51"/>
      <c r="BW12" s="50">
        <f t="shared" si="55"/>
        <v>0</v>
      </c>
      <c r="BX12" s="52">
        <f t="shared" si="56"/>
        <v>61.931839999999994</v>
      </c>
      <c r="BY12" s="50">
        <f t="shared" si="57"/>
        <v>61.931839999999994</v>
      </c>
      <c r="BZ12" s="50">
        <f t="shared" si="58"/>
        <v>68.373052</v>
      </c>
      <c r="CA12" s="50">
        <f t="shared" si="59"/>
        <v>61.8356352</v>
      </c>
      <c r="CB12" s="51"/>
      <c r="CC12" s="50">
        <f t="shared" si="60"/>
        <v>0</v>
      </c>
      <c r="CD12" s="52">
        <f t="shared" si="61"/>
        <v>6.90512</v>
      </c>
      <c r="CE12" s="50">
        <f t="shared" si="62"/>
        <v>6.90512</v>
      </c>
      <c r="CF12" s="50">
        <f t="shared" si="63"/>
        <v>7.623286</v>
      </c>
      <c r="CG12" s="50">
        <f t="shared" si="64"/>
        <v>6.8943936</v>
      </c>
      <c r="CH12" s="51"/>
      <c r="CI12" s="50">
        <f t="shared" si="65"/>
        <v>0</v>
      </c>
      <c r="CJ12" s="52">
        <f t="shared" si="66"/>
        <v>12.43828</v>
      </c>
      <c r="CK12" s="50">
        <f t="shared" si="67"/>
        <v>12.43828</v>
      </c>
      <c r="CL12" s="50">
        <f t="shared" si="68"/>
        <v>13.7319215</v>
      </c>
      <c r="CM12" s="50">
        <f t="shared" si="69"/>
        <v>12.418958400000001</v>
      </c>
      <c r="CN12" s="51"/>
      <c r="CO12" s="50">
        <f t="shared" si="70"/>
        <v>0</v>
      </c>
      <c r="CP12" s="52">
        <f t="shared" si="71"/>
        <v>12.43004</v>
      </c>
      <c r="CQ12" s="50">
        <f t="shared" si="72"/>
        <v>12.43004</v>
      </c>
      <c r="CR12" s="50">
        <f t="shared" si="73"/>
        <v>13.722824500000002</v>
      </c>
      <c r="CS12" s="50">
        <f t="shared" si="74"/>
        <v>12.4107312</v>
      </c>
      <c r="CT12" s="51"/>
      <c r="CU12" s="50">
        <f t="shared" si="75"/>
        <v>0</v>
      </c>
      <c r="CV12" s="52">
        <f t="shared" si="76"/>
        <v>61.388</v>
      </c>
      <c r="CW12" s="50">
        <f t="shared" si="77"/>
        <v>61.388</v>
      </c>
      <c r="CX12" s="50">
        <f t="shared" si="78"/>
        <v>67.77265</v>
      </c>
      <c r="CY12" s="50">
        <f t="shared" si="79"/>
        <v>61.29264</v>
      </c>
      <c r="CZ12" s="51"/>
      <c r="DA12" s="50">
        <f t="shared" si="80"/>
        <v>0</v>
      </c>
      <c r="DB12" s="52">
        <f t="shared" si="81"/>
        <v>115.76375999999999</v>
      </c>
      <c r="DC12" s="50">
        <f t="shared" si="82"/>
        <v>115.76375999999999</v>
      </c>
      <c r="DD12" s="50">
        <f t="shared" si="83"/>
        <v>127.803753</v>
      </c>
      <c r="DE12" s="50">
        <f t="shared" si="84"/>
        <v>115.5839328</v>
      </c>
      <c r="DF12" s="51"/>
      <c r="DG12" s="50">
        <f t="shared" si="85"/>
        <v>0</v>
      </c>
      <c r="DH12" s="52">
        <f t="shared" si="86"/>
        <v>61.65992</v>
      </c>
      <c r="DI12" s="50">
        <f t="shared" si="87"/>
        <v>61.65992</v>
      </c>
      <c r="DJ12" s="50">
        <f t="shared" si="88"/>
        <v>68.072851</v>
      </c>
      <c r="DK12" s="50">
        <f t="shared" si="89"/>
        <v>61.5641376</v>
      </c>
      <c r="DL12" s="51"/>
      <c r="DM12" s="50">
        <f t="shared" si="90"/>
        <v>0</v>
      </c>
      <c r="DN12" s="52">
        <f t="shared" si="91"/>
        <v>94.47984</v>
      </c>
      <c r="DO12" s="50">
        <f t="shared" si="92"/>
        <v>94.47984</v>
      </c>
      <c r="DP12" s="50">
        <f t="shared" si="93"/>
        <v>104.306202</v>
      </c>
      <c r="DQ12" s="50">
        <f t="shared" si="94"/>
        <v>94.3330752</v>
      </c>
      <c r="DR12" s="51"/>
      <c r="DS12" s="50">
        <f t="shared" si="95"/>
        <v>0</v>
      </c>
      <c r="DT12" s="52">
        <f t="shared" si="96"/>
        <v>112.49248</v>
      </c>
      <c r="DU12" s="50">
        <f t="shared" si="97"/>
        <v>112.49248</v>
      </c>
      <c r="DV12" s="50">
        <f t="shared" si="98"/>
        <v>124.192244</v>
      </c>
      <c r="DW12" s="50">
        <f t="shared" si="99"/>
        <v>112.3177344</v>
      </c>
      <c r="DX12" s="53"/>
      <c r="DY12" s="53"/>
      <c r="DZ12" s="53"/>
      <c r="EA12" s="53"/>
      <c r="EB12" s="53"/>
    </row>
    <row r="13" spans="1:132" s="34" customFormat="1" ht="12.75">
      <c r="A13" s="33">
        <v>44652</v>
      </c>
      <c r="C13" s="24">
        <v>2060000</v>
      </c>
      <c r="D13" s="24">
        <v>41200</v>
      </c>
      <c r="E13" s="18">
        <f t="shared" si="0"/>
        <v>2101200</v>
      </c>
      <c r="F13" s="18">
        <v>45478</v>
      </c>
      <c r="G13" s="18">
        <v>41133</v>
      </c>
      <c r="H13" s="18"/>
      <c r="I13" s="50">
        <f>O13+U13+AA13+AG13+AM13+AS13+AY13+BE13+BK13+BQ13+BW13+CC13+CI13+CO13+CU13+DA13+DG13+DM13+DS13</f>
        <v>208072.77200000003</v>
      </c>
      <c r="J13" s="50">
        <f t="shared" si="1"/>
        <v>4161.45544</v>
      </c>
      <c r="K13" s="50">
        <f t="shared" si="2"/>
        <v>212234.22744000002</v>
      </c>
      <c r="L13" s="50">
        <f t="shared" si="3"/>
        <v>4593.5599636</v>
      </c>
      <c r="M13" s="50">
        <f t="shared" si="4"/>
        <v>4154.6880246</v>
      </c>
      <c r="N13" s="51"/>
      <c r="O13" s="50">
        <f t="shared" si="5"/>
        <v>22491.08</v>
      </c>
      <c r="P13" s="52">
        <f t="shared" si="6"/>
        <v>449.82160000000005</v>
      </c>
      <c r="Q13" s="50">
        <f t="shared" si="7"/>
        <v>22940.9016</v>
      </c>
      <c r="R13" s="50">
        <f t="shared" si="8"/>
        <v>496.52880400000004</v>
      </c>
      <c r="S13" s="50">
        <f t="shared" si="9"/>
        <v>449.090094</v>
      </c>
      <c r="T13" s="50"/>
      <c r="U13" s="50">
        <f t="shared" si="10"/>
        <v>46837.602</v>
      </c>
      <c r="V13" s="52">
        <f t="shared" si="11"/>
        <v>936.75204</v>
      </c>
      <c r="W13" s="50">
        <f t="shared" si="12"/>
        <v>47774.35404</v>
      </c>
      <c r="X13" s="50">
        <f t="shared" si="13"/>
        <v>1034.0196426</v>
      </c>
      <c r="Y13" s="50">
        <f t="shared" si="14"/>
        <v>935.2286810999999</v>
      </c>
      <c r="Z13" s="50"/>
      <c r="AA13" s="50">
        <f t="shared" si="15"/>
        <v>2784.708</v>
      </c>
      <c r="AB13" s="52">
        <f t="shared" si="16"/>
        <v>55.694160000000004</v>
      </c>
      <c r="AC13" s="50">
        <f t="shared" si="17"/>
        <v>2840.40216</v>
      </c>
      <c r="AD13" s="50">
        <f t="shared" si="18"/>
        <v>61.4771604</v>
      </c>
      <c r="AE13" s="50">
        <f t="shared" si="19"/>
        <v>55.6035894</v>
      </c>
      <c r="AF13" s="50"/>
      <c r="AG13" s="50">
        <f t="shared" si="20"/>
        <v>473.8</v>
      </c>
      <c r="AH13" s="52">
        <f t="shared" si="21"/>
        <v>9.476</v>
      </c>
      <c r="AI13" s="50">
        <f t="shared" si="22"/>
        <v>483.276</v>
      </c>
      <c r="AJ13" s="50">
        <f t="shared" si="23"/>
        <v>10.45994</v>
      </c>
      <c r="AK13" s="50">
        <f t="shared" si="24"/>
        <v>9.46059</v>
      </c>
      <c r="AL13" s="50"/>
      <c r="AM13" s="50">
        <f t="shared" si="25"/>
        <v>94030.76</v>
      </c>
      <c r="AN13" s="52">
        <f t="shared" si="26"/>
        <v>1880.6152</v>
      </c>
      <c r="AO13" s="50">
        <f t="shared" si="27"/>
        <v>95911.3752</v>
      </c>
      <c r="AP13" s="50">
        <f t="shared" si="28"/>
        <v>2075.8887879999997</v>
      </c>
      <c r="AQ13" s="50">
        <f t="shared" si="29"/>
        <v>1877.556918</v>
      </c>
      <c r="AR13" s="50"/>
      <c r="AS13" s="50">
        <f t="shared" si="30"/>
        <v>1110.958</v>
      </c>
      <c r="AT13" s="52">
        <f t="shared" si="31"/>
        <v>22.219160000000002</v>
      </c>
      <c r="AU13" s="50">
        <f t="shared" si="32"/>
        <v>1133.1771600000002</v>
      </c>
      <c r="AV13" s="50">
        <f t="shared" si="33"/>
        <v>24.526285400000003</v>
      </c>
      <c r="AW13" s="50">
        <f t="shared" si="34"/>
        <v>22.1830269</v>
      </c>
      <c r="AX13" s="50"/>
      <c r="AY13" s="50">
        <f t="shared" si="35"/>
        <v>3804.614</v>
      </c>
      <c r="AZ13" s="52">
        <f t="shared" si="36"/>
        <v>76.09228</v>
      </c>
      <c r="BA13" s="50">
        <f t="shared" si="37"/>
        <v>3880.70628</v>
      </c>
      <c r="BB13" s="50">
        <f t="shared" si="38"/>
        <v>83.9933182</v>
      </c>
      <c r="BC13" s="50">
        <f t="shared" si="39"/>
        <v>75.9685377</v>
      </c>
      <c r="BD13" s="50"/>
      <c r="BE13" s="50">
        <f t="shared" si="40"/>
        <v>158.82600000000002</v>
      </c>
      <c r="BF13" s="52">
        <f t="shared" si="41"/>
        <v>3.17652</v>
      </c>
      <c r="BG13" s="50">
        <f t="shared" si="42"/>
        <v>162.00252000000003</v>
      </c>
      <c r="BH13" s="50">
        <f t="shared" si="43"/>
        <v>3.5063538000000003</v>
      </c>
      <c r="BI13" s="50">
        <f t="shared" si="44"/>
        <v>3.1713543</v>
      </c>
      <c r="BJ13" s="51"/>
      <c r="BK13" s="50">
        <f t="shared" si="45"/>
        <v>9395.042</v>
      </c>
      <c r="BL13" s="52">
        <f t="shared" si="46"/>
        <v>187.90084</v>
      </c>
      <c r="BM13" s="50">
        <f t="shared" si="47"/>
        <v>9582.94284</v>
      </c>
      <c r="BN13" s="50">
        <f t="shared" si="48"/>
        <v>207.4115146</v>
      </c>
      <c r="BO13" s="50">
        <f t="shared" si="49"/>
        <v>187.59527309999999</v>
      </c>
      <c r="BP13" s="51"/>
      <c r="BQ13" s="50">
        <f t="shared" si="50"/>
        <v>10.918000000000001</v>
      </c>
      <c r="BR13" s="52">
        <f t="shared" si="51"/>
        <v>0.21836</v>
      </c>
      <c r="BS13" s="50">
        <f t="shared" si="52"/>
        <v>11.136360000000002</v>
      </c>
      <c r="BT13" s="50">
        <f t="shared" si="53"/>
        <v>0.2410334</v>
      </c>
      <c r="BU13" s="50">
        <f t="shared" si="54"/>
        <v>0.2180049</v>
      </c>
      <c r="BV13" s="51"/>
      <c r="BW13" s="50">
        <f t="shared" si="55"/>
        <v>3096.5919999999996</v>
      </c>
      <c r="BX13" s="52">
        <f t="shared" si="56"/>
        <v>61.931839999999994</v>
      </c>
      <c r="BY13" s="50">
        <f t="shared" si="57"/>
        <v>3158.52384</v>
      </c>
      <c r="BZ13" s="50">
        <f t="shared" si="58"/>
        <v>68.3625296</v>
      </c>
      <c r="CA13" s="50">
        <f t="shared" si="59"/>
        <v>61.83112559999999</v>
      </c>
      <c r="CB13" s="51"/>
      <c r="CC13" s="50">
        <f t="shared" si="60"/>
        <v>345.25600000000003</v>
      </c>
      <c r="CD13" s="52">
        <f t="shared" si="61"/>
        <v>6.90512</v>
      </c>
      <c r="CE13" s="50">
        <f t="shared" si="62"/>
        <v>352.16112000000004</v>
      </c>
      <c r="CF13" s="50">
        <f t="shared" si="63"/>
        <v>7.6221128</v>
      </c>
      <c r="CG13" s="50">
        <f t="shared" si="64"/>
        <v>6.8938908</v>
      </c>
      <c r="CH13" s="51"/>
      <c r="CI13" s="50">
        <f t="shared" si="65"/>
        <v>621.914</v>
      </c>
      <c r="CJ13" s="52">
        <f t="shared" si="66"/>
        <v>12.43828</v>
      </c>
      <c r="CK13" s="50">
        <f t="shared" si="67"/>
        <v>634.35228</v>
      </c>
      <c r="CL13" s="50">
        <f t="shared" si="68"/>
        <v>13.7298082</v>
      </c>
      <c r="CM13" s="50">
        <f t="shared" si="69"/>
        <v>12.4180527</v>
      </c>
      <c r="CN13" s="51"/>
      <c r="CO13" s="50">
        <f t="shared" si="70"/>
        <v>621.5020000000001</v>
      </c>
      <c r="CP13" s="52">
        <f t="shared" si="71"/>
        <v>12.43004</v>
      </c>
      <c r="CQ13" s="50">
        <f t="shared" si="72"/>
        <v>633.93204</v>
      </c>
      <c r="CR13" s="50">
        <f t="shared" si="73"/>
        <v>13.7207126</v>
      </c>
      <c r="CS13" s="50">
        <f t="shared" si="74"/>
        <v>12.4098261</v>
      </c>
      <c r="CT13" s="51"/>
      <c r="CU13" s="50">
        <f t="shared" si="75"/>
        <v>3069.4</v>
      </c>
      <c r="CV13" s="52">
        <f t="shared" si="76"/>
        <v>61.388</v>
      </c>
      <c r="CW13" s="50">
        <f t="shared" si="77"/>
        <v>3130.788</v>
      </c>
      <c r="CX13" s="50">
        <f t="shared" si="78"/>
        <v>67.76222</v>
      </c>
      <c r="CY13" s="50">
        <f t="shared" si="79"/>
        <v>61.28817</v>
      </c>
      <c r="CZ13" s="51"/>
      <c r="DA13" s="50">
        <f t="shared" si="80"/>
        <v>5788.188</v>
      </c>
      <c r="DB13" s="52">
        <f t="shared" si="81"/>
        <v>115.76375999999999</v>
      </c>
      <c r="DC13" s="50">
        <f t="shared" si="82"/>
        <v>5903.95176</v>
      </c>
      <c r="DD13" s="50">
        <f t="shared" si="83"/>
        <v>127.7840844</v>
      </c>
      <c r="DE13" s="50">
        <f t="shared" si="84"/>
        <v>115.5755034</v>
      </c>
      <c r="DF13" s="51"/>
      <c r="DG13" s="50">
        <f t="shared" si="85"/>
        <v>3082.996</v>
      </c>
      <c r="DH13" s="52">
        <f t="shared" si="86"/>
        <v>61.65992</v>
      </c>
      <c r="DI13" s="50">
        <f t="shared" si="87"/>
        <v>3144.65592</v>
      </c>
      <c r="DJ13" s="50">
        <f t="shared" si="88"/>
        <v>68.0623748</v>
      </c>
      <c r="DK13" s="50">
        <f t="shared" si="89"/>
        <v>61.5596478</v>
      </c>
      <c r="DL13" s="51"/>
      <c r="DM13" s="50">
        <f t="shared" si="90"/>
        <v>4723.992</v>
      </c>
      <c r="DN13" s="52">
        <f t="shared" si="91"/>
        <v>94.47984</v>
      </c>
      <c r="DO13" s="50">
        <f t="shared" si="92"/>
        <v>4818.47184</v>
      </c>
      <c r="DP13" s="50">
        <f t="shared" si="93"/>
        <v>104.2901496</v>
      </c>
      <c r="DQ13" s="50">
        <f t="shared" si="94"/>
        <v>94.3261956</v>
      </c>
      <c r="DR13" s="51"/>
      <c r="DS13" s="50">
        <f t="shared" si="95"/>
        <v>5624.624</v>
      </c>
      <c r="DT13" s="52">
        <f t="shared" si="96"/>
        <v>112.49248</v>
      </c>
      <c r="DU13" s="50">
        <f t="shared" si="97"/>
        <v>5737.11648</v>
      </c>
      <c r="DV13" s="50">
        <f t="shared" si="98"/>
        <v>124.1731312</v>
      </c>
      <c r="DW13" s="50">
        <f t="shared" si="99"/>
        <v>112.30954320000001</v>
      </c>
      <c r="DX13" s="53"/>
      <c r="DY13" s="53"/>
      <c r="DZ13" s="53"/>
      <c r="EA13" s="53"/>
      <c r="EB13" s="53"/>
    </row>
    <row r="14" spans="3:132" ht="12.75">
      <c r="C14" s="24"/>
      <c r="D14" s="24"/>
      <c r="E14" s="24"/>
      <c r="F14" s="24"/>
      <c r="G14" s="24"/>
      <c r="H14" s="24"/>
      <c r="I14" s="52"/>
      <c r="J14" s="52"/>
      <c r="K14" s="52"/>
      <c r="L14" s="52"/>
      <c r="M14" s="52"/>
      <c r="N14" s="51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1"/>
      <c r="BK14" s="52"/>
      <c r="BL14" s="52"/>
      <c r="BM14" s="52"/>
      <c r="BN14" s="52"/>
      <c r="BO14" s="52"/>
      <c r="BP14" s="51"/>
      <c r="BQ14" s="52"/>
      <c r="BR14" s="52"/>
      <c r="BS14" s="52"/>
      <c r="BT14" s="52"/>
      <c r="BU14" s="52"/>
      <c r="BV14" s="51"/>
      <c r="BW14" s="52"/>
      <c r="BX14" s="52"/>
      <c r="BY14" s="52"/>
      <c r="BZ14" s="52"/>
      <c r="CA14" s="52"/>
      <c r="CB14" s="51"/>
      <c r="CC14" s="52"/>
      <c r="CD14" s="52"/>
      <c r="CE14" s="52"/>
      <c r="CF14" s="52"/>
      <c r="CG14" s="52"/>
      <c r="CH14" s="51"/>
      <c r="CI14" s="52"/>
      <c r="CJ14" s="52"/>
      <c r="CK14" s="52"/>
      <c r="CL14" s="52"/>
      <c r="CM14" s="52"/>
      <c r="CN14" s="51"/>
      <c r="CO14" s="52"/>
      <c r="CP14" s="52"/>
      <c r="CQ14" s="52"/>
      <c r="CR14" s="52"/>
      <c r="CS14" s="52"/>
      <c r="CT14" s="51"/>
      <c r="CU14" s="52"/>
      <c r="CV14" s="52"/>
      <c r="CW14" s="52"/>
      <c r="CX14" s="52"/>
      <c r="CY14" s="52"/>
      <c r="CZ14" s="51"/>
      <c r="DA14" s="52"/>
      <c r="DB14" s="52"/>
      <c r="DC14" s="52"/>
      <c r="DD14" s="52"/>
      <c r="DE14" s="52"/>
      <c r="DF14" s="51"/>
      <c r="DG14" s="52"/>
      <c r="DH14" s="52"/>
      <c r="DI14" s="52"/>
      <c r="DJ14" s="52"/>
      <c r="DK14" s="52"/>
      <c r="DL14" s="51"/>
      <c r="DM14" s="52"/>
      <c r="DN14" s="52"/>
      <c r="DO14" s="52"/>
      <c r="DP14" s="52"/>
      <c r="DQ14" s="52"/>
      <c r="DR14" s="51"/>
      <c r="DS14" s="52"/>
      <c r="DT14" s="52"/>
      <c r="DU14" s="52"/>
      <c r="DV14" s="52"/>
      <c r="DW14" s="52"/>
      <c r="DX14" s="51"/>
      <c r="DY14" s="51"/>
      <c r="DZ14" s="51"/>
      <c r="EA14" s="51"/>
      <c r="EB14" s="51"/>
    </row>
    <row r="15" spans="1:132" ht="13.5" thickBot="1">
      <c r="A15" s="15" t="s">
        <v>0</v>
      </c>
      <c r="C15" s="31">
        <f>SUM(C8:C14)</f>
        <v>5945000</v>
      </c>
      <c r="D15" s="31">
        <f>SUM(D8:D14)</f>
        <v>481800</v>
      </c>
      <c r="E15" s="31">
        <f>SUM(E8:E14)</f>
        <v>6426800</v>
      </c>
      <c r="F15" s="31">
        <f>SUM(F8:F14)</f>
        <v>272903</v>
      </c>
      <c r="G15" s="31">
        <f>SUM(G8:G14)</f>
        <v>246813</v>
      </c>
      <c r="H15" s="24"/>
      <c r="I15" s="54">
        <f>SUM(I8:I14)</f>
        <v>600481.859</v>
      </c>
      <c r="J15" s="54">
        <f>SUM(J8:J14)</f>
        <v>48664.78716</v>
      </c>
      <c r="K15" s="54">
        <f>SUM(K8:K14)</f>
        <v>649146.64616</v>
      </c>
      <c r="L15" s="54">
        <f>SUM(L8:L14)</f>
        <v>27564.894998600004</v>
      </c>
      <c r="M15" s="54">
        <f>SUM(M8:M14)</f>
        <v>24929.643240600002</v>
      </c>
      <c r="N15" s="51"/>
      <c r="O15" s="54">
        <f>SUM(O8:O14)</f>
        <v>64907.51</v>
      </c>
      <c r="P15" s="54">
        <f>SUM(P8:P14)</f>
        <v>5260.2924</v>
      </c>
      <c r="Q15" s="54">
        <f>SUM(Q8:Q14)</f>
        <v>70167.8024</v>
      </c>
      <c r="R15" s="54">
        <f>SUM(R8:R14)</f>
        <v>2979.554954</v>
      </c>
      <c r="S15" s="54">
        <f>SUM(S8:S14)</f>
        <v>2694.7043340000005</v>
      </c>
      <c r="T15" s="52"/>
      <c r="U15" s="54">
        <f>SUM(U8:U14)</f>
        <v>135169.6815</v>
      </c>
      <c r="V15" s="54">
        <f>SUM(V8:V14)</f>
        <v>10954.542059999998</v>
      </c>
      <c r="W15" s="54">
        <f>SUM(W8:W14)</f>
        <v>146124.22355999998</v>
      </c>
      <c r="X15" s="54">
        <f>SUM(X8:X14)</f>
        <v>6204.9136401</v>
      </c>
      <c r="Y15" s="54">
        <f>SUM(Y8:Y14)</f>
        <v>5611.7131371</v>
      </c>
      <c r="Z15" s="52"/>
      <c r="AA15" s="54">
        <f>SUM(AA8:AA14)</f>
        <v>8036.451000000001</v>
      </c>
      <c r="AB15" s="54">
        <f>SUM(AB8:AB14)</f>
        <v>651.29724</v>
      </c>
      <c r="AC15" s="54">
        <f>SUM(AC8:AC14)</f>
        <v>8687.74824</v>
      </c>
      <c r="AD15" s="54">
        <f>SUM(AD8:AD14)</f>
        <v>368.9102754</v>
      </c>
      <c r="AE15" s="54">
        <f>SUM(AE8:AE14)</f>
        <v>333.6418134</v>
      </c>
      <c r="AF15" s="52"/>
      <c r="AG15" s="54">
        <f>SUM(AG8:AG14)</f>
        <v>1367.3500000000001</v>
      </c>
      <c r="AH15" s="54">
        <f>SUM(AH8:AH14)</f>
        <v>110.81400000000001</v>
      </c>
      <c r="AI15" s="54">
        <f>SUM(AI8:AI14)</f>
        <v>1478.164</v>
      </c>
      <c r="AJ15" s="54">
        <f>SUM(AJ8:AJ14)</f>
        <v>62.76769</v>
      </c>
      <c r="AK15" s="54">
        <f>SUM(AK8:AK14)</f>
        <v>56.76699000000001</v>
      </c>
      <c r="AL15" s="52"/>
      <c r="AM15" s="54">
        <f>SUM(AM8:AM14)</f>
        <v>271365.47000000003</v>
      </c>
      <c r="AN15" s="54">
        <f>SUM(AN8:AN14)</f>
        <v>21992.2428</v>
      </c>
      <c r="AO15" s="54">
        <f>SUM(AO8:AO14)</f>
        <v>293357.71280000004</v>
      </c>
      <c r="AP15" s="54">
        <f>SUM(AP8:AP14)</f>
        <v>12456.930338</v>
      </c>
      <c r="AQ15" s="54">
        <f>SUM(AQ8:AQ14)</f>
        <v>11266.026198</v>
      </c>
      <c r="AR15" s="52"/>
      <c r="AS15" s="54">
        <f>SUM(AS8:AS14)</f>
        <v>3206.1385000000005</v>
      </c>
      <c r="AT15" s="54">
        <f>SUM(AT8:AT14)</f>
        <v>259.83474</v>
      </c>
      <c r="AU15" s="54">
        <f>SUM(AU8:AU14)</f>
        <v>3465.9732400000007</v>
      </c>
      <c r="AV15" s="54">
        <f>SUM(AV8:AV14)</f>
        <v>147.17658790000002</v>
      </c>
      <c r="AW15" s="54">
        <f>SUM(AW8:AW14)</f>
        <v>133.10625090000002</v>
      </c>
      <c r="AX15" s="52"/>
      <c r="AY15" s="54">
        <f>SUM(AY8:AY14)</f>
        <v>10979.8205</v>
      </c>
      <c r="AZ15" s="54">
        <f>SUM(AZ8:AZ14)</f>
        <v>889.83642</v>
      </c>
      <c r="BA15" s="54">
        <f>SUM(BA8:BA14)</f>
        <v>11869.65692</v>
      </c>
      <c r="BB15" s="54">
        <f>SUM(BB8:BB14)</f>
        <v>504.02455069999996</v>
      </c>
      <c r="BC15" s="54">
        <f>SUM(BC8:BC14)</f>
        <v>455.8389297</v>
      </c>
      <c r="BD15" s="52"/>
      <c r="BE15" s="54">
        <f>SUM(BE8:BE14)</f>
        <v>458.3595</v>
      </c>
      <c r="BF15" s="54">
        <f>SUM(BF8:BF14)</f>
        <v>37.14677999999999</v>
      </c>
      <c r="BG15" s="54">
        <f>SUM(BG8:BG14)</f>
        <v>495.50628000000006</v>
      </c>
      <c r="BH15" s="54">
        <f>SUM(BH8:BH14)</f>
        <v>21.0408213</v>
      </c>
      <c r="BI15" s="54">
        <f>SUM(BI8:BI14)</f>
        <v>19.029282300000002</v>
      </c>
      <c r="BJ15" s="51"/>
      <c r="BK15" s="54">
        <f>SUM(BK8:BK14)</f>
        <v>27113.3615</v>
      </c>
      <c r="BL15" s="54">
        <f>SUM(BL8:BL14)</f>
        <v>2197.34526</v>
      </c>
      <c r="BM15" s="54">
        <f>SUM(BM8:BM14)</f>
        <v>29310.706759999994</v>
      </c>
      <c r="BN15" s="54">
        <f>SUM(BN8:BN14)</f>
        <v>1244.6287121</v>
      </c>
      <c r="BO15" s="54">
        <f>SUM(BO8:BO14)</f>
        <v>1125.6400491</v>
      </c>
      <c r="BP15" s="51"/>
      <c r="BQ15" s="54">
        <f>SUM(BQ8:BQ14)</f>
        <v>31.508499999999998</v>
      </c>
      <c r="BR15" s="54">
        <f>SUM(BR8:BR14)</f>
        <v>2.5535400000000004</v>
      </c>
      <c r="BS15" s="54">
        <f>SUM(BS8:BS14)</f>
        <v>34.06204</v>
      </c>
      <c r="BT15" s="54">
        <f>SUM(BT8:BT14)</f>
        <v>1.4463859000000001</v>
      </c>
      <c r="BU15" s="54">
        <f>SUM(BU8:BU14)</f>
        <v>1.3081089000000001</v>
      </c>
      <c r="BV15" s="51"/>
      <c r="BW15" s="54">
        <f>SUM(BW8:BW14)</f>
        <v>8936.524</v>
      </c>
      <c r="BX15" s="54">
        <f>SUM(BX8:BX14)</f>
        <v>724.2417599999999</v>
      </c>
      <c r="BY15" s="54">
        <f>SUM(BY8:BY14)</f>
        <v>9660.76576</v>
      </c>
      <c r="BZ15" s="54">
        <f>SUM(BZ8:BZ14)</f>
        <v>410.22778960000005</v>
      </c>
      <c r="CA15" s="54">
        <f>SUM(CA8:CA14)</f>
        <v>371.0093016</v>
      </c>
      <c r="CB15" s="51"/>
      <c r="CC15" s="54">
        <f>SUM(CC8:CC14)</f>
        <v>996.3820000000001</v>
      </c>
      <c r="CD15" s="54">
        <f>SUM(CD8:CD14)</f>
        <v>80.74968</v>
      </c>
      <c r="CE15" s="54">
        <f>SUM(CE8:CE14)</f>
        <v>1077.1316800000002</v>
      </c>
      <c r="CF15" s="54">
        <f>SUM(CF8:CF14)</f>
        <v>45.738542800000005</v>
      </c>
      <c r="CG15" s="54">
        <f>SUM(CG8:CG14)</f>
        <v>41.3658588</v>
      </c>
      <c r="CH15" s="51"/>
      <c r="CI15" s="54">
        <f>SUM(CI8:CI14)</f>
        <v>1794.7955</v>
      </c>
      <c r="CJ15" s="54">
        <f>SUM(CJ8:CJ14)</f>
        <v>145.45541999999998</v>
      </c>
      <c r="CK15" s="54">
        <f>SUM(CK8:CK14)</f>
        <v>1940.25092</v>
      </c>
      <c r="CL15" s="54">
        <f>SUM(CL8:CL14)</f>
        <v>82.3894157</v>
      </c>
      <c r="CM15" s="54">
        <f>SUM(CM8:CM14)</f>
        <v>74.5128447</v>
      </c>
      <c r="CN15" s="51"/>
      <c r="CO15" s="54">
        <f>SUM(CO8:CO14)</f>
        <v>1793.6064999999999</v>
      </c>
      <c r="CP15" s="54">
        <f>SUM(CP8:CP14)</f>
        <v>145.35905999999997</v>
      </c>
      <c r="CQ15" s="54">
        <f>SUM(CQ8:CQ14)</f>
        <v>1938.9655599999996</v>
      </c>
      <c r="CR15" s="54">
        <f>SUM(CR8:CR14)</f>
        <v>82.3348351</v>
      </c>
      <c r="CS15" s="54">
        <f>SUM(CS8:CS14)</f>
        <v>74.46348210000001</v>
      </c>
      <c r="CT15" s="51"/>
      <c r="CU15" s="54">
        <f>SUM(CU8:CU14)</f>
        <v>8858.05</v>
      </c>
      <c r="CV15" s="54">
        <f>SUM(CV8:CV14)</f>
        <v>717.8820000000001</v>
      </c>
      <c r="CW15" s="54">
        <f>SUM(CW8:CW14)</f>
        <v>9575.931999999999</v>
      </c>
      <c r="CX15" s="54">
        <f>SUM(CX8:CX14)</f>
        <v>406.62547</v>
      </c>
      <c r="CY15" s="54">
        <f>SUM(CY8:CY14)</f>
        <v>367.75136999999995</v>
      </c>
      <c r="CZ15" s="51"/>
      <c r="DA15" s="54">
        <f>SUM(DA8:DA14)</f>
        <v>16704.261</v>
      </c>
      <c r="DB15" s="54">
        <f>SUM(DB8:DB14)</f>
        <v>1353.7616400000002</v>
      </c>
      <c r="DC15" s="54">
        <f>SUM(DC8:DC14)</f>
        <v>18058.022639999996</v>
      </c>
      <c r="DD15" s="54">
        <f>SUM(DD8:DD14)</f>
        <v>766.8028494</v>
      </c>
      <c r="DE15" s="54">
        <f>SUM(DE8:DE14)</f>
        <v>693.4951674</v>
      </c>
      <c r="DF15" s="51"/>
      <c r="DG15" s="54">
        <f>SUM(DG8:DG14)</f>
        <v>8897.287</v>
      </c>
      <c r="DH15" s="54">
        <f>SUM(DH8:DH14)</f>
        <v>721.06188</v>
      </c>
      <c r="DI15" s="54">
        <f>SUM(DI8:DI14)</f>
        <v>9618.348880000001</v>
      </c>
      <c r="DJ15" s="54">
        <f>SUM(DJ8:DJ14)</f>
        <v>408.4266298</v>
      </c>
      <c r="DK15" s="54">
        <f>SUM(DK8:DK14)</f>
        <v>369.3803358</v>
      </c>
      <c r="DL15" s="51"/>
      <c r="DM15" s="54">
        <f>SUM(DM8:DM14)</f>
        <v>13633.074</v>
      </c>
      <c r="DN15" s="54">
        <f>SUM(DN8:DN14)</f>
        <v>1104.86376</v>
      </c>
      <c r="DO15" s="54">
        <f>SUM(DO8:DO14)</f>
        <v>14737.93776</v>
      </c>
      <c r="DP15" s="54">
        <f>SUM(DP8:DP14)</f>
        <v>625.8211596000001</v>
      </c>
      <c r="DQ15" s="54">
        <f>SUM(DQ8:DQ14)</f>
        <v>565.9915716</v>
      </c>
      <c r="DR15" s="51"/>
      <c r="DS15" s="54">
        <f>SUM(DS8:DS14)</f>
        <v>16232.228</v>
      </c>
      <c r="DT15" s="54">
        <f>SUM(DT8:DT14)</f>
        <v>1315.5067199999999</v>
      </c>
      <c r="DU15" s="54">
        <f>SUM(DU8:DU14)</f>
        <v>17547.73472</v>
      </c>
      <c r="DV15" s="54">
        <f>SUM(DV8:DV14)</f>
        <v>745.1343512000001</v>
      </c>
      <c r="DW15" s="54">
        <f>SUM(DW8:DW14)</f>
        <v>673.8982152000001</v>
      </c>
      <c r="DX15" s="51"/>
      <c r="DY15" s="51"/>
      <c r="DZ15" s="51"/>
      <c r="EA15" s="51"/>
      <c r="EB15" s="51"/>
    </row>
    <row r="16" spans="63:127" ht="13.5" thickTop="1">
      <c r="BK16" s="17"/>
      <c r="BL16" s="17"/>
      <c r="BM16" s="17"/>
      <c r="BN16" s="17"/>
      <c r="BO16" s="17"/>
      <c r="BQ16" s="17"/>
      <c r="BR16" s="17"/>
      <c r="BS16" s="17"/>
      <c r="BT16" s="17"/>
      <c r="BU16" s="17"/>
      <c r="BW16" s="17"/>
      <c r="BX16" s="17"/>
      <c r="BY16" s="17"/>
      <c r="BZ16" s="17"/>
      <c r="CA16" s="17"/>
      <c r="CC16" s="17"/>
      <c r="CD16" s="17"/>
      <c r="CE16" s="17"/>
      <c r="CF16" s="17"/>
      <c r="CG16" s="17"/>
      <c r="CI16" s="17"/>
      <c r="CJ16" s="17"/>
      <c r="CK16" s="17"/>
      <c r="CL16" s="17"/>
      <c r="CM16" s="17"/>
      <c r="CO16" s="17"/>
      <c r="CP16" s="17"/>
      <c r="CQ16" s="17"/>
      <c r="CR16" s="17"/>
      <c r="CS16" s="17"/>
      <c r="CU16" s="17"/>
      <c r="CV16" s="17"/>
      <c r="CW16" s="17"/>
      <c r="CX16" s="17"/>
      <c r="CY16" s="17"/>
      <c r="DA16" s="17"/>
      <c r="DB16" s="17"/>
      <c r="DC16" s="17"/>
      <c r="DD16" s="17"/>
      <c r="DE16" s="17"/>
      <c r="DG16" s="17"/>
      <c r="DH16" s="17"/>
      <c r="DI16" s="17"/>
      <c r="DJ16" s="17"/>
      <c r="DK16" s="17"/>
      <c r="DM16" s="17"/>
      <c r="DN16" s="17"/>
      <c r="DO16" s="17"/>
      <c r="DP16" s="17"/>
      <c r="DQ16" s="17"/>
      <c r="DS16" s="17"/>
      <c r="DT16" s="17"/>
      <c r="DU16" s="17"/>
      <c r="DV16" s="17"/>
      <c r="DW16" s="17"/>
    </row>
    <row r="17" spans="1:115" ht="12.75">
      <c r="A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K17" s="17"/>
      <c r="BL17" s="17"/>
      <c r="BM17" s="17"/>
      <c r="BN17" s="17"/>
      <c r="BO17" s="17"/>
      <c r="BQ17" s="17"/>
      <c r="BR17" s="17"/>
      <c r="BS17" s="17"/>
      <c r="BT17" s="17"/>
      <c r="BU17" s="17"/>
      <c r="BW17" s="17"/>
      <c r="BX17" s="17"/>
      <c r="BY17" s="17"/>
      <c r="BZ17" s="17"/>
      <c r="CA17" s="17"/>
      <c r="CC17" s="17"/>
      <c r="CD17" s="17"/>
      <c r="CE17" s="17"/>
      <c r="CF17" s="17"/>
      <c r="CG17" s="17"/>
      <c r="CI17" s="17"/>
      <c r="CJ17" s="17"/>
      <c r="CK17" s="17"/>
      <c r="CL17" s="17"/>
      <c r="CM17" s="17"/>
      <c r="CO17" s="17"/>
      <c r="CP17" s="17"/>
      <c r="CQ17" s="17"/>
      <c r="CR17" s="17"/>
      <c r="CS17" s="17"/>
      <c r="CU17" s="17"/>
      <c r="CV17" s="17"/>
      <c r="CW17" s="17"/>
      <c r="CX17" s="17"/>
      <c r="CY17" s="17"/>
      <c r="DA17" s="17"/>
      <c r="DB17" s="17"/>
      <c r="DC17" s="17"/>
      <c r="DD17" s="17"/>
      <c r="DE17" s="17"/>
      <c r="DG17" s="17"/>
      <c r="DH17" s="17"/>
      <c r="DI17" s="17"/>
      <c r="DJ17" s="17"/>
      <c r="DK17" s="17"/>
    </row>
    <row r="18" spans="1:115" ht="12.75">
      <c r="A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K18" s="17"/>
      <c r="BL18" s="17"/>
      <c r="BM18" s="17"/>
      <c r="BN18" s="17"/>
      <c r="BO18" s="17"/>
      <c r="BQ18" s="17"/>
      <c r="BR18" s="17"/>
      <c r="BS18" s="17"/>
      <c r="BT18" s="17"/>
      <c r="BU18" s="17"/>
      <c r="BW18" s="17"/>
      <c r="BX18" s="17"/>
      <c r="BY18" s="17"/>
      <c r="BZ18" s="17"/>
      <c r="CA18" s="17"/>
      <c r="CC18" s="17"/>
      <c r="CD18" s="17"/>
      <c r="CE18" s="17"/>
      <c r="CF18" s="17"/>
      <c r="CG18" s="17"/>
      <c r="CI18" s="17"/>
      <c r="CJ18" s="17"/>
      <c r="CK18" s="17"/>
      <c r="CL18" s="17"/>
      <c r="CM18" s="17"/>
      <c r="CO18" s="17"/>
      <c r="CP18" s="17"/>
      <c r="CQ18" s="17"/>
      <c r="CR18" s="17"/>
      <c r="CS18" s="17"/>
      <c r="CU18" s="17"/>
      <c r="CV18" s="17"/>
      <c r="CW18" s="17"/>
      <c r="CX18" s="17"/>
      <c r="CY18" s="17"/>
      <c r="DA18" s="17"/>
      <c r="DB18" s="17"/>
      <c r="DC18" s="17"/>
      <c r="DD18" s="17"/>
      <c r="DE18" s="17"/>
      <c r="DG18" s="17"/>
      <c r="DH18" s="17"/>
      <c r="DI18" s="17"/>
      <c r="DJ18" s="17"/>
      <c r="DK18" s="17"/>
    </row>
    <row r="19" spans="1:115" ht="12.75">
      <c r="A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K19" s="17"/>
      <c r="BL19" s="17"/>
      <c r="BM19" s="17"/>
      <c r="BN19" s="17"/>
      <c r="BO19" s="17"/>
      <c r="BQ19" s="17"/>
      <c r="BR19" s="17"/>
      <c r="BS19" s="17"/>
      <c r="BT19" s="17"/>
      <c r="BU19" s="17"/>
      <c r="BW19" s="17"/>
      <c r="BX19" s="17"/>
      <c r="BY19" s="17"/>
      <c r="BZ19" s="17"/>
      <c r="CA19" s="17"/>
      <c r="CC19" s="17"/>
      <c r="CD19" s="17"/>
      <c r="CE19" s="17"/>
      <c r="CF19" s="17"/>
      <c r="CG19" s="17"/>
      <c r="CI19" s="17"/>
      <c r="CJ19" s="17"/>
      <c r="CK19" s="17"/>
      <c r="CL19" s="17"/>
      <c r="CM19" s="17"/>
      <c r="CO19" s="17"/>
      <c r="CP19" s="17"/>
      <c r="CQ19" s="17"/>
      <c r="CR19" s="17"/>
      <c r="CS19" s="17"/>
      <c r="CU19" s="17"/>
      <c r="CV19" s="17"/>
      <c r="CW19" s="17"/>
      <c r="CX19" s="17"/>
      <c r="CY19" s="17"/>
      <c r="DA19" s="17"/>
      <c r="DB19" s="17"/>
      <c r="DC19" s="17"/>
      <c r="DD19" s="17"/>
      <c r="DE19" s="17"/>
      <c r="DG19" s="17"/>
      <c r="DH19" s="17"/>
      <c r="DI19" s="17"/>
      <c r="DJ19" s="17"/>
      <c r="DK19" s="17"/>
    </row>
    <row r="20" spans="1:115" ht="12.75">
      <c r="A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K20" s="17"/>
      <c r="BL20" s="17"/>
      <c r="BM20" s="17"/>
      <c r="BN20" s="17"/>
      <c r="BO20" s="17"/>
      <c r="BQ20" s="17"/>
      <c r="BR20" s="17"/>
      <c r="BS20" s="17"/>
      <c r="BT20" s="17"/>
      <c r="BU20" s="17"/>
      <c r="BW20" s="17"/>
      <c r="BX20" s="17"/>
      <c r="BY20" s="17"/>
      <c r="BZ20" s="17"/>
      <c r="CA20" s="17"/>
      <c r="CC20" s="17"/>
      <c r="CD20" s="17"/>
      <c r="CE20" s="17"/>
      <c r="CF20" s="17"/>
      <c r="CG20" s="17"/>
      <c r="CI20" s="17"/>
      <c r="CJ20" s="17"/>
      <c r="CK20" s="17"/>
      <c r="CL20" s="17"/>
      <c r="CM20" s="17"/>
      <c r="CO20" s="17"/>
      <c r="CP20" s="17"/>
      <c r="CQ20" s="17"/>
      <c r="CR20" s="17"/>
      <c r="CS20" s="17"/>
      <c r="CU20" s="17"/>
      <c r="CV20" s="17"/>
      <c r="CW20" s="17"/>
      <c r="CX20" s="17"/>
      <c r="CY20" s="17"/>
      <c r="DA20" s="17"/>
      <c r="DB20" s="17"/>
      <c r="DC20" s="17"/>
      <c r="DD20" s="17"/>
      <c r="DE20" s="17"/>
      <c r="DG20" s="17"/>
      <c r="DH20" s="17"/>
      <c r="DI20" s="17"/>
      <c r="DJ20" s="17"/>
      <c r="DK20" s="17"/>
    </row>
    <row r="21" spans="1:115" ht="12.75">
      <c r="A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K21" s="17"/>
      <c r="BL21" s="17"/>
      <c r="BM21" s="17"/>
      <c r="BN21" s="17"/>
      <c r="BO21" s="17"/>
      <c r="BQ21" s="17"/>
      <c r="BR21" s="17"/>
      <c r="BS21" s="17"/>
      <c r="BT21" s="17"/>
      <c r="BU21" s="17"/>
      <c r="BW21" s="17"/>
      <c r="BX21" s="17"/>
      <c r="BY21" s="17"/>
      <c r="BZ21" s="17"/>
      <c r="CA21" s="17"/>
      <c r="CC21" s="17"/>
      <c r="CD21" s="17"/>
      <c r="CE21" s="17"/>
      <c r="CF21" s="17"/>
      <c r="CG21" s="17"/>
      <c r="CI21" s="17"/>
      <c r="CJ21" s="17"/>
      <c r="CK21" s="17"/>
      <c r="CL21" s="17"/>
      <c r="CM21" s="17"/>
      <c r="CO21" s="17"/>
      <c r="CP21" s="17"/>
      <c r="CQ21" s="17"/>
      <c r="CR21" s="17"/>
      <c r="CS21" s="17"/>
      <c r="CU21" s="17"/>
      <c r="CV21" s="17"/>
      <c r="CW21" s="17"/>
      <c r="CX21" s="17"/>
      <c r="CY21" s="17"/>
      <c r="DA21" s="17"/>
      <c r="DB21" s="17"/>
      <c r="DC21" s="17"/>
      <c r="DD21" s="17"/>
      <c r="DE21" s="17"/>
      <c r="DG21" s="17"/>
      <c r="DH21" s="17"/>
      <c r="DI21" s="17"/>
      <c r="DJ21" s="17"/>
      <c r="DK21" s="17"/>
    </row>
    <row r="22" spans="1:115" ht="12.75">
      <c r="A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K22" s="17"/>
      <c r="BL22" s="17"/>
      <c r="BM22" s="17"/>
      <c r="BN22" s="17"/>
      <c r="BO22" s="17"/>
      <c r="BQ22" s="17"/>
      <c r="BR22" s="17"/>
      <c r="BS22" s="17"/>
      <c r="BT22" s="17"/>
      <c r="BU22" s="17"/>
      <c r="BW22" s="17"/>
      <c r="BX22" s="17"/>
      <c r="BY22" s="17"/>
      <c r="BZ22" s="17"/>
      <c r="CA22" s="17"/>
      <c r="CC22" s="17"/>
      <c r="CD22" s="17"/>
      <c r="CE22" s="17"/>
      <c r="CF22" s="17"/>
      <c r="CG22" s="17"/>
      <c r="CI22" s="17"/>
      <c r="CJ22" s="17"/>
      <c r="CK22" s="17"/>
      <c r="CL22" s="17"/>
      <c r="CM22" s="17"/>
      <c r="CO22" s="17"/>
      <c r="CP22" s="17"/>
      <c r="CQ22" s="17"/>
      <c r="CR22" s="17"/>
      <c r="CS22" s="17"/>
      <c r="CU22" s="17"/>
      <c r="CV22" s="17"/>
      <c r="CW22" s="17"/>
      <c r="CX22" s="17"/>
      <c r="CY22" s="17"/>
      <c r="DA22" s="17"/>
      <c r="DB22" s="17"/>
      <c r="DC22" s="17"/>
      <c r="DD22" s="17"/>
      <c r="DE22" s="17"/>
      <c r="DG22" s="17"/>
      <c r="DH22" s="17"/>
      <c r="DI22" s="17"/>
      <c r="DJ22" s="17"/>
      <c r="DK22" s="17"/>
    </row>
    <row r="23" spans="1:115" ht="12.75">
      <c r="A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K23" s="17"/>
      <c r="BL23" s="17"/>
      <c r="BM23" s="17"/>
      <c r="BN23" s="17"/>
      <c r="BO23" s="17"/>
      <c r="BQ23" s="17"/>
      <c r="BR23" s="17"/>
      <c r="BS23" s="17"/>
      <c r="BT23" s="17"/>
      <c r="BU23" s="17"/>
      <c r="BW23" s="17"/>
      <c r="BX23" s="17"/>
      <c r="BY23" s="17"/>
      <c r="BZ23" s="17"/>
      <c r="CA23" s="17"/>
      <c r="CC23" s="17"/>
      <c r="CD23" s="17"/>
      <c r="CE23" s="17"/>
      <c r="CF23" s="17"/>
      <c r="CG23" s="17"/>
      <c r="CI23" s="17"/>
      <c r="CJ23" s="17"/>
      <c r="CK23" s="17"/>
      <c r="CL23" s="17"/>
      <c r="CM23" s="17"/>
      <c r="CO23" s="17"/>
      <c r="CP23" s="17"/>
      <c r="CQ23" s="17"/>
      <c r="CR23" s="17"/>
      <c r="CS23" s="17"/>
      <c r="CU23" s="17"/>
      <c r="CV23" s="17"/>
      <c r="CW23" s="17"/>
      <c r="CX23" s="17"/>
      <c r="CY23" s="17"/>
      <c r="DA23" s="17"/>
      <c r="DB23" s="17"/>
      <c r="DC23" s="17"/>
      <c r="DD23" s="17"/>
      <c r="DE23" s="17"/>
      <c r="DG23" s="17"/>
      <c r="DH23" s="17"/>
      <c r="DI23" s="17"/>
      <c r="DJ23" s="17"/>
      <c r="DK23" s="17"/>
    </row>
    <row r="24" spans="1:115" ht="12.75">
      <c r="A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K24" s="17"/>
      <c r="BL24" s="17"/>
      <c r="BM24" s="17"/>
      <c r="BN24" s="17"/>
      <c r="BO24" s="17"/>
      <c r="BQ24" s="17"/>
      <c r="BR24" s="17"/>
      <c r="BS24" s="17"/>
      <c r="BT24" s="17"/>
      <c r="BU24" s="17"/>
      <c r="BW24" s="17"/>
      <c r="BX24" s="17"/>
      <c r="BY24" s="17"/>
      <c r="BZ24" s="17"/>
      <c r="CA24" s="17"/>
      <c r="CC24" s="17"/>
      <c r="CD24" s="17"/>
      <c r="CE24" s="17"/>
      <c r="CF24" s="17"/>
      <c r="CG24" s="17"/>
      <c r="CI24" s="17"/>
      <c r="CJ24" s="17"/>
      <c r="CK24" s="17"/>
      <c r="CL24" s="17"/>
      <c r="CM24" s="17"/>
      <c r="CO24" s="17"/>
      <c r="CP24" s="17"/>
      <c r="CQ24" s="17"/>
      <c r="CR24" s="17"/>
      <c r="CS24" s="17"/>
      <c r="CU24" s="17"/>
      <c r="CV24" s="17"/>
      <c r="CW24" s="17"/>
      <c r="CX24" s="17"/>
      <c r="CY24" s="17"/>
      <c r="DA24" s="17"/>
      <c r="DB24" s="17"/>
      <c r="DC24" s="17"/>
      <c r="DD24" s="17"/>
      <c r="DE24" s="17"/>
      <c r="DG24" s="17"/>
      <c r="DH24" s="17"/>
      <c r="DI24" s="17"/>
      <c r="DJ24" s="17"/>
      <c r="DK24" s="17"/>
    </row>
    <row r="25" spans="1:115" ht="12.75">
      <c r="A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K25" s="17"/>
      <c r="BL25" s="17"/>
      <c r="BM25" s="17"/>
      <c r="BN25" s="17"/>
      <c r="BO25" s="17"/>
      <c r="BQ25" s="17"/>
      <c r="BR25" s="17"/>
      <c r="BS25" s="17"/>
      <c r="BT25" s="17"/>
      <c r="BU25" s="17"/>
      <c r="BW25" s="17"/>
      <c r="BX25" s="17"/>
      <c r="BY25" s="17"/>
      <c r="BZ25" s="17"/>
      <c r="CA25" s="17"/>
      <c r="CC25" s="17"/>
      <c r="CD25" s="17"/>
      <c r="CE25" s="17"/>
      <c r="CF25" s="17"/>
      <c r="CG25" s="17"/>
      <c r="CI25" s="17"/>
      <c r="CJ25" s="17"/>
      <c r="CK25" s="17"/>
      <c r="CL25" s="17"/>
      <c r="CM25" s="17"/>
      <c r="CO25" s="17"/>
      <c r="CP25" s="17"/>
      <c r="CQ25" s="17"/>
      <c r="CR25" s="17"/>
      <c r="CS25" s="17"/>
      <c r="CU25" s="17"/>
      <c r="CV25" s="17"/>
      <c r="CW25" s="17"/>
      <c r="CX25" s="17"/>
      <c r="CY25" s="17"/>
      <c r="DA25" s="17"/>
      <c r="DB25" s="17"/>
      <c r="DC25" s="17"/>
      <c r="DD25" s="17"/>
      <c r="DE25" s="17"/>
      <c r="DG25" s="17"/>
      <c r="DH25" s="17"/>
      <c r="DI25" s="17"/>
      <c r="DJ25" s="17"/>
      <c r="DK25" s="17"/>
    </row>
    <row r="26" spans="1:115" ht="12.75">
      <c r="A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K26" s="17"/>
      <c r="BL26" s="17"/>
      <c r="BM26" s="17"/>
      <c r="BN26" s="17"/>
      <c r="BO26" s="17"/>
      <c r="BQ26" s="17"/>
      <c r="BR26" s="17"/>
      <c r="BS26" s="17"/>
      <c r="BT26" s="17"/>
      <c r="BU26" s="17"/>
      <c r="BW26" s="17"/>
      <c r="BX26" s="17"/>
      <c r="BY26" s="17"/>
      <c r="BZ26" s="17"/>
      <c r="CA26" s="17"/>
      <c r="CC26" s="17"/>
      <c r="CD26" s="17"/>
      <c r="CE26" s="17"/>
      <c r="CF26" s="17"/>
      <c r="CG26" s="17"/>
      <c r="CI26" s="17"/>
      <c r="CJ26" s="17"/>
      <c r="CK26" s="17"/>
      <c r="CL26" s="17"/>
      <c r="CM26" s="17"/>
      <c r="CO26" s="17"/>
      <c r="CP26" s="17"/>
      <c r="CQ26" s="17"/>
      <c r="CR26" s="17"/>
      <c r="CS26" s="17"/>
      <c r="CU26" s="17"/>
      <c r="CV26" s="17"/>
      <c r="CW26" s="17"/>
      <c r="CX26" s="17"/>
      <c r="CY26" s="17"/>
      <c r="DA26" s="17"/>
      <c r="DB26" s="17"/>
      <c r="DC26" s="17"/>
      <c r="DD26" s="17"/>
      <c r="DE26" s="17"/>
      <c r="DG26" s="17"/>
      <c r="DH26" s="17"/>
      <c r="DI26" s="17"/>
      <c r="DJ26" s="17"/>
      <c r="DK26" s="17"/>
    </row>
    <row r="27" spans="1:115" ht="12.75">
      <c r="A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K27" s="17"/>
      <c r="BL27" s="17"/>
      <c r="BM27" s="17"/>
      <c r="BN27" s="17"/>
      <c r="BO27" s="17"/>
      <c r="BQ27" s="17"/>
      <c r="BR27" s="17"/>
      <c r="BS27" s="17"/>
      <c r="BT27" s="17"/>
      <c r="BU27" s="17"/>
      <c r="BW27" s="17"/>
      <c r="BX27" s="17"/>
      <c r="BY27" s="17"/>
      <c r="BZ27" s="17"/>
      <c r="CA27" s="17"/>
      <c r="CC27" s="17"/>
      <c r="CD27" s="17"/>
      <c r="CE27" s="17"/>
      <c r="CF27" s="17"/>
      <c r="CG27" s="17"/>
      <c r="CI27" s="17"/>
      <c r="CJ27" s="17"/>
      <c r="CK27" s="17"/>
      <c r="CL27" s="17"/>
      <c r="CM27" s="17"/>
      <c r="CO27" s="17"/>
      <c r="CP27" s="17"/>
      <c r="CQ27" s="17"/>
      <c r="CR27" s="17"/>
      <c r="CS27" s="17"/>
      <c r="CU27" s="17"/>
      <c r="CV27" s="17"/>
      <c r="CW27" s="17"/>
      <c r="CX27" s="17"/>
      <c r="CY27" s="17"/>
      <c r="DA27" s="17"/>
      <c r="DB27" s="17"/>
      <c r="DC27" s="17"/>
      <c r="DD27" s="17"/>
      <c r="DE27" s="17"/>
      <c r="DG27" s="17"/>
      <c r="DH27" s="17"/>
      <c r="DI27" s="17"/>
      <c r="DJ27" s="17"/>
      <c r="DK27" s="17"/>
    </row>
    <row r="28" spans="1:115" ht="12.75">
      <c r="A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K28" s="17"/>
      <c r="BL28" s="17"/>
      <c r="BM28" s="17"/>
      <c r="BN28" s="17"/>
      <c r="BO28" s="17"/>
      <c r="BQ28" s="17"/>
      <c r="BR28" s="17"/>
      <c r="BS28" s="17"/>
      <c r="BT28" s="17"/>
      <c r="BU28" s="17"/>
      <c r="BW28" s="17"/>
      <c r="BX28" s="17"/>
      <c r="BY28" s="17"/>
      <c r="BZ28" s="17"/>
      <c r="CA28" s="17"/>
      <c r="CC28" s="17"/>
      <c r="CD28" s="17"/>
      <c r="CE28" s="17"/>
      <c r="CF28" s="17"/>
      <c r="CG28" s="17"/>
      <c r="CI28" s="17"/>
      <c r="CJ28" s="17"/>
      <c r="CK28" s="17"/>
      <c r="CL28" s="17"/>
      <c r="CM28" s="17"/>
      <c r="CO28" s="17"/>
      <c r="CP28" s="17"/>
      <c r="CQ28" s="17"/>
      <c r="CR28" s="17"/>
      <c r="CS28" s="17"/>
      <c r="CU28" s="17"/>
      <c r="CV28" s="17"/>
      <c r="CW28" s="17"/>
      <c r="CX28" s="17"/>
      <c r="CY28" s="17"/>
      <c r="DA28" s="17"/>
      <c r="DB28" s="17"/>
      <c r="DC28" s="17"/>
      <c r="DD28" s="17"/>
      <c r="DE28" s="17"/>
      <c r="DG28" s="17"/>
      <c r="DH28" s="17"/>
      <c r="DI28" s="17"/>
      <c r="DJ28" s="17"/>
      <c r="DK28" s="17"/>
    </row>
    <row r="29" spans="1:97" ht="12.75">
      <c r="A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K29" s="17"/>
      <c r="BL29" s="17"/>
      <c r="BM29" s="17"/>
      <c r="BN29" s="17"/>
      <c r="BO29" s="17"/>
      <c r="BQ29" s="17"/>
      <c r="BR29" s="17"/>
      <c r="BS29" s="17"/>
      <c r="BT29" s="17"/>
      <c r="BU29" s="17"/>
      <c r="BW29" s="17"/>
      <c r="BX29" s="17"/>
      <c r="BY29" s="17"/>
      <c r="BZ29" s="17"/>
      <c r="CA29" s="17"/>
      <c r="CC29" s="17"/>
      <c r="CD29" s="17"/>
      <c r="CE29" s="17"/>
      <c r="CF29" s="17"/>
      <c r="CG29" s="17"/>
      <c r="CI29" s="17"/>
      <c r="CJ29" s="17"/>
      <c r="CK29" s="17"/>
      <c r="CL29" s="17"/>
      <c r="CM29" s="17"/>
      <c r="CO29" s="17"/>
      <c r="CP29" s="17"/>
      <c r="CQ29" s="17"/>
      <c r="CR29" s="17"/>
      <c r="CS29" s="17"/>
    </row>
  </sheetData>
  <sheetProtection/>
  <printOptions/>
  <pageMargins left="0.75" right="0.75" top="1" bottom="1" header="0.3" footer="0.3"/>
  <pageSetup horizontalDpi="600" verticalDpi="600" orientation="landscape" scale="63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2020-01-13T14:50:41Z</cp:lastPrinted>
  <dcterms:created xsi:type="dcterms:W3CDTF">1998-02-23T20:58:01Z</dcterms:created>
  <dcterms:modified xsi:type="dcterms:W3CDTF">2020-01-13T14:50:48Z</dcterms:modified>
  <cp:category/>
  <cp:version/>
  <cp:contentType/>
  <cp:contentStatus/>
</cp:coreProperties>
</file>