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460" windowWidth="28800" windowHeight="17540" tabRatio="893" activeTab="0"/>
  </bookViews>
  <sheets>
    <sheet name="2009D" sheetId="1" r:id="rId1"/>
    <sheet name="2009D Academic" sheetId="2" r:id="rId2"/>
    <sheet name="2017B" sheetId="3" r:id="rId3"/>
    <sheet name="2017B Academic" sheetId="4" r:id="rId4"/>
    <sheet name="Percentage" sheetId="5" r:id="rId5"/>
  </sheets>
  <definedNames/>
  <calcPr fullCalcOnLoad="1"/>
</workbook>
</file>

<file path=xl/sharedStrings.xml><?xml version="1.0" encoding="utf-8"?>
<sst xmlns="http://schemas.openxmlformats.org/spreadsheetml/2006/main" count="1439" uniqueCount="196">
  <si>
    <t>Percent</t>
  </si>
  <si>
    <t>Inst</t>
  </si>
  <si>
    <t>Type</t>
  </si>
  <si>
    <t>Project</t>
  </si>
  <si>
    <t>Total</t>
  </si>
  <si>
    <t>UMCP</t>
  </si>
  <si>
    <t>UMBC</t>
  </si>
  <si>
    <t>CEES</t>
  </si>
  <si>
    <t>FSU</t>
  </si>
  <si>
    <t>by project</t>
  </si>
  <si>
    <t>Total dollars:</t>
  </si>
  <si>
    <t>Facilities Renewal</t>
  </si>
  <si>
    <t>Percent by Institution:</t>
  </si>
  <si>
    <t>Payment</t>
  </si>
  <si>
    <t>Date</t>
  </si>
  <si>
    <t>Principal</t>
  </si>
  <si>
    <t>Interest</t>
  </si>
  <si>
    <t>UMB</t>
  </si>
  <si>
    <t>BSU</t>
  </si>
  <si>
    <t>TU</t>
  </si>
  <si>
    <t>15th Aux</t>
  </si>
  <si>
    <t>Richmond Hall &amp; Newell Dining</t>
  </si>
  <si>
    <t>UMES</t>
  </si>
  <si>
    <t>15th Acad</t>
  </si>
  <si>
    <t xml:space="preserve">    University System of Maryland</t>
  </si>
  <si>
    <t>CSC</t>
  </si>
  <si>
    <t>UB</t>
  </si>
  <si>
    <t>USMH</t>
  </si>
  <si>
    <t>17th Acad</t>
  </si>
  <si>
    <t>School of Nursing Equipment</t>
  </si>
  <si>
    <t>18th Aux</t>
  </si>
  <si>
    <t>20th Acad</t>
  </si>
  <si>
    <t>Howard Hall Phase IV: Renov</t>
  </si>
  <si>
    <t>19th Acad</t>
  </si>
  <si>
    <t>Hornbake and McKeldin Librs</t>
  </si>
  <si>
    <t>Key and Taliaferro Renovation</t>
  </si>
  <si>
    <t>7800 York Renovation</t>
  </si>
  <si>
    <t>Emergency-Exter Light Poles</t>
  </si>
  <si>
    <t>18,19th Acad</t>
  </si>
  <si>
    <t>SU</t>
  </si>
  <si>
    <t>17,18th Acad</t>
  </si>
  <si>
    <t>Emgerency-Misc Projects</t>
  </si>
  <si>
    <t>Emergency-Misc Projects</t>
  </si>
  <si>
    <t>Emergency-Utility</t>
  </si>
  <si>
    <t>20th Aux</t>
  </si>
  <si>
    <t>Comcast Arena</t>
  </si>
  <si>
    <t>19th Aux</t>
  </si>
  <si>
    <t>South Campus Parking Garage</t>
  </si>
  <si>
    <t>North Campus Parking Garage</t>
  </si>
  <si>
    <t>Health Center</t>
  </si>
  <si>
    <t>Stamp Student Union Renovation</t>
  </si>
  <si>
    <t>Donaldson Brown Center</t>
  </si>
  <si>
    <t>Saratoga Street Garage</t>
  </si>
  <si>
    <t>Murphy Hall Annex Renov</t>
  </si>
  <si>
    <t>New Residence Hall</t>
  </si>
  <si>
    <t>Student Services Center</t>
  </si>
  <si>
    <t>15,16th Aux</t>
  </si>
  <si>
    <t>Parking Garage</t>
  </si>
  <si>
    <t>UMUC</t>
  </si>
  <si>
    <t>Hotel Addition at Inn &amp; Conference</t>
  </si>
  <si>
    <t>Prettyman/Scarborough HVAC</t>
  </si>
  <si>
    <t>Newell Dining Renovation</t>
  </si>
  <si>
    <t>Interim Fitness Center</t>
  </si>
  <si>
    <t>7800 York Road Garage</t>
  </si>
  <si>
    <t>UMCP South Campus Parking Garage (Auxiliary)</t>
  </si>
  <si>
    <t>UMCP North Campus Parking Garage (Auxiliary)</t>
  </si>
  <si>
    <t xml:space="preserve">     UMB Saratoga Street Garage (Auxiliary)</t>
  </si>
  <si>
    <t xml:space="preserve">   UMES Murphy Hall Annex Renov (Auxiliary)</t>
  </si>
  <si>
    <t xml:space="preserve">       UMES New Residence Hall (Auxiliary)</t>
  </si>
  <si>
    <t xml:space="preserve">     UMES Student Service Center (Auxiliary)</t>
  </si>
  <si>
    <t xml:space="preserve">  UMBC Housing Central Utility Plant (Auxiliary)</t>
  </si>
  <si>
    <t xml:space="preserve">          UMBC Parking Garage (Auxiliary)</t>
  </si>
  <si>
    <t xml:space="preserve">     UMB Donaldson Brown Center ( Auxiliary)</t>
  </si>
  <si>
    <t xml:space="preserve">  UMCP Stamp Student Union Renov (Auxiliary)</t>
  </si>
  <si>
    <t xml:space="preserve">            UMCP Health Center (Auxiliary)</t>
  </si>
  <si>
    <t xml:space="preserve">  UMCP Comcast Arena - 20th Resol (Auxiliary)</t>
  </si>
  <si>
    <t xml:space="preserve">        CSC New Residence Hall (Auxiliary)</t>
  </si>
  <si>
    <t xml:space="preserve">   TU Prettyman/Scarborough HVAC (Auxiliary)</t>
  </si>
  <si>
    <t xml:space="preserve">   TU Bowling Conversion to Cuberca (Auxiliary)</t>
  </si>
  <si>
    <t xml:space="preserve">       TU Newell Dining Renovation (Auxiliary)</t>
  </si>
  <si>
    <t xml:space="preserve">        TU Interim Fitness Center (Auxiliary)</t>
  </si>
  <si>
    <t xml:space="preserve">        TU 7800 York Road Garage (Auxiliary)</t>
  </si>
  <si>
    <t xml:space="preserve">  TU Richmond Hall &amp; Newell Dining (Auxiliary)</t>
  </si>
  <si>
    <t>2002 Series A Bonds</t>
  </si>
  <si>
    <t xml:space="preserve">           Total Auxiliary Projects - 2002A</t>
  </si>
  <si>
    <t>2002 Series A Bond Funded Projects</t>
  </si>
  <si>
    <t xml:space="preserve">           Total Academic Projects - 2002A</t>
  </si>
  <si>
    <t>21th Acad</t>
  </si>
  <si>
    <t>19,21th Acad</t>
  </si>
  <si>
    <t>New Dental School Building</t>
  </si>
  <si>
    <t>Equip Information Technology</t>
  </si>
  <si>
    <t>UMCES</t>
  </si>
  <si>
    <t>Aquaculture Building</t>
  </si>
  <si>
    <t>Utilities Upgrade</t>
  </si>
  <si>
    <t>USMO</t>
  </si>
  <si>
    <t>Emergency-Shady Grove Road</t>
  </si>
  <si>
    <t>Soc Sci,Education &amp; health Sci</t>
  </si>
  <si>
    <t>20,21th Acad</t>
  </si>
  <si>
    <t>19,20th Acad</t>
  </si>
  <si>
    <t>Engineering &amp; Applied Sci Bldg</t>
  </si>
  <si>
    <t>Emergency-Henson Ctr-Roof</t>
  </si>
  <si>
    <t xml:space="preserve">Emergency-Bio Sciences </t>
  </si>
  <si>
    <t>18,21th Acad</t>
  </si>
  <si>
    <t>18,19,20,21th Acad</t>
  </si>
  <si>
    <t>18,20,21th Acad</t>
  </si>
  <si>
    <t>Emergency-Davidge Hall</t>
  </si>
  <si>
    <t>Performing Arts Center Equip</t>
  </si>
  <si>
    <t>School of Law-Marshall Law</t>
  </si>
  <si>
    <t>17,18,19,20th Acad</t>
  </si>
  <si>
    <t>17,20,21th Acad</t>
  </si>
  <si>
    <t>Steam Plant Improvements</t>
  </si>
  <si>
    <t>15,17,18,19,20,21th Acad</t>
  </si>
  <si>
    <t>15,18,19,20th Acad</t>
  </si>
  <si>
    <t>21th Aux</t>
  </si>
  <si>
    <t>Queen Anne's Hall Renovation</t>
  </si>
  <si>
    <t>Temporary Building #2</t>
  </si>
  <si>
    <t>Land Acquisition for Alumni Ctr</t>
  </si>
  <si>
    <t>Residence Hall Renovations</t>
  </si>
  <si>
    <t>Union Bowling Conversion to Cybercafe</t>
  </si>
  <si>
    <t>20,21th Aux</t>
  </si>
  <si>
    <t>New Student Center Const</t>
  </si>
  <si>
    <t>Minnegan Stadium Renovation</t>
  </si>
  <si>
    <t>19,20th Aux</t>
  </si>
  <si>
    <t>Housing Central Utility Plant</t>
  </si>
  <si>
    <t>19,20,21th Aux</t>
  </si>
  <si>
    <t>18,19,20th Aux</t>
  </si>
  <si>
    <t>New Parking Garage</t>
  </si>
  <si>
    <t>16th Aux</t>
  </si>
  <si>
    <t>SCUB 3 Planning and Constr</t>
  </si>
  <si>
    <t>Pascault Row Renovation</t>
  </si>
  <si>
    <t>15,20th Aux</t>
  </si>
  <si>
    <t xml:space="preserve">  UMCP Comcast Arena - 19th Resol (Auxiliary)</t>
  </si>
  <si>
    <t xml:space="preserve"> UMCP Queen Anne's Hall Renovation (Auxiliary)</t>
  </si>
  <si>
    <t xml:space="preserve"> UMCP SCUB 3 Planning and Constr (Auxiliary)</t>
  </si>
  <si>
    <t xml:space="preserve">     UMB Temporary Building #2 ( Auxiliary)</t>
  </si>
  <si>
    <t xml:space="preserve">     UMB New Parking Garage (Auxiliary)</t>
  </si>
  <si>
    <t xml:space="preserve">     UMB Pascault Row Renovation (Auxiliary)</t>
  </si>
  <si>
    <t>UMBC Land Acquisition for Alumni Ctr (Auxiliary)</t>
  </si>
  <si>
    <t xml:space="preserve">  UMBC Residence Hall Renovation (Auxiliary)</t>
  </si>
  <si>
    <t xml:space="preserve">        TU Minnegan Stadium Renov (Auxiliary)</t>
  </si>
  <si>
    <t xml:space="preserve">         UB New Student Center (Auxiliary)</t>
  </si>
  <si>
    <t>15th Acad*</t>
  </si>
  <si>
    <t>17th Acad*</t>
  </si>
  <si>
    <t>19,20,21th Acad*</t>
  </si>
  <si>
    <t>* Adjustment ($2,173,574-accrued interest $351,257 = $1,822,317 = Steam plant $1,807,398.65 + Performing Arts $11,000 + Key and Talaferro $3,918.35)</t>
  </si>
  <si>
    <t xml:space="preserve">  Debt Svc from Earnings and Accrued Interest</t>
  </si>
  <si>
    <t xml:space="preserve">           CSC New Dining Hall (Auxiliary)</t>
  </si>
  <si>
    <t xml:space="preserve">    UMCP Hornbake &amp; McKeldin (Academic)</t>
  </si>
  <si>
    <t>19th &amp; 20th</t>
  </si>
  <si>
    <t xml:space="preserve">    UMCP Key &amp; Taliaferro Renov (Academic)</t>
  </si>
  <si>
    <t>19,20,21th</t>
  </si>
  <si>
    <t xml:space="preserve">  UMCP Engineering &amp; Applied Sci (Academic)</t>
  </si>
  <si>
    <t>19th</t>
  </si>
  <si>
    <t xml:space="preserve">      UMCP Facilities Renewal (Academic)</t>
  </si>
  <si>
    <t>18th &amp; 21th</t>
  </si>
  <si>
    <t xml:space="preserve">          UMB New Dental School (Academic)</t>
  </si>
  <si>
    <t xml:space="preserve">    UMB Howard Hall PH IV Renov (Academic)</t>
  </si>
  <si>
    <t xml:space="preserve">         UMB Facilities Renewal (Academic)</t>
  </si>
  <si>
    <t xml:space="preserve"> UMB School of Nursing Equipment (Academic)</t>
  </si>
  <si>
    <t xml:space="preserve">   UMB School of Law-Marshall (Academic)</t>
  </si>
  <si>
    <t xml:space="preserve">         UMB Emergency Fund (Academic)</t>
  </si>
  <si>
    <t xml:space="preserve">       UMES Utilities Upgrade (Academic)</t>
  </si>
  <si>
    <t xml:space="preserve">  UMES Soc Sci Education &amp; Health (Academic)</t>
  </si>
  <si>
    <t xml:space="preserve">      UMES Facilities Renewal (Academic)</t>
  </si>
  <si>
    <t xml:space="preserve">         UMES Emergency Fund (Academic)</t>
  </si>
  <si>
    <t>UMBC Equip Information Technology (Academic)</t>
  </si>
  <si>
    <t xml:space="preserve">        UMBC Emergency Fund (Academic)</t>
  </si>
  <si>
    <t xml:space="preserve">        UMBC Facilities Renewal (Academic)</t>
  </si>
  <si>
    <t xml:space="preserve">    UMCES Aquaculture Building (Academic)</t>
  </si>
  <si>
    <t xml:space="preserve">      UMCES Facilities Renewal (Academic)</t>
  </si>
  <si>
    <t xml:space="preserve">         BSU Facilities Renewal (Academic)</t>
  </si>
  <si>
    <t xml:space="preserve">          BSU Emergency Fund (Academic)</t>
  </si>
  <si>
    <t xml:space="preserve">        CSU Facilities Renewal (Academic)</t>
  </si>
  <si>
    <t xml:space="preserve">          CSU Emergency Fund (Academic)</t>
  </si>
  <si>
    <t xml:space="preserve">          FSU Facilities Renewal (Academic)</t>
  </si>
  <si>
    <t xml:space="preserve">          SU Facilities Renewal (Academic)</t>
  </si>
  <si>
    <t xml:space="preserve">         SU Emergency Fund (Academic)</t>
  </si>
  <si>
    <t xml:space="preserve">         TU Facilities Renewal (Academic)</t>
  </si>
  <si>
    <t xml:space="preserve">       TU 7800 York Road Renov (Academic)</t>
  </si>
  <si>
    <t xml:space="preserve">          TU Emergency Fund (Academic)</t>
  </si>
  <si>
    <t xml:space="preserve">           UB Facilities Renewal (Academic)</t>
  </si>
  <si>
    <t xml:space="preserve">        USMO Emergency Fund (Academic)</t>
  </si>
  <si>
    <t>Amort of</t>
  </si>
  <si>
    <t>Premium</t>
  </si>
  <si>
    <t>Loss on Refunding</t>
  </si>
  <si>
    <t xml:space="preserve">         UMES Henson Center Roof (Academic)</t>
  </si>
  <si>
    <t xml:space="preserve">          CSU Emergency Light Poles (Academic)</t>
  </si>
  <si>
    <t xml:space="preserve">        USMO Shady Grove Road (Academic)</t>
  </si>
  <si>
    <t xml:space="preserve">         Distribution of Debt Services after 2009D Bond Issue</t>
  </si>
  <si>
    <t xml:space="preserve">           Total Academic Projects - 2002A Refinanced on 2009D</t>
  </si>
  <si>
    <t>Revised 2002A After 2009D</t>
  </si>
  <si>
    <t>2002A Refinanced on 2009D</t>
  </si>
  <si>
    <t xml:space="preserve"> USM (Paid off by UMUC) (Auxiliary)</t>
  </si>
  <si>
    <t>Revised 2002A after 2017B</t>
  </si>
  <si>
    <t xml:space="preserve">         Distribution of Debt Services after 2017B Bond Issue</t>
  </si>
  <si>
    <t xml:space="preserve">  2002A Refinance on 2017B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</si>
</sst>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0.00000%"/>
    <numFmt numFmtId="173" formatCode="mm/dd/yy"/>
    <numFmt numFmtId="174" formatCode="0_);[Red]\(0\)"/>
    <numFmt numFmtId="175" formatCode="_(* #,##0.00000_);_(* \(#,##0.00000\);_(* &quot;-&quot;?????_);_(@_)"/>
  </numFmts>
  <fonts count="38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92D05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93">
    <xf numFmtId="0" fontId="0" fillId="0" borderId="0" xfId="0" applyAlignment="1">
      <alignment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40" fontId="0" fillId="0" borderId="10" xfId="0" applyNumberFormat="1" applyBorder="1" applyAlignment="1">
      <alignment horizontal="center"/>
    </xf>
    <xf numFmtId="40" fontId="0" fillId="0" borderId="11" xfId="0" applyNumberFormat="1" applyBorder="1" applyAlignment="1">
      <alignment horizontal="center"/>
    </xf>
    <xf numFmtId="40" fontId="0" fillId="0" borderId="12" xfId="0" applyNumberFormat="1" applyBorder="1" applyAlignment="1">
      <alignment horizontal="center"/>
    </xf>
    <xf numFmtId="40" fontId="0" fillId="0" borderId="0" xfId="0" applyNumberFormat="1" applyAlignment="1">
      <alignment/>
    </xf>
    <xf numFmtId="0" fontId="0" fillId="0" borderId="0" xfId="0" applyBorder="1" applyAlignment="1">
      <alignment horizontal="center"/>
    </xf>
    <xf numFmtId="40" fontId="0" fillId="0" borderId="0" xfId="0" applyNumberFormat="1" applyBorder="1" applyAlignment="1">
      <alignment horizontal="center"/>
    </xf>
    <xf numFmtId="0" fontId="0" fillId="0" borderId="0" xfId="0" applyBorder="1" applyAlignment="1">
      <alignment horizontal="right"/>
    </xf>
    <xf numFmtId="40" fontId="0" fillId="0" borderId="13" xfId="0" applyNumberFormat="1" applyBorder="1" applyAlignment="1">
      <alignment horizontal="right"/>
    </xf>
    <xf numFmtId="40" fontId="0" fillId="0" borderId="14" xfId="0" applyNumberFormat="1" applyBorder="1" applyAlignment="1">
      <alignment/>
    </xf>
    <xf numFmtId="0" fontId="0" fillId="0" borderId="0" xfId="0" applyAlignment="1">
      <alignment horizontal="right"/>
    </xf>
    <xf numFmtId="172" fontId="0" fillId="0" borderId="0" xfId="0" applyNumberFormat="1" applyAlignment="1">
      <alignment/>
    </xf>
    <xf numFmtId="172" fontId="0" fillId="0" borderId="0" xfId="0" applyNumberFormat="1" applyAlignment="1" quotePrefix="1">
      <alignment horizontal="right"/>
    </xf>
    <xf numFmtId="172" fontId="0" fillId="0" borderId="13" xfId="0" applyNumberFormat="1" applyBorder="1" applyAlignment="1">
      <alignment/>
    </xf>
    <xf numFmtId="172" fontId="0" fillId="0" borderId="10" xfId="0" applyNumberFormat="1" applyBorder="1" applyAlignment="1">
      <alignment horizontal="center"/>
    </xf>
    <xf numFmtId="172" fontId="0" fillId="0" borderId="11" xfId="0" applyNumberFormat="1" applyBorder="1" applyAlignment="1">
      <alignment horizontal="center"/>
    </xf>
    <xf numFmtId="172" fontId="0" fillId="0" borderId="13" xfId="0" applyNumberFormat="1" applyBorder="1" applyAlignment="1">
      <alignment horizontal="right"/>
    </xf>
    <xf numFmtId="172" fontId="0" fillId="0" borderId="0" xfId="0" applyNumberFormat="1" applyBorder="1" applyAlignment="1">
      <alignment horizontal="center"/>
    </xf>
    <xf numFmtId="172" fontId="0" fillId="0" borderId="14" xfId="0" applyNumberFormat="1" applyBorder="1" applyAlignment="1">
      <alignment/>
    </xf>
    <xf numFmtId="0" fontId="0" fillId="0" borderId="0" xfId="0" applyAlignment="1" quotePrefix="1">
      <alignment horizontal="left"/>
    </xf>
    <xf numFmtId="173" fontId="0" fillId="0" borderId="0" xfId="0" applyNumberFormat="1" applyAlignment="1">
      <alignment/>
    </xf>
    <xf numFmtId="3" fontId="0" fillId="0" borderId="0" xfId="0" applyNumberFormat="1" applyAlignment="1">
      <alignment/>
    </xf>
    <xf numFmtId="3" fontId="0" fillId="0" borderId="0" xfId="0" applyNumberFormat="1" applyAlignment="1" quotePrefix="1">
      <alignment horizontal="left"/>
    </xf>
    <xf numFmtId="173" fontId="0" fillId="0" borderId="15" xfId="0" applyNumberFormat="1" applyBorder="1" applyAlignment="1">
      <alignment horizontal="center"/>
    </xf>
    <xf numFmtId="3" fontId="0" fillId="0" borderId="10" xfId="0" applyNumberFormat="1" applyBorder="1" applyAlignment="1" quotePrefix="1">
      <alignment horizontal="left"/>
    </xf>
    <xf numFmtId="3" fontId="0" fillId="0" borderId="16" xfId="0" applyNumberFormat="1" applyBorder="1" applyAlignment="1">
      <alignment/>
    </xf>
    <xf numFmtId="3" fontId="0" fillId="0" borderId="17" xfId="0" applyNumberFormat="1" applyBorder="1" applyAlignment="1">
      <alignment/>
    </xf>
    <xf numFmtId="173" fontId="0" fillId="0" borderId="12" xfId="0" applyNumberFormat="1" applyBorder="1" applyAlignment="1">
      <alignment horizontal="center"/>
    </xf>
    <xf numFmtId="3" fontId="0" fillId="0" borderId="18" xfId="0" applyNumberFormat="1" applyBorder="1" applyAlignment="1">
      <alignment horizontal="center"/>
    </xf>
    <xf numFmtId="172" fontId="0" fillId="0" borderId="0" xfId="0" applyNumberFormat="1" applyBorder="1" applyAlignment="1">
      <alignment/>
    </xf>
    <xf numFmtId="40" fontId="0" fillId="0" borderId="0" xfId="0" applyNumberFormat="1" applyBorder="1" applyAlignment="1">
      <alignment/>
    </xf>
    <xf numFmtId="0" fontId="0" fillId="0" borderId="0" xfId="0" applyAlignment="1">
      <alignment horizontal="left"/>
    </xf>
    <xf numFmtId="3" fontId="0" fillId="0" borderId="0" xfId="0" applyNumberFormat="1" applyBorder="1" applyAlignment="1">
      <alignment/>
    </xf>
    <xf numFmtId="3" fontId="0" fillId="0" borderId="0" xfId="0" applyNumberFormat="1" applyBorder="1" applyAlignment="1">
      <alignment horizontal="center"/>
    </xf>
    <xf numFmtId="173" fontId="0" fillId="0" borderId="0" xfId="0" applyNumberFormat="1" applyAlignment="1">
      <alignment horizontal="center"/>
    </xf>
    <xf numFmtId="172" fontId="0" fillId="0" borderId="16" xfId="0" applyNumberFormat="1" applyBorder="1" applyAlignment="1">
      <alignment/>
    </xf>
    <xf numFmtId="38" fontId="0" fillId="0" borderId="0" xfId="0" applyNumberFormat="1" applyAlignment="1">
      <alignment/>
    </xf>
    <xf numFmtId="40" fontId="0" fillId="0" borderId="0" xfId="0" applyNumberFormat="1" applyBorder="1" applyAlignment="1" quotePrefix="1">
      <alignment horizontal="left"/>
    </xf>
    <xf numFmtId="40" fontId="0" fillId="0" borderId="0" xfId="0" applyNumberFormat="1" applyAlignment="1" quotePrefix="1">
      <alignment horizontal="left"/>
    </xf>
    <xf numFmtId="38" fontId="0" fillId="0" borderId="0" xfId="0" applyNumberFormat="1" applyAlignment="1">
      <alignment horizontal="right"/>
    </xf>
    <xf numFmtId="38" fontId="0" fillId="0" borderId="10" xfId="0" applyNumberFormat="1" applyBorder="1" applyAlignment="1" quotePrefix="1">
      <alignment horizontal="left"/>
    </xf>
    <xf numFmtId="38" fontId="0" fillId="0" borderId="16" xfId="0" applyNumberFormat="1" applyBorder="1" applyAlignment="1">
      <alignment horizontal="right"/>
    </xf>
    <xf numFmtId="38" fontId="0" fillId="0" borderId="17" xfId="0" applyNumberFormat="1" applyBorder="1" applyAlignment="1">
      <alignment horizontal="right"/>
    </xf>
    <xf numFmtId="38" fontId="0" fillId="0" borderId="10" xfId="0" applyNumberFormat="1" applyBorder="1" applyAlignment="1" quotePrefix="1">
      <alignment horizontal="right"/>
    </xf>
    <xf numFmtId="38" fontId="0" fillId="0" borderId="18" xfId="0" applyNumberFormat="1" applyBorder="1" applyAlignment="1">
      <alignment horizontal="center"/>
    </xf>
    <xf numFmtId="38" fontId="0" fillId="0" borderId="0" xfId="0" applyNumberFormat="1" applyBorder="1" applyAlignment="1">
      <alignment horizontal="right"/>
    </xf>
    <xf numFmtId="38" fontId="0" fillId="0" borderId="0" xfId="0" applyNumberFormat="1" applyAlignment="1">
      <alignment horizontal="left"/>
    </xf>
    <xf numFmtId="173" fontId="0" fillId="0" borderId="0" xfId="0" applyNumberFormat="1" applyAlignment="1">
      <alignment horizontal="left"/>
    </xf>
    <xf numFmtId="38" fontId="0" fillId="0" borderId="0" xfId="0" applyNumberFormat="1" applyAlignment="1" quotePrefix="1">
      <alignment horizontal="left"/>
    </xf>
    <xf numFmtId="172" fontId="0" fillId="0" borderId="19" xfId="0" applyNumberFormat="1" applyBorder="1" applyAlignment="1">
      <alignment horizontal="center"/>
    </xf>
    <xf numFmtId="172" fontId="0" fillId="0" borderId="10" xfId="0" applyNumberFormat="1" applyBorder="1" applyAlignment="1" quotePrefix="1">
      <alignment horizontal="left"/>
    </xf>
    <xf numFmtId="172" fontId="0" fillId="0" borderId="17" xfId="0" applyNumberFormat="1" applyBorder="1" applyAlignment="1">
      <alignment/>
    </xf>
    <xf numFmtId="38" fontId="0" fillId="0" borderId="20" xfId="0" applyNumberFormat="1" applyBorder="1" applyAlignment="1">
      <alignment horizontal="right"/>
    </xf>
    <xf numFmtId="38" fontId="0" fillId="0" borderId="0" xfId="0" applyNumberFormat="1" applyBorder="1" applyAlignment="1">
      <alignment/>
    </xf>
    <xf numFmtId="173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172" fontId="0" fillId="0" borderId="16" xfId="0" applyNumberFormat="1" applyBorder="1" applyAlignment="1">
      <alignment horizontal="right"/>
    </xf>
    <xf numFmtId="0" fontId="0" fillId="0" borderId="0" xfId="0" applyBorder="1" applyAlignment="1">
      <alignment horizontal="left"/>
    </xf>
    <xf numFmtId="4" fontId="0" fillId="0" borderId="0" xfId="0" applyNumberFormat="1" applyAlignment="1">
      <alignment/>
    </xf>
    <xf numFmtId="3" fontId="0" fillId="0" borderId="10" xfId="0" applyNumberFormat="1" applyBorder="1" applyAlignment="1">
      <alignment horizontal="left"/>
    </xf>
    <xf numFmtId="38" fontId="0" fillId="33" borderId="21" xfId="0" applyNumberFormat="1" applyFill="1" applyBorder="1" applyAlignment="1" quotePrefix="1">
      <alignment horizontal="centerContinuous"/>
    </xf>
    <xf numFmtId="38" fontId="0" fillId="0" borderId="17" xfId="0" applyNumberFormat="1" applyBorder="1" applyAlignment="1">
      <alignment horizontal="centerContinuous"/>
    </xf>
    <xf numFmtId="38" fontId="0" fillId="0" borderId="16" xfId="0" applyNumberFormat="1" applyBorder="1" applyAlignment="1">
      <alignment horizontal="centerContinuous"/>
    </xf>
    <xf numFmtId="38" fontId="0" fillId="0" borderId="21" xfId="0" applyNumberFormat="1" applyBorder="1" applyAlignment="1">
      <alignment horizontal="centerContinuous"/>
    </xf>
    <xf numFmtId="38" fontId="0" fillId="0" borderId="10" xfId="0" applyNumberFormat="1" applyFont="1" applyBorder="1" applyAlignment="1" quotePrefix="1">
      <alignment horizontal="left"/>
    </xf>
    <xf numFmtId="38" fontId="0" fillId="34" borderId="10" xfId="0" applyNumberFormat="1" applyFill="1" applyBorder="1" applyAlignment="1">
      <alignment horizontal="centerContinuous"/>
    </xf>
    <xf numFmtId="38" fontId="0" fillId="34" borderId="16" xfId="0" applyNumberFormat="1" applyFill="1" applyBorder="1" applyAlignment="1">
      <alignment horizontal="centerContinuous"/>
    </xf>
    <xf numFmtId="38" fontId="0" fillId="34" borderId="17" xfId="0" applyNumberFormat="1" applyFill="1" applyBorder="1" applyAlignment="1">
      <alignment horizontal="centerContinuous"/>
    </xf>
    <xf numFmtId="38" fontId="0" fillId="34" borderId="18" xfId="0" applyNumberFormat="1" applyFill="1" applyBorder="1" applyAlignment="1">
      <alignment horizontal="centerContinuous"/>
    </xf>
    <xf numFmtId="38" fontId="0" fillId="34" borderId="10" xfId="0" applyNumberFormat="1" applyFont="1" applyFill="1" applyBorder="1" applyAlignment="1">
      <alignment horizontal="centerContinuous"/>
    </xf>
    <xf numFmtId="41" fontId="0" fillId="0" borderId="0" xfId="0" applyNumberFormat="1" applyAlignment="1">
      <alignment/>
    </xf>
    <xf numFmtId="41" fontId="0" fillId="0" borderId="0" xfId="0" applyNumberFormat="1" applyAlignment="1">
      <alignment horizontal="right"/>
    </xf>
    <xf numFmtId="41" fontId="0" fillId="0" borderId="0" xfId="0" applyNumberFormat="1" applyBorder="1" applyAlignment="1">
      <alignment horizontal="right"/>
    </xf>
    <xf numFmtId="41" fontId="0" fillId="0" borderId="0" xfId="0" applyNumberFormat="1" applyBorder="1" applyAlignment="1">
      <alignment/>
    </xf>
    <xf numFmtId="41" fontId="0" fillId="0" borderId="20" xfId="0" applyNumberFormat="1" applyBorder="1" applyAlignment="1">
      <alignment horizontal="right"/>
    </xf>
    <xf numFmtId="3" fontId="1" fillId="0" borderId="10" xfId="0" applyNumberFormat="1" applyFont="1" applyBorder="1" applyAlignment="1" quotePrefix="1">
      <alignment horizontal="left"/>
    </xf>
    <xf numFmtId="3" fontId="1" fillId="0" borderId="16" xfId="0" applyNumberFormat="1" applyFont="1" applyBorder="1" applyAlignment="1">
      <alignment/>
    </xf>
    <xf numFmtId="3" fontId="1" fillId="0" borderId="17" xfId="0" applyNumberFormat="1" applyFont="1" applyBorder="1" applyAlignment="1">
      <alignment/>
    </xf>
    <xf numFmtId="38" fontId="1" fillId="0" borderId="18" xfId="0" applyNumberFormat="1" applyFont="1" applyBorder="1" applyAlignment="1">
      <alignment horizontal="center"/>
    </xf>
    <xf numFmtId="172" fontId="1" fillId="0" borderId="10" xfId="0" applyNumberFormat="1" applyFont="1" applyBorder="1" applyAlignment="1" quotePrefix="1">
      <alignment horizontal="left"/>
    </xf>
    <xf numFmtId="172" fontId="1" fillId="0" borderId="16" xfId="0" applyNumberFormat="1" applyFont="1" applyBorder="1" applyAlignment="1">
      <alignment/>
    </xf>
    <xf numFmtId="172" fontId="1" fillId="0" borderId="17" xfId="0" applyNumberFormat="1" applyFont="1" applyBorder="1" applyAlignment="1">
      <alignment/>
    </xf>
    <xf numFmtId="3" fontId="1" fillId="0" borderId="18" xfId="0" applyNumberFormat="1" applyFont="1" applyBorder="1" applyAlignment="1">
      <alignment horizontal="center"/>
    </xf>
    <xf numFmtId="38" fontId="1" fillId="0" borderId="0" xfId="0" applyNumberFormat="1" applyFont="1" applyAlignment="1">
      <alignment/>
    </xf>
    <xf numFmtId="38" fontId="1" fillId="0" borderId="20" xfId="0" applyNumberFormat="1" applyFont="1" applyBorder="1" applyAlignment="1">
      <alignment horizontal="right"/>
    </xf>
    <xf numFmtId="3" fontId="1" fillId="0" borderId="0" xfId="0" applyNumberFormat="1" applyFont="1" applyAlignment="1">
      <alignment/>
    </xf>
    <xf numFmtId="38" fontId="1" fillId="0" borderId="0" xfId="0" applyNumberFormat="1" applyFont="1" applyAlignment="1" quotePrefix="1">
      <alignment horizontal="left"/>
    </xf>
    <xf numFmtId="41" fontId="1" fillId="0" borderId="0" xfId="0" applyNumberFormat="1" applyFont="1" applyAlignment="1">
      <alignment/>
    </xf>
    <xf numFmtId="41" fontId="1" fillId="0" borderId="0" xfId="0" applyNumberFormat="1" applyFont="1" applyAlignment="1">
      <alignment horizontal="right"/>
    </xf>
    <xf numFmtId="41" fontId="1" fillId="0" borderId="0" xfId="0" applyNumberFormat="1" applyFont="1" applyBorder="1" applyAlignment="1">
      <alignment horizontal="right"/>
    </xf>
    <xf numFmtId="41" fontId="1" fillId="0" borderId="20" xfId="0" applyNumberFormat="1" applyFont="1" applyBorder="1" applyAlignment="1">
      <alignment horizontal="righ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U19"/>
  <sheetViews>
    <sheetView tabSelected="1" zoomScale="150" zoomScaleNormal="150" zoomScalePageLayoutView="0" workbookViewId="0" topLeftCell="A1">
      <pane xSplit="2" ySplit="7" topLeftCell="C8" activePane="bottomRight" state="frozen"/>
      <selection pane="topLeft" activeCell="A1" sqref="A1"/>
      <selection pane="topRight" activeCell="C1" sqref="C1"/>
      <selection pane="bottomLeft" activeCell="A8" sqref="A8"/>
      <selection pane="bottomRight" activeCell="C22" sqref="C22"/>
    </sheetView>
  </sheetViews>
  <sheetFormatPr defaultColWidth="8.8515625" defaultRowHeight="12.75"/>
  <cols>
    <col min="1" max="1" width="9.7109375" style="22" customWidth="1"/>
    <col min="2" max="2" width="3.7109375" style="0" customWidth="1"/>
    <col min="3" max="6" width="13.7109375" style="38" customWidth="1"/>
    <col min="7" max="7" width="15.8515625" style="38" customWidth="1"/>
    <col min="8" max="8" width="3.7109375" style="38" customWidth="1"/>
    <col min="9" max="12" width="13.7109375" style="38" customWidth="1"/>
    <col min="13" max="13" width="16.00390625" style="38" customWidth="1"/>
    <col min="14" max="14" width="3.7109375" style="0" customWidth="1"/>
    <col min="15" max="18" width="13.7109375" style="0" customWidth="1"/>
    <col min="19" max="19" width="16.421875" style="0" customWidth="1"/>
    <col min="20" max="20" width="3.7109375" style="0" customWidth="1"/>
    <col min="21" max="24" width="13.7109375" style="0" customWidth="1"/>
    <col min="25" max="25" width="18.28125" style="0" customWidth="1"/>
    <col min="26" max="26" width="3.7109375" style="0" customWidth="1"/>
    <col min="27" max="31" width="13.7109375" style="23" customWidth="1"/>
    <col min="32" max="32" width="3.7109375" style="23" customWidth="1"/>
    <col min="33" max="37" width="13.7109375" style="23" customWidth="1"/>
    <col min="38" max="38" width="3.7109375" style="23" customWidth="1"/>
    <col min="39" max="43" width="13.7109375" style="23" customWidth="1"/>
    <col min="44" max="44" width="3.7109375" style="23" customWidth="1"/>
    <col min="45" max="49" width="13.7109375" style="23" customWidth="1"/>
    <col min="50" max="50" width="3.7109375" style="23" customWidth="1"/>
    <col min="51" max="55" width="13.7109375" style="23" customWidth="1"/>
    <col min="56" max="56" width="3.7109375" style="23" customWidth="1"/>
    <col min="57" max="61" width="13.7109375" style="23" customWidth="1"/>
    <col min="62" max="62" width="3.7109375" style="23" customWidth="1"/>
    <col min="63" max="67" width="13.7109375" style="23" customWidth="1"/>
    <col min="68" max="68" width="3.7109375" style="23" customWidth="1"/>
    <col min="69" max="73" width="13.7109375" style="23" customWidth="1"/>
    <col min="74" max="74" width="3.7109375" style="23" customWidth="1"/>
    <col min="75" max="79" width="13.7109375" style="23" customWidth="1"/>
    <col min="80" max="80" width="3.7109375" style="23" customWidth="1"/>
    <col min="81" max="85" width="13.7109375" style="23" customWidth="1"/>
    <col min="86" max="86" width="3.7109375" style="23" customWidth="1"/>
    <col min="87" max="91" width="13.7109375" style="23" customWidth="1"/>
    <col min="92" max="92" width="3.7109375" style="23" customWidth="1"/>
    <col min="93" max="97" width="13.7109375" style="23" customWidth="1"/>
    <col min="98" max="98" width="3.7109375" style="23" customWidth="1"/>
    <col min="99" max="103" width="13.7109375" style="23" customWidth="1"/>
    <col min="104" max="104" width="3.7109375" style="23" customWidth="1"/>
    <col min="105" max="109" width="13.7109375" style="23" customWidth="1"/>
    <col min="110" max="110" width="3.7109375" style="23" customWidth="1"/>
    <col min="111" max="115" width="13.7109375" style="23" customWidth="1"/>
    <col min="116" max="116" width="3.7109375" style="23" customWidth="1"/>
    <col min="117" max="121" width="13.7109375" style="23" customWidth="1"/>
    <col min="122" max="122" width="3.7109375" style="23" customWidth="1"/>
    <col min="123" max="127" width="13.7109375" style="23" customWidth="1"/>
    <col min="128" max="128" width="3.7109375" style="23" customWidth="1"/>
    <col min="129" max="133" width="13.7109375" style="23" customWidth="1"/>
    <col min="134" max="134" width="3.7109375" style="23" customWidth="1"/>
    <col min="135" max="139" width="13.7109375" style="23" customWidth="1"/>
    <col min="140" max="140" width="3.7109375" style="23" customWidth="1"/>
    <col min="141" max="145" width="13.7109375" style="87" customWidth="1"/>
    <col min="146" max="146" width="3.7109375" style="23" customWidth="1"/>
    <col min="147" max="151" width="13.7109375" style="23" customWidth="1"/>
    <col min="152" max="152" width="3.7109375" style="23" customWidth="1"/>
    <col min="153" max="157" width="13.7109375" style="23" customWidth="1"/>
    <col min="158" max="158" width="3.7109375" style="23" customWidth="1"/>
    <col min="159" max="163" width="13.7109375" style="23" customWidth="1"/>
    <col min="164" max="164" width="3.7109375" style="23" customWidth="1"/>
    <col min="165" max="169" width="13.7109375" style="23" customWidth="1"/>
    <col min="170" max="170" width="3.7109375" style="23" customWidth="1"/>
    <col min="171" max="175" width="13.7109375" style="23" customWidth="1"/>
    <col min="176" max="176" width="3.7109375" style="23" customWidth="1"/>
    <col min="177" max="181" width="13.7109375" style="23" customWidth="1"/>
    <col min="182" max="182" width="3.7109375" style="23" customWidth="1"/>
    <col min="183" max="187" width="13.7109375" style="23" customWidth="1"/>
    <col min="188" max="188" width="3.7109375" style="23" customWidth="1"/>
    <col min="189" max="193" width="13.7109375" style="23" customWidth="1"/>
    <col min="194" max="194" width="3.7109375" style="23" customWidth="1"/>
    <col min="195" max="199" width="13.7109375" style="23" customWidth="1"/>
    <col min="200" max="200" width="3.7109375" style="23" customWidth="1"/>
    <col min="201" max="205" width="13.7109375" style="23" customWidth="1"/>
    <col min="206" max="206" width="3.7109375" style="23" customWidth="1"/>
    <col min="207" max="211" width="13.7109375" style="23" customWidth="1"/>
    <col min="212" max="212" width="3.7109375" style="0" customWidth="1"/>
  </cols>
  <sheetData>
    <row r="1" spans="1:211" ht="12.75">
      <c r="A1" s="49"/>
      <c r="B1" s="33"/>
      <c r="C1" s="41"/>
      <c r="E1" s="48"/>
      <c r="F1" s="50" t="s">
        <v>24</v>
      </c>
      <c r="G1" s="50"/>
      <c r="H1"/>
      <c r="J1"/>
      <c r="K1"/>
      <c r="L1"/>
      <c r="M1"/>
      <c r="N1" s="38"/>
      <c r="O1" s="50"/>
      <c r="P1" s="24"/>
      <c r="Q1" s="23"/>
      <c r="R1" s="38"/>
      <c r="S1" s="38"/>
      <c r="T1" s="48"/>
      <c r="U1" s="50" t="s">
        <v>24</v>
      </c>
      <c r="V1" s="23"/>
      <c r="W1" s="38"/>
      <c r="X1" s="23"/>
      <c r="Y1" s="23"/>
      <c r="Z1" s="23"/>
      <c r="AB1" s="38"/>
      <c r="AC1" s="50"/>
      <c r="AD1" s="24"/>
      <c r="AE1" s="24"/>
      <c r="AG1" s="38"/>
      <c r="AH1" s="48"/>
      <c r="AI1" s="50" t="s">
        <v>24</v>
      </c>
      <c r="AL1" s="38"/>
      <c r="AP1" s="38"/>
      <c r="AQ1" s="38"/>
      <c r="AR1" s="50"/>
      <c r="AS1" s="24"/>
      <c r="AU1" s="38"/>
      <c r="AV1" s="48"/>
      <c r="AW1" s="48"/>
      <c r="AX1" s="50" t="s">
        <v>24</v>
      </c>
      <c r="AZ1" s="38"/>
      <c r="BA1" s="50"/>
      <c r="BE1" s="38"/>
      <c r="BF1" s="50"/>
      <c r="BJ1" s="38"/>
      <c r="BK1" s="48"/>
      <c r="BL1" s="50" t="s">
        <v>24</v>
      </c>
      <c r="BN1" s="38"/>
      <c r="BO1" s="38"/>
      <c r="BS1" s="38"/>
      <c r="BT1" s="50"/>
      <c r="BU1" s="50"/>
      <c r="BX1" s="38"/>
      <c r="BY1" s="48"/>
      <c r="BZ1" s="50" t="s">
        <v>24</v>
      </c>
      <c r="CA1" s="50"/>
      <c r="CC1" s="38"/>
      <c r="CH1" s="38"/>
      <c r="CI1" s="50"/>
      <c r="CL1" s="38"/>
      <c r="CM1" s="38"/>
      <c r="CN1" s="48"/>
      <c r="CO1" s="50" t="s">
        <v>24</v>
      </c>
      <c r="CQ1" s="38"/>
      <c r="CT1" s="24"/>
      <c r="CV1" s="38"/>
      <c r="CW1" s="50"/>
      <c r="DA1" s="38"/>
      <c r="DB1" s="48"/>
      <c r="DC1" s="50" t="s">
        <v>24</v>
      </c>
      <c r="DF1" s="38"/>
      <c r="DG1" s="50"/>
      <c r="DJ1" s="38"/>
      <c r="DK1" s="38"/>
      <c r="DL1" s="50"/>
      <c r="DO1" s="38"/>
      <c r="DP1" s="48"/>
      <c r="DQ1" s="48"/>
      <c r="DR1" s="50" t="s">
        <v>24</v>
      </c>
      <c r="DT1" s="38"/>
      <c r="DU1" s="50"/>
      <c r="DY1" s="38"/>
      <c r="DZ1" s="50"/>
      <c r="ED1" s="38"/>
      <c r="EE1" s="48"/>
      <c r="EF1" s="50" t="s">
        <v>24</v>
      </c>
      <c r="EH1" s="38"/>
      <c r="EI1" s="38"/>
      <c r="EM1" s="85"/>
      <c r="EN1" s="88"/>
      <c r="EO1" s="88"/>
      <c r="ER1" s="38"/>
      <c r="ES1" s="48"/>
      <c r="ET1" s="50" t="s">
        <v>24</v>
      </c>
      <c r="EU1" s="50"/>
      <c r="EW1" s="38"/>
      <c r="FB1" s="38"/>
      <c r="FC1" s="50"/>
      <c r="FF1"/>
      <c r="FG1"/>
      <c r="FH1" s="48"/>
      <c r="FI1" s="50" t="s">
        <v>24</v>
      </c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</row>
    <row r="2" spans="1:211" ht="12.75">
      <c r="A2" s="49"/>
      <c r="B2" s="33"/>
      <c r="C2" s="41"/>
      <c r="E2" s="50" t="s">
        <v>188</v>
      </c>
      <c r="H2"/>
      <c r="J2"/>
      <c r="K2"/>
      <c r="L2"/>
      <c r="M2"/>
      <c r="N2" s="38"/>
      <c r="O2" s="50"/>
      <c r="P2" s="24"/>
      <c r="Q2" s="23"/>
      <c r="R2" s="38"/>
      <c r="S2" s="38"/>
      <c r="T2" s="50" t="s">
        <v>188</v>
      </c>
      <c r="U2" s="38"/>
      <c r="V2" s="23"/>
      <c r="W2" s="38"/>
      <c r="X2" s="23"/>
      <c r="Y2" s="23"/>
      <c r="Z2" s="23"/>
      <c r="AB2" s="38"/>
      <c r="AC2" s="50"/>
      <c r="AD2" s="24"/>
      <c r="AE2" s="24"/>
      <c r="AG2" s="38"/>
      <c r="AH2" s="50" t="s">
        <v>188</v>
      </c>
      <c r="AI2" s="38"/>
      <c r="AL2" s="38"/>
      <c r="AP2" s="38"/>
      <c r="AQ2" s="38"/>
      <c r="AR2" s="50"/>
      <c r="AS2" s="24"/>
      <c r="AU2" s="38"/>
      <c r="AV2" s="50" t="s">
        <v>188</v>
      </c>
      <c r="AW2" s="50"/>
      <c r="AX2" s="38"/>
      <c r="AZ2" s="38"/>
      <c r="BA2" s="50"/>
      <c r="BE2" s="38"/>
      <c r="BF2" s="50"/>
      <c r="BJ2" s="38"/>
      <c r="BK2" s="50" t="s">
        <v>188</v>
      </c>
      <c r="BL2" s="38"/>
      <c r="BN2" s="38"/>
      <c r="BO2" s="38"/>
      <c r="BS2" s="38"/>
      <c r="BT2" s="50"/>
      <c r="BU2" s="50"/>
      <c r="BX2" s="38"/>
      <c r="BY2" s="50" t="s">
        <v>188</v>
      </c>
      <c r="BZ2" s="38"/>
      <c r="CA2" s="38"/>
      <c r="CC2" s="38"/>
      <c r="CH2" s="38"/>
      <c r="CI2" s="50"/>
      <c r="CL2" s="38"/>
      <c r="CM2" s="38"/>
      <c r="CN2" s="50" t="s">
        <v>188</v>
      </c>
      <c r="CO2" s="38"/>
      <c r="CQ2" s="38"/>
      <c r="CT2" s="24"/>
      <c r="CV2" s="38"/>
      <c r="CW2" s="50"/>
      <c r="DA2" s="38"/>
      <c r="DB2" s="50" t="s">
        <v>188</v>
      </c>
      <c r="DC2" s="38"/>
      <c r="DF2" s="38"/>
      <c r="DG2" s="50"/>
      <c r="DJ2" s="38"/>
      <c r="DK2" s="38"/>
      <c r="DL2" s="50"/>
      <c r="DO2" s="38"/>
      <c r="DP2" s="50" t="s">
        <v>188</v>
      </c>
      <c r="DQ2" s="50"/>
      <c r="DR2" s="38"/>
      <c r="DT2" s="38"/>
      <c r="DU2" s="50"/>
      <c r="DY2" s="38"/>
      <c r="DZ2" s="50"/>
      <c r="ED2" s="38"/>
      <c r="EE2" s="50" t="s">
        <v>188</v>
      </c>
      <c r="EF2" s="38"/>
      <c r="EH2" s="38"/>
      <c r="EI2" s="38"/>
      <c r="EM2" s="85"/>
      <c r="EN2" s="88"/>
      <c r="EO2" s="88"/>
      <c r="ER2" s="38"/>
      <c r="ES2" s="50" t="s">
        <v>188</v>
      </c>
      <c r="ET2" s="38"/>
      <c r="EU2" s="38"/>
      <c r="EW2" s="38"/>
      <c r="FB2" s="38"/>
      <c r="FC2" s="50"/>
      <c r="FF2"/>
      <c r="FG2"/>
      <c r="FH2" s="50" t="s">
        <v>188</v>
      </c>
      <c r="FI2" s="38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</row>
    <row r="3" spans="1:211" ht="12.75">
      <c r="A3" s="49"/>
      <c r="B3" s="33"/>
      <c r="C3" s="41"/>
      <c r="E3" s="48"/>
      <c r="F3" s="50" t="s">
        <v>85</v>
      </c>
      <c r="G3" s="50"/>
      <c r="H3"/>
      <c r="J3"/>
      <c r="K3"/>
      <c r="L3"/>
      <c r="M3"/>
      <c r="N3" s="38"/>
      <c r="O3" s="50"/>
      <c r="P3" s="23"/>
      <c r="Q3" s="23"/>
      <c r="R3" s="38"/>
      <c r="S3" s="38"/>
      <c r="T3" s="48"/>
      <c r="U3" s="50" t="s">
        <v>85</v>
      </c>
      <c r="V3" s="23"/>
      <c r="W3" s="38"/>
      <c r="X3" s="23"/>
      <c r="Y3" s="23"/>
      <c r="Z3" s="23"/>
      <c r="AB3" s="38"/>
      <c r="AC3" s="50"/>
      <c r="AG3" s="38"/>
      <c r="AH3" s="48"/>
      <c r="AI3" s="50" t="s">
        <v>85</v>
      </c>
      <c r="AL3" s="38"/>
      <c r="AP3" s="38"/>
      <c r="AQ3" s="38"/>
      <c r="AR3" s="50"/>
      <c r="AU3" s="38"/>
      <c r="AV3" s="48"/>
      <c r="AW3" s="48"/>
      <c r="AX3" s="50" t="s">
        <v>85</v>
      </c>
      <c r="AZ3" s="38"/>
      <c r="BA3" s="50"/>
      <c r="BE3" s="38"/>
      <c r="BF3" s="50"/>
      <c r="BJ3" s="38"/>
      <c r="BK3" s="48"/>
      <c r="BL3" s="50" t="s">
        <v>85</v>
      </c>
      <c r="BN3" s="38"/>
      <c r="BO3" s="38"/>
      <c r="BS3" s="38"/>
      <c r="BT3" s="50"/>
      <c r="BU3" s="50"/>
      <c r="BX3" s="38"/>
      <c r="BY3" s="48"/>
      <c r="BZ3" s="50" t="s">
        <v>85</v>
      </c>
      <c r="CA3" s="50"/>
      <c r="CC3" s="38"/>
      <c r="CH3" s="38"/>
      <c r="CI3" s="50"/>
      <c r="CL3" s="38"/>
      <c r="CM3" s="38"/>
      <c r="CN3" s="48"/>
      <c r="CO3" s="50" t="s">
        <v>85</v>
      </c>
      <c r="CQ3" s="38"/>
      <c r="CV3" s="38"/>
      <c r="CW3" s="50"/>
      <c r="DA3" s="38"/>
      <c r="DB3" s="48"/>
      <c r="DC3" s="50" t="s">
        <v>85</v>
      </c>
      <c r="DF3" s="38"/>
      <c r="DG3" s="50"/>
      <c r="DJ3" s="38"/>
      <c r="DK3" s="38"/>
      <c r="DL3" s="50"/>
      <c r="DO3" s="38"/>
      <c r="DP3" s="48"/>
      <c r="DQ3" s="48"/>
      <c r="DR3" s="50" t="s">
        <v>85</v>
      </c>
      <c r="DT3" s="38"/>
      <c r="DU3" s="50"/>
      <c r="DY3" s="38"/>
      <c r="DZ3" s="50"/>
      <c r="ED3" s="38"/>
      <c r="EE3" s="48"/>
      <c r="EF3" s="50" t="s">
        <v>85</v>
      </c>
      <c r="EH3" s="38"/>
      <c r="EI3" s="38"/>
      <c r="EM3" s="85"/>
      <c r="EN3" s="88"/>
      <c r="EO3" s="88"/>
      <c r="ER3" s="38"/>
      <c r="ES3" s="48"/>
      <c r="ET3" s="50" t="s">
        <v>85</v>
      </c>
      <c r="EU3" s="50"/>
      <c r="EW3" s="38"/>
      <c r="FB3" s="38"/>
      <c r="FC3" s="50"/>
      <c r="FF3"/>
      <c r="FG3"/>
      <c r="FH3" s="48"/>
      <c r="FI3" s="50" t="s">
        <v>85</v>
      </c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</row>
    <row r="4" spans="1:207" ht="12.75">
      <c r="A4" s="49"/>
      <c r="B4" s="33"/>
      <c r="J4" s="50"/>
      <c r="K4" s="41"/>
      <c r="L4" s="41"/>
      <c r="M4" s="41"/>
      <c r="AB4" s="24"/>
      <c r="AH4" s="24"/>
      <c r="AT4" s="24"/>
      <c r="BL4" s="24"/>
      <c r="DZ4" s="24"/>
      <c r="FD4" s="24"/>
      <c r="GY4" s="24"/>
    </row>
    <row r="5" spans="1:211" ht="12.75">
      <c r="A5" s="25" t="s">
        <v>13</v>
      </c>
      <c r="C5" s="67" t="s">
        <v>190</v>
      </c>
      <c r="D5" s="68"/>
      <c r="E5" s="69"/>
      <c r="F5" s="70"/>
      <c r="G5" s="70"/>
      <c r="I5" s="42" t="s">
        <v>86</v>
      </c>
      <c r="J5" s="43"/>
      <c r="K5" s="44"/>
      <c r="L5" s="46"/>
      <c r="M5" s="46"/>
      <c r="O5" s="42" t="s">
        <v>84</v>
      </c>
      <c r="P5" s="43"/>
      <c r="Q5" s="44"/>
      <c r="R5" s="46"/>
      <c r="S5" s="46"/>
      <c r="U5" s="26" t="s">
        <v>131</v>
      </c>
      <c r="V5" s="27"/>
      <c r="W5" s="28"/>
      <c r="X5" s="46"/>
      <c r="Y5" s="46"/>
      <c r="AA5" s="26" t="s">
        <v>75</v>
      </c>
      <c r="AB5" s="27"/>
      <c r="AC5" s="28"/>
      <c r="AD5" s="46"/>
      <c r="AE5" s="46"/>
      <c r="AG5" s="26" t="s">
        <v>64</v>
      </c>
      <c r="AH5" s="27"/>
      <c r="AI5" s="28"/>
      <c r="AJ5" s="46"/>
      <c r="AK5" s="46"/>
      <c r="AM5" s="26" t="s">
        <v>65</v>
      </c>
      <c r="AN5" s="27"/>
      <c r="AO5" s="28"/>
      <c r="AP5" s="46"/>
      <c r="AQ5" s="46"/>
      <c r="AS5" s="26" t="s">
        <v>74</v>
      </c>
      <c r="AT5" s="27"/>
      <c r="AU5" s="28"/>
      <c r="AV5" s="46"/>
      <c r="AW5" s="46"/>
      <c r="AX5" s="34"/>
      <c r="AY5" s="26" t="s">
        <v>132</v>
      </c>
      <c r="AZ5" s="27"/>
      <c r="BA5" s="28"/>
      <c r="BB5" s="46"/>
      <c r="BC5" s="46"/>
      <c r="BD5" s="34"/>
      <c r="BE5" s="26" t="s">
        <v>73</v>
      </c>
      <c r="BF5" s="27"/>
      <c r="BG5" s="28"/>
      <c r="BH5" s="46"/>
      <c r="BI5" s="46"/>
      <c r="BJ5" s="34"/>
      <c r="BK5" s="26" t="s">
        <v>133</v>
      </c>
      <c r="BL5" s="27"/>
      <c r="BM5" s="28"/>
      <c r="BN5" s="46"/>
      <c r="BO5" s="46"/>
      <c r="BP5" s="34"/>
      <c r="BQ5" s="26" t="s">
        <v>134</v>
      </c>
      <c r="BR5" s="27"/>
      <c r="BS5" s="28"/>
      <c r="BT5" s="46"/>
      <c r="BU5" s="46"/>
      <c r="BV5" s="34"/>
      <c r="BW5" s="26" t="s">
        <v>72</v>
      </c>
      <c r="BX5" s="27"/>
      <c r="BY5" s="28"/>
      <c r="BZ5" s="46"/>
      <c r="CA5" s="46"/>
      <c r="CC5" s="26" t="s">
        <v>66</v>
      </c>
      <c r="CD5" s="27"/>
      <c r="CE5" s="28"/>
      <c r="CF5" s="46"/>
      <c r="CG5" s="46"/>
      <c r="CI5" s="26" t="s">
        <v>135</v>
      </c>
      <c r="CJ5" s="27"/>
      <c r="CK5" s="28"/>
      <c r="CL5" s="46"/>
      <c r="CM5" s="46"/>
      <c r="CO5" s="26" t="s">
        <v>136</v>
      </c>
      <c r="CP5" s="27"/>
      <c r="CQ5" s="28"/>
      <c r="CR5" s="46"/>
      <c r="CS5" s="46"/>
      <c r="CU5" s="26" t="s">
        <v>67</v>
      </c>
      <c r="CV5" s="27"/>
      <c r="CW5" s="28"/>
      <c r="CX5" s="46"/>
      <c r="CY5" s="46"/>
      <c r="DA5" s="26" t="s">
        <v>68</v>
      </c>
      <c r="DB5" s="27"/>
      <c r="DC5" s="28"/>
      <c r="DD5" s="46"/>
      <c r="DE5" s="46"/>
      <c r="DG5" s="26" t="s">
        <v>69</v>
      </c>
      <c r="DH5" s="27"/>
      <c r="DI5" s="28"/>
      <c r="DJ5" s="46"/>
      <c r="DK5" s="46"/>
      <c r="DM5" s="26" t="s">
        <v>137</v>
      </c>
      <c r="DN5" s="27"/>
      <c r="DO5" s="28"/>
      <c r="DP5" s="46"/>
      <c r="DQ5" s="46"/>
      <c r="DS5" s="26" t="s">
        <v>138</v>
      </c>
      <c r="DT5" s="27"/>
      <c r="DU5" s="28"/>
      <c r="DV5" s="46"/>
      <c r="DW5" s="46"/>
      <c r="DY5" s="26" t="s">
        <v>70</v>
      </c>
      <c r="DZ5" s="27"/>
      <c r="EA5" s="28"/>
      <c r="EB5" s="46"/>
      <c r="EC5" s="46"/>
      <c r="ED5" s="34"/>
      <c r="EE5" s="26" t="s">
        <v>71</v>
      </c>
      <c r="EF5" s="27"/>
      <c r="EG5" s="28"/>
      <c r="EH5" s="46"/>
      <c r="EI5" s="46"/>
      <c r="EK5" s="77" t="s">
        <v>192</v>
      </c>
      <c r="EL5" s="78"/>
      <c r="EM5" s="79"/>
      <c r="EN5" s="80"/>
      <c r="EO5" s="80"/>
      <c r="EQ5" s="26" t="s">
        <v>76</v>
      </c>
      <c r="ER5" s="27"/>
      <c r="ES5" s="28"/>
      <c r="ET5" s="46"/>
      <c r="EU5" s="46"/>
      <c r="EV5" s="34"/>
      <c r="EW5" s="26" t="s">
        <v>146</v>
      </c>
      <c r="EX5" s="27"/>
      <c r="EY5" s="28"/>
      <c r="EZ5" s="46"/>
      <c r="FA5" s="46"/>
      <c r="FB5" s="34"/>
      <c r="FC5" s="26" t="s">
        <v>77</v>
      </c>
      <c r="FD5" s="27"/>
      <c r="FE5" s="28"/>
      <c r="FF5" s="46"/>
      <c r="FG5" s="46"/>
      <c r="FH5" s="34"/>
      <c r="FI5" s="26" t="s">
        <v>78</v>
      </c>
      <c r="FJ5" s="27"/>
      <c r="FK5" s="28"/>
      <c r="FL5" s="46"/>
      <c r="FM5" s="46"/>
      <c r="FN5" s="34"/>
      <c r="FO5" s="26" t="s">
        <v>79</v>
      </c>
      <c r="FP5" s="27"/>
      <c r="FQ5" s="28"/>
      <c r="FR5" s="46"/>
      <c r="FS5" s="46"/>
      <c r="FT5" s="34"/>
      <c r="FU5" s="26" t="s">
        <v>80</v>
      </c>
      <c r="FV5" s="27"/>
      <c r="FW5" s="28"/>
      <c r="FX5" s="46"/>
      <c r="FY5" s="46"/>
      <c r="FZ5" s="34"/>
      <c r="GA5" s="26" t="s">
        <v>139</v>
      </c>
      <c r="GB5" s="27"/>
      <c r="GC5" s="28"/>
      <c r="GD5" s="46"/>
      <c r="GE5" s="46"/>
      <c r="GF5" s="34"/>
      <c r="GG5" s="26" t="s">
        <v>81</v>
      </c>
      <c r="GH5" s="27"/>
      <c r="GI5" s="28"/>
      <c r="GJ5" s="46"/>
      <c r="GK5" s="46"/>
      <c r="GL5" s="34"/>
      <c r="GM5" s="26" t="s">
        <v>82</v>
      </c>
      <c r="GN5" s="27"/>
      <c r="GO5" s="28"/>
      <c r="GP5" s="46"/>
      <c r="GQ5" s="46"/>
      <c r="GR5" s="34"/>
      <c r="GS5" s="26" t="s">
        <v>140</v>
      </c>
      <c r="GT5" s="27"/>
      <c r="GU5" s="28"/>
      <c r="GV5" s="46"/>
      <c r="GW5" s="46"/>
      <c r="GX5" s="34"/>
      <c r="GY5" s="61" t="s">
        <v>145</v>
      </c>
      <c r="GZ5" s="27"/>
      <c r="HA5" s="28"/>
      <c r="HB5" s="46"/>
      <c r="HC5" s="46"/>
    </row>
    <row r="6" spans="1:211" s="13" customFormat="1" ht="12.75">
      <c r="A6" s="51" t="s">
        <v>14</v>
      </c>
      <c r="C6" s="71" t="s">
        <v>191</v>
      </c>
      <c r="D6" s="68"/>
      <c r="E6" s="69"/>
      <c r="F6" s="70" t="s">
        <v>182</v>
      </c>
      <c r="G6" s="70" t="s">
        <v>182</v>
      </c>
      <c r="H6" s="38"/>
      <c r="I6" s="45"/>
      <c r="J6" s="58">
        <v>0.1774091</v>
      </c>
      <c r="K6" s="44"/>
      <c r="L6" s="46" t="s">
        <v>182</v>
      </c>
      <c r="M6" s="46" t="s">
        <v>182</v>
      </c>
      <c r="O6" s="45"/>
      <c r="P6" s="58">
        <f>V6+AB6+AH6+AN6+AT6+AZ6+BF6+BL6+BR6+BX6+CD6+CJ6+CP6+CV6+DB6+DH6+DN6+DT6+DZ6+EF6+EL6+ER6+EX6+FD6+FJ6+FP6+FV6+GB6+GH6+GN6+GT6</f>
        <v>0.8225908999999999</v>
      </c>
      <c r="Q6" s="44"/>
      <c r="R6" s="46" t="s">
        <v>182</v>
      </c>
      <c r="S6" s="46" t="s">
        <v>182</v>
      </c>
      <c r="U6" s="52"/>
      <c r="V6" s="37">
        <v>0.0001736</v>
      </c>
      <c r="W6" s="53"/>
      <c r="X6" s="46" t="s">
        <v>182</v>
      </c>
      <c r="Y6" s="46" t="s">
        <v>182</v>
      </c>
      <c r="AA6" s="52"/>
      <c r="AB6" s="37">
        <v>0.0224825</v>
      </c>
      <c r="AC6" s="53"/>
      <c r="AD6" s="46" t="s">
        <v>182</v>
      </c>
      <c r="AE6" s="46" t="s">
        <v>182</v>
      </c>
      <c r="AG6" s="52"/>
      <c r="AH6" s="37">
        <v>0.1389587</v>
      </c>
      <c r="AI6" s="53"/>
      <c r="AJ6" s="46" t="s">
        <v>182</v>
      </c>
      <c r="AK6" s="46" t="s">
        <v>182</v>
      </c>
      <c r="AM6" s="52"/>
      <c r="AN6" s="37">
        <v>0.0014088</v>
      </c>
      <c r="AO6" s="53"/>
      <c r="AP6" s="46" t="s">
        <v>182</v>
      </c>
      <c r="AQ6" s="46" t="s">
        <v>182</v>
      </c>
      <c r="AS6" s="52"/>
      <c r="AT6" s="37">
        <v>0.0392527</v>
      </c>
      <c r="AU6" s="53"/>
      <c r="AV6" s="46" t="s">
        <v>182</v>
      </c>
      <c r="AW6" s="46" t="s">
        <v>182</v>
      </c>
      <c r="AX6" s="31"/>
      <c r="AY6" s="52"/>
      <c r="AZ6" s="37">
        <v>0.0027645</v>
      </c>
      <c r="BA6" s="53"/>
      <c r="BB6" s="46" t="s">
        <v>182</v>
      </c>
      <c r="BC6" s="46" t="s">
        <v>182</v>
      </c>
      <c r="BD6" s="31"/>
      <c r="BE6" s="52"/>
      <c r="BF6" s="37">
        <v>0.063907</v>
      </c>
      <c r="BG6" s="53"/>
      <c r="BH6" s="46" t="s">
        <v>182</v>
      </c>
      <c r="BI6" s="46" t="s">
        <v>182</v>
      </c>
      <c r="BJ6" s="31"/>
      <c r="BK6" s="52"/>
      <c r="BL6" s="37">
        <v>0.0021962</v>
      </c>
      <c r="BM6" s="53"/>
      <c r="BN6" s="46" t="s">
        <v>182</v>
      </c>
      <c r="BO6" s="46" t="s">
        <v>182</v>
      </c>
      <c r="BP6" s="31"/>
      <c r="BQ6" s="52"/>
      <c r="BR6" s="37">
        <v>0.0023679</v>
      </c>
      <c r="BS6" s="53"/>
      <c r="BT6" s="46" t="s">
        <v>182</v>
      </c>
      <c r="BU6" s="46" t="s">
        <v>182</v>
      </c>
      <c r="BV6" s="31"/>
      <c r="BW6" s="52"/>
      <c r="BX6" s="37">
        <v>0.0006255</v>
      </c>
      <c r="BY6" s="53"/>
      <c r="BZ6" s="46" t="s">
        <v>182</v>
      </c>
      <c r="CA6" s="46" t="s">
        <v>182</v>
      </c>
      <c r="CC6" s="52"/>
      <c r="CD6" s="37">
        <v>0.1389834</v>
      </c>
      <c r="CE6" s="53"/>
      <c r="CF6" s="46" t="s">
        <v>182</v>
      </c>
      <c r="CG6" s="46" t="s">
        <v>182</v>
      </c>
      <c r="CI6" s="52"/>
      <c r="CJ6" s="37">
        <v>0.0019064</v>
      </c>
      <c r="CK6" s="53"/>
      <c r="CL6" s="46" t="s">
        <v>182</v>
      </c>
      <c r="CM6" s="46" t="s">
        <v>182</v>
      </c>
      <c r="CO6" s="52"/>
      <c r="CP6" s="37">
        <v>0.0022587</v>
      </c>
      <c r="CQ6" s="53"/>
      <c r="CR6" s="46" t="s">
        <v>182</v>
      </c>
      <c r="CS6" s="46" t="s">
        <v>182</v>
      </c>
      <c r="CU6" s="52"/>
      <c r="CV6" s="37">
        <v>0.0269452</v>
      </c>
      <c r="CW6" s="53"/>
      <c r="CX6" s="46" t="s">
        <v>182</v>
      </c>
      <c r="CY6" s="46" t="s">
        <v>182</v>
      </c>
      <c r="DA6" s="52"/>
      <c r="DB6" s="37">
        <v>0.0024417</v>
      </c>
      <c r="DC6" s="53"/>
      <c r="DD6" s="46" t="s">
        <v>182</v>
      </c>
      <c r="DE6" s="46" t="s">
        <v>182</v>
      </c>
      <c r="DG6" s="52"/>
      <c r="DH6" s="37">
        <v>0.0092028</v>
      </c>
      <c r="DI6" s="53"/>
      <c r="DJ6" s="46" t="s">
        <v>182</v>
      </c>
      <c r="DK6" s="46" t="s">
        <v>182</v>
      </c>
      <c r="DM6" s="52"/>
      <c r="DN6" s="37">
        <v>0.0214249</v>
      </c>
      <c r="DO6" s="53"/>
      <c r="DP6" s="46" t="s">
        <v>182</v>
      </c>
      <c r="DQ6" s="46" t="s">
        <v>182</v>
      </c>
      <c r="DS6" s="52"/>
      <c r="DT6" s="37">
        <v>0.0104086</v>
      </c>
      <c r="DU6" s="53"/>
      <c r="DV6" s="46" t="s">
        <v>182</v>
      </c>
      <c r="DW6" s="46" t="s">
        <v>182</v>
      </c>
      <c r="DY6" s="52"/>
      <c r="DZ6" s="37">
        <v>0.0017922</v>
      </c>
      <c r="EA6" s="53"/>
      <c r="EB6" s="46" t="s">
        <v>182</v>
      </c>
      <c r="EC6" s="46" t="s">
        <v>182</v>
      </c>
      <c r="ED6" s="31"/>
      <c r="EE6" s="52"/>
      <c r="EF6" s="37">
        <v>0.0023104</v>
      </c>
      <c r="EG6" s="53"/>
      <c r="EH6" s="46" t="s">
        <v>182</v>
      </c>
      <c r="EI6" s="46" t="s">
        <v>182</v>
      </c>
      <c r="EK6" s="81"/>
      <c r="EL6" s="82">
        <v>0.0605401</v>
      </c>
      <c r="EM6" s="83"/>
      <c r="EN6" s="80" t="s">
        <v>182</v>
      </c>
      <c r="EO6" s="80" t="s">
        <v>182</v>
      </c>
      <c r="EQ6" s="52"/>
      <c r="ER6" s="37">
        <v>0.0151927</v>
      </c>
      <c r="ES6" s="53"/>
      <c r="ET6" s="46" t="s">
        <v>182</v>
      </c>
      <c r="EU6" s="46" t="s">
        <v>182</v>
      </c>
      <c r="EV6" s="31"/>
      <c r="EW6" s="52"/>
      <c r="EX6" s="37">
        <v>0.0221555</v>
      </c>
      <c r="EY6" s="53"/>
      <c r="EZ6" s="46" t="s">
        <v>182</v>
      </c>
      <c r="FA6" s="46" t="s">
        <v>182</v>
      </c>
      <c r="FB6" s="31"/>
      <c r="FC6" s="52"/>
      <c r="FD6" s="37">
        <v>6.8E-06</v>
      </c>
      <c r="FE6" s="53"/>
      <c r="FF6" s="46" t="s">
        <v>182</v>
      </c>
      <c r="FG6" s="46" t="s">
        <v>182</v>
      </c>
      <c r="FH6" s="31"/>
      <c r="FI6" s="52"/>
      <c r="FJ6" s="37">
        <v>0.0145821</v>
      </c>
      <c r="FK6" s="53"/>
      <c r="FL6" s="46" t="s">
        <v>182</v>
      </c>
      <c r="FM6" s="46" t="s">
        <v>182</v>
      </c>
      <c r="FN6" s="31"/>
      <c r="FO6" s="52"/>
      <c r="FP6" s="37">
        <v>0.018151</v>
      </c>
      <c r="FQ6" s="53"/>
      <c r="FR6" s="46" t="s">
        <v>182</v>
      </c>
      <c r="FS6" s="46" t="s">
        <v>182</v>
      </c>
      <c r="FT6" s="31"/>
      <c r="FU6" s="52"/>
      <c r="FV6" s="37">
        <v>0.0212676</v>
      </c>
      <c r="FW6" s="53"/>
      <c r="FX6" s="46" t="s">
        <v>182</v>
      </c>
      <c r="FY6" s="46" t="s">
        <v>182</v>
      </c>
      <c r="FZ6" s="31"/>
      <c r="GA6" s="52"/>
      <c r="GB6" s="37">
        <v>0.0678414</v>
      </c>
      <c r="GC6" s="53"/>
      <c r="GD6" s="46" t="s">
        <v>182</v>
      </c>
      <c r="GE6" s="46" t="s">
        <v>182</v>
      </c>
      <c r="GF6" s="31"/>
      <c r="GG6" s="52"/>
      <c r="GH6" s="37">
        <v>0.1089131</v>
      </c>
      <c r="GI6" s="53"/>
      <c r="GJ6" s="46" t="s">
        <v>182</v>
      </c>
      <c r="GK6" s="46" t="s">
        <v>182</v>
      </c>
      <c r="GL6" s="31"/>
      <c r="GM6" s="52"/>
      <c r="GN6" s="37">
        <v>0.0003264</v>
      </c>
      <c r="GO6" s="53"/>
      <c r="GP6" s="46" t="s">
        <v>182</v>
      </c>
      <c r="GQ6" s="46" t="s">
        <v>182</v>
      </c>
      <c r="GR6" s="31"/>
      <c r="GS6" s="52"/>
      <c r="GT6" s="37">
        <v>0.0018025</v>
      </c>
      <c r="GU6" s="53"/>
      <c r="GV6" s="46" t="s">
        <v>182</v>
      </c>
      <c r="GW6" s="46" t="s">
        <v>182</v>
      </c>
      <c r="GX6" s="31"/>
      <c r="GY6" s="52"/>
      <c r="GZ6" s="37"/>
      <c r="HA6" s="53"/>
      <c r="HB6" s="46" t="s">
        <v>182</v>
      </c>
      <c r="HC6" s="46" t="s">
        <v>182</v>
      </c>
    </row>
    <row r="7" spans="1:211" ht="12.75">
      <c r="A7" s="29"/>
      <c r="C7" s="46" t="s">
        <v>15</v>
      </c>
      <c r="D7" s="46" t="s">
        <v>16</v>
      </c>
      <c r="E7" s="46" t="s">
        <v>4</v>
      </c>
      <c r="F7" s="46" t="s">
        <v>183</v>
      </c>
      <c r="G7" s="46" t="s">
        <v>184</v>
      </c>
      <c r="I7" s="46" t="s">
        <v>15</v>
      </c>
      <c r="J7" s="46" t="s">
        <v>16</v>
      </c>
      <c r="K7" s="46" t="s">
        <v>4</v>
      </c>
      <c r="L7" s="46" t="s">
        <v>183</v>
      </c>
      <c r="M7" s="46" t="s">
        <v>184</v>
      </c>
      <c r="O7" s="46" t="s">
        <v>15</v>
      </c>
      <c r="P7" s="46" t="s">
        <v>16</v>
      </c>
      <c r="Q7" s="46" t="s">
        <v>4</v>
      </c>
      <c r="R7" s="46" t="s">
        <v>183</v>
      </c>
      <c r="S7" s="46" t="s">
        <v>184</v>
      </c>
      <c r="U7" s="30" t="s">
        <v>15</v>
      </c>
      <c r="V7" s="30" t="s">
        <v>16</v>
      </c>
      <c r="W7" s="30" t="s">
        <v>4</v>
      </c>
      <c r="X7" s="46" t="s">
        <v>183</v>
      </c>
      <c r="Y7" s="46" t="s">
        <v>184</v>
      </c>
      <c r="AA7" s="30" t="s">
        <v>15</v>
      </c>
      <c r="AB7" s="30" t="s">
        <v>16</v>
      </c>
      <c r="AC7" s="30" t="s">
        <v>4</v>
      </c>
      <c r="AD7" s="46" t="s">
        <v>183</v>
      </c>
      <c r="AE7" s="46" t="s">
        <v>184</v>
      </c>
      <c r="AG7" s="30" t="s">
        <v>15</v>
      </c>
      <c r="AH7" s="30" t="s">
        <v>16</v>
      </c>
      <c r="AI7" s="30" t="s">
        <v>4</v>
      </c>
      <c r="AJ7" s="46" t="s">
        <v>183</v>
      </c>
      <c r="AK7" s="46" t="s">
        <v>184</v>
      </c>
      <c r="AM7" s="30" t="s">
        <v>15</v>
      </c>
      <c r="AN7" s="30" t="s">
        <v>16</v>
      </c>
      <c r="AO7" s="30" t="s">
        <v>4</v>
      </c>
      <c r="AP7" s="46" t="s">
        <v>183</v>
      </c>
      <c r="AQ7" s="46" t="s">
        <v>184</v>
      </c>
      <c r="AS7" s="30" t="s">
        <v>15</v>
      </c>
      <c r="AT7" s="30" t="s">
        <v>16</v>
      </c>
      <c r="AU7" s="30" t="s">
        <v>4</v>
      </c>
      <c r="AV7" s="46" t="s">
        <v>183</v>
      </c>
      <c r="AW7" s="46" t="s">
        <v>184</v>
      </c>
      <c r="AX7" s="35"/>
      <c r="AY7" s="30" t="s">
        <v>15</v>
      </c>
      <c r="AZ7" s="30" t="s">
        <v>16</v>
      </c>
      <c r="BA7" s="30" t="s">
        <v>4</v>
      </c>
      <c r="BB7" s="46" t="s">
        <v>183</v>
      </c>
      <c r="BC7" s="46" t="s">
        <v>184</v>
      </c>
      <c r="BD7" s="35"/>
      <c r="BE7" s="30" t="s">
        <v>15</v>
      </c>
      <c r="BF7" s="30" t="s">
        <v>16</v>
      </c>
      <c r="BG7" s="30" t="s">
        <v>4</v>
      </c>
      <c r="BH7" s="46" t="s">
        <v>183</v>
      </c>
      <c r="BI7" s="46" t="s">
        <v>184</v>
      </c>
      <c r="BJ7" s="35"/>
      <c r="BK7" s="30" t="s">
        <v>15</v>
      </c>
      <c r="BL7" s="30" t="s">
        <v>16</v>
      </c>
      <c r="BM7" s="30" t="s">
        <v>4</v>
      </c>
      <c r="BN7" s="46" t="s">
        <v>183</v>
      </c>
      <c r="BO7" s="46" t="s">
        <v>184</v>
      </c>
      <c r="BP7" s="35"/>
      <c r="BQ7" s="30" t="s">
        <v>15</v>
      </c>
      <c r="BR7" s="30" t="s">
        <v>16</v>
      </c>
      <c r="BS7" s="30" t="s">
        <v>4</v>
      </c>
      <c r="BT7" s="46" t="s">
        <v>183</v>
      </c>
      <c r="BU7" s="46" t="s">
        <v>184</v>
      </c>
      <c r="BV7" s="35"/>
      <c r="BW7" s="30" t="s">
        <v>15</v>
      </c>
      <c r="BX7" s="30" t="s">
        <v>16</v>
      </c>
      <c r="BY7" s="30" t="s">
        <v>4</v>
      </c>
      <c r="BZ7" s="46" t="s">
        <v>183</v>
      </c>
      <c r="CA7" s="46" t="s">
        <v>184</v>
      </c>
      <c r="CC7" s="30" t="s">
        <v>15</v>
      </c>
      <c r="CD7" s="30" t="s">
        <v>16</v>
      </c>
      <c r="CE7" s="30" t="s">
        <v>4</v>
      </c>
      <c r="CF7" s="46" t="s">
        <v>183</v>
      </c>
      <c r="CG7" s="46" t="s">
        <v>184</v>
      </c>
      <c r="CI7" s="30" t="s">
        <v>15</v>
      </c>
      <c r="CJ7" s="30" t="s">
        <v>16</v>
      </c>
      <c r="CK7" s="30" t="s">
        <v>4</v>
      </c>
      <c r="CL7" s="46" t="s">
        <v>183</v>
      </c>
      <c r="CM7" s="46" t="s">
        <v>184</v>
      </c>
      <c r="CO7" s="30" t="s">
        <v>15</v>
      </c>
      <c r="CP7" s="30" t="s">
        <v>16</v>
      </c>
      <c r="CQ7" s="30" t="s">
        <v>4</v>
      </c>
      <c r="CR7" s="46" t="s">
        <v>183</v>
      </c>
      <c r="CS7" s="46" t="s">
        <v>184</v>
      </c>
      <c r="CU7" s="30" t="s">
        <v>15</v>
      </c>
      <c r="CV7" s="30" t="s">
        <v>16</v>
      </c>
      <c r="CW7" s="30" t="s">
        <v>4</v>
      </c>
      <c r="CX7" s="46" t="s">
        <v>183</v>
      </c>
      <c r="CY7" s="46" t="s">
        <v>184</v>
      </c>
      <c r="DA7" s="30" t="s">
        <v>15</v>
      </c>
      <c r="DB7" s="30" t="s">
        <v>16</v>
      </c>
      <c r="DC7" s="30" t="s">
        <v>4</v>
      </c>
      <c r="DD7" s="46" t="s">
        <v>183</v>
      </c>
      <c r="DE7" s="46" t="s">
        <v>184</v>
      </c>
      <c r="DG7" s="30" t="s">
        <v>15</v>
      </c>
      <c r="DH7" s="30" t="s">
        <v>16</v>
      </c>
      <c r="DI7" s="30" t="s">
        <v>4</v>
      </c>
      <c r="DJ7" s="46" t="s">
        <v>183</v>
      </c>
      <c r="DK7" s="46" t="s">
        <v>184</v>
      </c>
      <c r="DM7" s="30" t="s">
        <v>15</v>
      </c>
      <c r="DN7" s="30" t="s">
        <v>16</v>
      </c>
      <c r="DO7" s="30" t="s">
        <v>4</v>
      </c>
      <c r="DP7" s="46" t="s">
        <v>183</v>
      </c>
      <c r="DQ7" s="46" t="s">
        <v>184</v>
      </c>
      <c r="DS7" s="30" t="s">
        <v>15</v>
      </c>
      <c r="DT7" s="30" t="s">
        <v>16</v>
      </c>
      <c r="DU7" s="30" t="s">
        <v>4</v>
      </c>
      <c r="DV7" s="46" t="s">
        <v>183</v>
      </c>
      <c r="DW7" s="46" t="s">
        <v>184</v>
      </c>
      <c r="DY7" s="30" t="s">
        <v>15</v>
      </c>
      <c r="DZ7" s="30" t="s">
        <v>16</v>
      </c>
      <c r="EA7" s="30" t="s">
        <v>4</v>
      </c>
      <c r="EB7" s="46" t="s">
        <v>183</v>
      </c>
      <c r="EC7" s="46" t="s">
        <v>184</v>
      </c>
      <c r="ED7" s="35"/>
      <c r="EE7" s="30" t="s">
        <v>15</v>
      </c>
      <c r="EF7" s="30" t="s">
        <v>16</v>
      </c>
      <c r="EG7" s="30" t="s">
        <v>4</v>
      </c>
      <c r="EH7" s="46" t="s">
        <v>183</v>
      </c>
      <c r="EI7" s="46" t="s">
        <v>184</v>
      </c>
      <c r="EK7" s="84" t="s">
        <v>15</v>
      </c>
      <c r="EL7" s="84" t="s">
        <v>16</v>
      </c>
      <c r="EM7" s="84" t="s">
        <v>4</v>
      </c>
      <c r="EN7" s="80" t="s">
        <v>183</v>
      </c>
      <c r="EO7" s="80" t="s">
        <v>184</v>
      </c>
      <c r="EQ7" s="30" t="s">
        <v>15</v>
      </c>
      <c r="ER7" s="30" t="s">
        <v>16</v>
      </c>
      <c r="ES7" s="30" t="s">
        <v>4</v>
      </c>
      <c r="ET7" s="46" t="s">
        <v>183</v>
      </c>
      <c r="EU7" s="46" t="s">
        <v>184</v>
      </c>
      <c r="EV7" s="35"/>
      <c r="EW7" s="30" t="s">
        <v>15</v>
      </c>
      <c r="EX7" s="30" t="s">
        <v>16</v>
      </c>
      <c r="EY7" s="30" t="s">
        <v>4</v>
      </c>
      <c r="EZ7" s="46" t="s">
        <v>183</v>
      </c>
      <c r="FA7" s="46" t="s">
        <v>184</v>
      </c>
      <c r="FB7" s="35"/>
      <c r="FC7" s="30" t="s">
        <v>15</v>
      </c>
      <c r="FD7" s="30" t="s">
        <v>16</v>
      </c>
      <c r="FE7" s="30" t="s">
        <v>4</v>
      </c>
      <c r="FF7" s="46" t="s">
        <v>183</v>
      </c>
      <c r="FG7" s="46" t="s">
        <v>184</v>
      </c>
      <c r="FH7" s="35"/>
      <c r="FI7" s="30" t="s">
        <v>15</v>
      </c>
      <c r="FJ7" s="30" t="s">
        <v>16</v>
      </c>
      <c r="FK7" s="30" t="s">
        <v>4</v>
      </c>
      <c r="FL7" s="46" t="s">
        <v>183</v>
      </c>
      <c r="FM7" s="46" t="s">
        <v>184</v>
      </c>
      <c r="FN7" s="35"/>
      <c r="FO7" s="30" t="s">
        <v>15</v>
      </c>
      <c r="FP7" s="30" t="s">
        <v>16</v>
      </c>
      <c r="FQ7" s="30" t="s">
        <v>4</v>
      </c>
      <c r="FR7" s="46" t="s">
        <v>183</v>
      </c>
      <c r="FS7" s="46" t="s">
        <v>184</v>
      </c>
      <c r="FT7" s="35"/>
      <c r="FU7" s="30" t="s">
        <v>15</v>
      </c>
      <c r="FV7" s="30" t="s">
        <v>16</v>
      </c>
      <c r="FW7" s="30" t="s">
        <v>4</v>
      </c>
      <c r="FX7" s="46" t="s">
        <v>183</v>
      </c>
      <c r="FY7" s="46" t="s">
        <v>184</v>
      </c>
      <c r="FZ7" s="35"/>
      <c r="GA7" s="30" t="s">
        <v>15</v>
      </c>
      <c r="GB7" s="30" t="s">
        <v>16</v>
      </c>
      <c r="GC7" s="30" t="s">
        <v>4</v>
      </c>
      <c r="GD7" s="46" t="s">
        <v>183</v>
      </c>
      <c r="GE7" s="46" t="s">
        <v>184</v>
      </c>
      <c r="GF7" s="35"/>
      <c r="GG7" s="30" t="s">
        <v>15</v>
      </c>
      <c r="GH7" s="30" t="s">
        <v>16</v>
      </c>
      <c r="GI7" s="30" t="s">
        <v>4</v>
      </c>
      <c r="GJ7" s="46" t="s">
        <v>183</v>
      </c>
      <c r="GK7" s="46" t="s">
        <v>184</v>
      </c>
      <c r="GL7" s="35"/>
      <c r="GM7" s="30" t="s">
        <v>15</v>
      </c>
      <c r="GN7" s="30" t="s">
        <v>16</v>
      </c>
      <c r="GO7" s="30" t="s">
        <v>4</v>
      </c>
      <c r="GP7" s="46" t="s">
        <v>183</v>
      </c>
      <c r="GQ7" s="46" t="s">
        <v>184</v>
      </c>
      <c r="GR7" s="35"/>
      <c r="GS7" s="30" t="s">
        <v>15</v>
      </c>
      <c r="GT7" s="30" t="s">
        <v>16</v>
      </c>
      <c r="GU7" s="30" t="s">
        <v>4</v>
      </c>
      <c r="GV7" s="46" t="s">
        <v>183</v>
      </c>
      <c r="GW7" s="46" t="s">
        <v>184</v>
      </c>
      <c r="GX7" s="35"/>
      <c r="GY7" s="30" t="s">
        <v>15</v>
      </c>
      <c r="GZ7" s="30" t="s">
        <v>16</v>
      </c>
      <c r="HA7" s="30" t="s">
        <v>4</v>
      </c>
      <c r="HB7" s="46" t="s">
        <v>183</v>
      </c>
      <c r="HC7" s="46" t="s">
        <v>184</v>
      </c>
    </row>
    <row r="8" spans="1:229" s="57" customFormat="1" ht="12.75">
      <c r="A8" s="56">
        <v>43739</v>
      </c>
      <c r="C8" s="75"/>
      <c r="D8" s="75">
        <v>131200</v>
      </c>
      <c r="E8" s="73">
        <f aca="true" t="shared" si="0" ref="E8:E15">C8+D8</f>
        <v>131200</v>
      </c>
      <c r="F8" s="73">
        <v>21726</v>
      </c>
      <c r="G8" s="73">
        <v>7791</v>
      </c>
      <c r="H8" s="75"/>
      <c r="I8" s="73">
        <f>'2009D Academic'!D8</f>
        <v>0</v>
      </c>
      <c r="J8" s="73">
        <f>'2009D Academic'!E8</f>
        <v>23276.073920000003</v>
      </c>
      <c r="K8" s="73">
        <f>I8+J8</f>
        <v>23276.073920000003</v>
      </c>
      <c r="L8" s="73">
        <f>'2009D Academic'!G8</f>
        <v>3854.3901066</v>
      </c>
      <c r="M8" s="73">
        <f>'2009D Academic'!H8</f>
        <v>1382.1942981000002</v>
      </c>
      <c r="N8" s="75"/>
      <c r="O8" s="72">
        <f aca="true" t="shared" si="1" ref="O8:O15">U8+AA8+AG8+AM8+AS8+AY8+BE8+BK8+BQ8+BW8+CC8+CI8+CO8+CU8+DA8+DG8+DM8+DS8+DY8+EE8+EK8+EQ8+EW8+FC8+FI8+FO8+FU8+GA8++GG8+GM8+GS8+GY8</f>
        <v>0</v>
      </c>
      <c r="P8" s="74">
        <f aca="true" t="shared" si="2" ref="P8:P15">V8+AB8+AH8+AN8+AT8+AZ8+BF8+BL8+BR8+BX8+CD8+CJ8+CP8+CV8+DB8+DH8+DN8+DT8+DZ8+EF8+EL8+ER8+EX8+FD8+FJ8+FP8+FV8+GB8+GH8+GN8+GT8</f>
        <v>107923.92608</v>
      </c>
      <c r="Q8" s="72">
        <f aca="true" t="shared" si="3" ref="Q8:Q15">O8+P8</f>
        <v>107923.92608</v>
      </c>
      <c r="R8" s="72">
        <f>X8+AD8+AJ8+AP8+AV8+BB8+BH8+BN8+BT8+BZ8+CF8+CL8+CR8+CX8+DD8+DJ8+DP8+DV8+EB8+EH8+EN8+ET8+EZ8+FF8+FL8+FR8+FX8+GD8+GJ8+GP8+GV8+HB8</f>
        <v>17871.6098934</v>
      </c>
      <c r="S8" s="72">
        <f>Y8+AE8+AK8+AQ8+AW8+BC8+BI8+BO8+BU8+CA8+CG8+CM8+CS8+CY8+DE8+DK8+DQ8+DW8+EC8+EI8+EO8+EU8+FA8+FG8+FM8+FS8+FY8+GE8+GK8+GQ8+GW8+HC8</f>
        <v>6408.805701900001</v>
      </c>
      <c r="T8" s="75"/>
      <c r="U8" s="72"/>
      <c r="V8" s="72">
        <f aca="true" t="shared" si="4" ref="V8:V15">D8*0.01736/100</f>
        <v>22.776320000000002</v>
      </c>
      <c r="W8" s="72">
        <f aca="true" t="shared" si="5" ref="W8:W15">U8+V8</f>
        <v>22.776320000000002</v>
      </c>
      <c r="X8" s="72">
        <f>V$6*$F8</f>
        <v>3.7716336</v>
      </c>
      <c r="Y8" s="73">
        <f>V$6*$G8</f>
        <v>1.3525175999999999</v>
      </c>
      <c r="Z8" s="75"/>
      <c r="AA8" s="72"/>
      <c r="AB8" s="72">
        <f aca="true" t="shared" si="6" ref="AB8:AB15">D8*2.24825/100</f>
        <v>2949.704</v>
      </c>
      <c r="AC8" s="72">
        <f aca="true" t="shared" si="7" ref="AC8:AC15">AA8+AB8</f>
        <v>2949.704</v>
      </c>
      <c r="AD8" s="72">
        <f>AB$6*$F8</f>
        <v>488.454795</v>
      </c>
      <c r="AE8" s="73">
        <f>AB$6*$G8</f>
        <v>175.1611575</v>
      </c>
      <c r="AF8" s="75"/>
      <c r="AG8" s="72"/>
      <c r="AH8" s="72">
        <f aca="true" t="shared" si="8" ref="AH8:AH15">D8*13.89587/100</f>
        <v>18231.38144</v>
      </c>
      <c r="AI8" s="72">
        <f aca="true" t="shared" si="9" ref="AI8:AI15">AG8+AH8</f>
        <v>18231.38144</v>
      </c>
      <c r="AJ8" s="72">
        <f>AH$6*$F8</f>
        <v>3019.0167162</v>
      </c>
      <c r="AK8" s="73">
        <f>AH$6*$G8</f>
        <v>1082.6272317</v>
      </c>
      <c r="AL8" s="75"/>
      <c r="AM8" s="72"/>
      <c r="AN8" s="72">
        <f aca="true" t="shared" si="10" ref="AN8:AN15">D8*0.14088/100</f>
        <v>184.83456</v>
      </c>
      <c r="AO8" s="72">
        <f aca="true" t="shared" si="11" ref="AO8:AO15">AM8+AN8</f>
        <v>184.83456</v>
      </c>
      <c r="AP8" s="72">
        <f>AN$6*$F8</f>
        <v>30.6075888</v>
      </c>
      <c r="AQ8" s="73">
        <f>AN$6*$G8</f>
        <v>10.9759608</v>
      </c>
      <c r="AR8" s="75"/>
      <c r="AS8" s="72"/>
      <c r="AT8" s="72">
        <f aca="true" t="shared" si="12" ref="AT8:AT15">D8*3.92527/100</f>
        <v>5149.95424</v>
      </c>
      <c r="AU8" s="72">
        <f aca="true" t="shared" si="13" ref="AU8:AU15">AS8+AT8</f>
        <v>5149.95424</v>
      </c>
      <c r="AV8" s="72">
        <f>AT$6*$F8</f>
        <v>852.8041602000001</v>
      </c>
      <c r="AW8" s="73">
        <f>AT$6*$G8</f>
        <v>305.8177857</v>
      </c>
      <c r="AX8" s="75"/>
      <c r="AY8" s="72"/>
      <c r="AZ8" s="72">
        <f aca="true" t="shared" si="14" ref="AZ8:AZ15">D8*0.27645/100</f>
        <v>362.70239999999995</v>
      </c>
      <c r="BA8" s="72">
        <f aca="true" t="shared" si="15" ref="BA8:BA15">AY8+AZ8</f>
        <v>362.70239999999995</v>
      </c>
      <c r="BB8" s="72">
        <f>AZ$6*$F8</f>
        <v>60.061527</v>
      </c>
      <c r="BC8" s="73">
        <f>AZ$6*$G8</f>
        <v>21.5382195</v>
      </c>
      <c r="BD8" s="75"/>
      <c r="BE8" s="72"/>
      <c r="BF8" s="72">
        <f aca="true" t="shared" si="16" ref="BF8:BF15">D8*6.3907/100</f>
        <v>8384.598399999999</v>
      </c>
      <c r="BG8" s="72">
        <f aca="true" t="shared" si="17" ref="BG8:BG15">BE8+BF8</f>
        <v>8384.598399999999</v>
      </c>
      <c r="BH8" s="72">
        <f>BF$6*$F8</f>
        <v>1388.4434820000001</v>
      </c>
      <c r="BI8" s="73">
        <f>BF$6*$G8</f>
        <v>497.89943700000003</v>
      </c>
      <c r="BJ8" s="75"/>
      <c r="BK8" s="72"/>
      <c r="BL8" s="72">
        <f aca="true" t="shared" si="18" ref="BL8:BL15">D8*0.21962/100</f>
        <v>288.14144</v>
      </c>
      <c r="BM8" s="72">
        <f aca="true" t="shared" si="19" ref="BM8:BM15">BK8+BL8</f>
        <v>288.14144</v>
      </c>
      <c r="BN8" s="72">
        <f>BL$6*$F8</f>
        <v>47.7146412</v>
      </c>
      <c r="BO8" s="73">
        <f>BL$6*$G8</f>
        <v>17.1105942</v>
      </c>
      <c r="BP8" s="75"/>
      <c r="BQ8" s="72"/>
      <c r="BR8" s="72">
        <f aca="true" t="shared" si="20" ref="BR8:BR15">D8*0.23679/100</f>
        <v>310.66848000000005</v>
      </c>
      <c r="BS8" s="72">
        <f aca="true" t="shared" si="21" ref="BS8:BS15">BQ8+BR8</f>
        <v>310.66848000000005</v>
      </c>
      <c r="BT8" s="72">
        <f>BR$6*$F8</f>
        <v>51.4449954</v>
      </c>
      <c r="BU8" s="73">
        <f>BR$6*$G8</f>
        <v>18.4483089</v>
      </c>
      <c r="BV8" s="75"/>
      <c r="BW8" s="72"/>
      <c r="BX8" s="72">
        <f aca="true" t="shared" si="22" ref="BX8:BX15">D8*0.06255/100</f>
        <v>82.06559999999999</v>
      </c>
      <c r="BY8" s="72">
        <f aca="true" t="shared" si="23" ref="BY8:BY15">BW8+BX8</f>
        <v>82.06559999999999</v>
      </c>
      <c r="BZ8" s="72">
        <f>BX$6*$F8</f>
        <v>13.589613</v>
      </c>
      <c r="CA8" s="73">
        <f>BX$6*$G8</f>
        <v>4.873270499999999</v>
      </c>
      <c r="CB8" s="75"/>
      <c r="CC8" s="72"/>
      <c r="CD8" s="72">
        <f aca="true" t="shared" si="24" ref="CD8:CD15">D8*13.89834/100</f>
        <v>18234.622079999997</v>
      </c>
      <c r="CE8" s="72">
        <f aca="true" t="shared" si="25" ref="CE8:CE15">CC8+CD8</f>
        <v>18234.622079999997</v>
      </c>
      <c r="CF8" s="72">
        <f>CD$6*$F8</f>
        <v>3019.5533484000002</v>
      </c>
      <c r="CG8" s="73">
        <f>CD$6*$G8</f>
        <v>1082.8196694</v>
      </c>
      <c r="CH8" s="75"/>
      <c r="CI8" s="72"/>
      <c r="CJ8" s="72">
        <f aca="true" t="shared" si="26" ref="CJ8:CJ15">D8*0.19064/100</f>
        <v>250.11968000000002</v>
      </c>
      <c r="CK8" s="72">
        <f aca="true" t="shared" si="27" ref="CK8:CK15">CI8+CJ8</f>
        <v>250.11968000000002</v>
      </c>
      <c r="CL8" s="72">
        <f>CJ$6*$F8</f>
        <v>41.4184464</v>
      </c>
      <c r="CM8" s="73">
        <f>CJ$6*$G8</f>
        <v>14.8527624</v>
      </c>
      <c r="CN8" s="75"/>
      <c r="CO8" s="72"/>
      <c r="CP8" s="72">
        <f aca="true" t="shared" si="28" ref="CP8:CP15">D8*0.22587/100</f>
        <v>296.34144</v>
      </c>
      <c r="CQ8" s="72">
        <f aca="true" t="shared" si="29" ref="CQ8:CQ15">CO8+CP8</f>
        <v>296.34144</v>
      </c>
      <c r="CR8" s="72">
        <f>CP$6*$F8</f>
        <v>49.0725162</v>
      </c>
      <c r="CS8" s="73">
        <f>CP$6*$G8</f>
        <v>17.5975317</v>
      </c>
      <c r="CT8" s="75"/>
      <c r="CU8" s="72"/>
      <c r="CV8" s="72">
        <f aca="true" t="shared" si="30" ref="CV8:CV15">D8*2.69452/100</f>
        <v>3535.21024</v>
      </c>
      <c r="CW8" s="72">
        <f aca="true" t="shared" si="31" ref="CW8:CW15">CU8+CV8</f>
        <v>3535.21024</v>
      </c>
      <c r="CX8" s="72">
        <f>CV$6*$F8</f>
        <v>585.4114152</v>
      </c>
      <c r="CY8" s="73">
        <f>CV$6*$G8</f>
        <v>209.9300532</v>
      </c>
      <c r="CZ8" s="75"/>
      <c r="DA8" s="72"/>
      <c r="DB8" s="72">
        <f aca="true" t="shared" si="32" ref="DB8:DB15">D8*0.24417/100</f>
        <v>320.35104</v>
      </c>
      <c r="DC8" s="72">
        <f aca="true" t="shared" si="33" ref="DC8:DC15">DA8+DB8</f>
        <v>320.35104</v>
      </c>
      <c r="DD8" s="72">
        <f>DB$6*$F8</f>
        <v>53.048374200000005</v>
      </c>
      <c r="DE8" s="73">
        <f>DB$6*$G8</f>
        <v>19.0232847</v>
      </c>
      <c r="DF8" s="75"/>
      <c r="DG8" s="72"/>
      <c r="DH8" s="72">
        <f aca="true" t="shared" si="34" ref="DH8:DH15">D8*0.92028/100</f>
        <v>1207.4073600000002</v>
      </c>
      <c r="DI8" s="72">
        <f aca="true" t="shared" si="35" ref="DI8:DI15">DG8+DH8</f>
        <v>1207.4073600000002</v>
      </c>
      <c r="DJ8" s="72">
        <f>DH$6*$F8</f>
        <v>199.9400328</v>
      </c>
      <c r="DK8" s="73">
        <f>DH$6*$G8</f>
        <v>71.6990148</v>
      </c>
      <c r="DL8" s="75"/>
      <c r="DM8" s="72"/>
      <c r="DN8" s="72">
        <f aca="true" t="shared" si="36" ref="DN8:DN15">D8*2.14249/100</f>
        <v>2810.9468800000004</v>
      </c>
      <c r="DO8" s="72">
        <f aca="true" t="shared" si="37" ref="DO8:DO15">DM8+DN8</f>
        <v>2810.9468800000004</v>
      </c>
      <c r="DP8" s="72">
        <f>DN$6*$F8</f>
        <v>465.4773774</v>
      </c>
      <c r="DQ8" s="73">
        <f>DN$6*$G8</f>
        <v>166.9213959</v>
      </c>
      <c r="DR8" s="75"/>
      <c r="DS8" s="72"/>
      <c r="DT8" s="72">
        <f aca="true" t="shared" si="38" ref="DT8:DT15">D8*1.04086/100</f>
        <v>1365.60832</v>
      </c>
      <c r="DU8" s="72">
        <f aca="true" t="shared" si="39" ref="DU8:DU15">DS8+DT8</f>
        <v>1365.60832</v>
      </c>
      <c r="DV8" s="72">
        <f>DT$6*$F8</f>
        <v>226.1372436</v>
      </c>
      <c r="DW8" s="73">
        <f>DT$6*$G8</f>
        <v>81.0934026</v>
      </c>
      <c r="DX8" s="75"/>
      <c r="DY8" s="72"/>
      <c r="DZ8" s="72">
        <f aca="true" t="shared" si="40" ref="DZ8:DZ15">D8*0.17922/100</f>
        <v>235.13663999999997</v>
      </c>
      <c r="EA8" s="72">
        <f aca="true" t="shared" si="41" ref="EA8:EA15">DY8+DZ8</f>
        <v>235.13663999999997</v>
      </c>
      <c r="EB8" s="72">
        <f>DZ$6*$F8</f>
        <v>38.9373372</v>
      </c>
      <c r="EC8" s="73">
        <f>DZ$6*$G8</f>
        <v>13.9630302</v>
      </c>
      <c r="ED8" s="75"/>
      <c r="EE8" s="72"/>
      <c r="EF8" s="72">
        <f aca="true" t="shared" si="42" ref="EF8:EF15">D8*0.23104/100</f>
        <v>303.12448</v>
      </c>
      <c r="EG8" s="72">
        <f aca="true" t="shared" si="43" ref="EG8:EG15">EE8+EF8</f>
        <v>303.12448</v>
      </c>
      <c r="EH8" s="72">
        <f>EF$6*$F8</f>
        <v>50.1957504</v>
      </c>
      <c r="EI8" s="73">
        <f>EF$6*$G8</f>
        <v>18.000326400000002</v>
      </c>
      <c r="EJ8" s="75"/>
      <c r="EK8" s="89"/>
      <c r="EL8" s="89">
        <f aca="true" t="shared" si="44" ref="EL8:EL15">D8*6.05401/100</f>
        <v>7942.86112</v>
      </c>
      <c r="EM8" s="89">
        <f aca="true" t="shared" si="45" ref="EM8:EM15">EK8+EL8</f>
        <v>7942.86112</v>
      </c>
      <c r="EN8" s="89">
        <f>EL$6*$F8</f>
        <v>1315.2942126</v>
      </c>
      <c r="EO8" s="90">
        <f>EL$6*$G8</f>
        <v>471.6679191</v>
      </c>
      <c r="EP8" s="75"/>
      <c r="EQ8" s="72"/>
      <c r="ER8" s="72">
        <f aca="true" t="shared" si="46" ref="ER8:ER15">D8*1.51927/100</f>
        <v>1993.2822399999998</v>
      </c>
      <c r="ES8" s="72">
        <f aca="true" t="shared" si="47" ref="ES8:ES15">EQ8+ER8</f>
        <v>1993.2822399999998</v>
      </c>
      <c r="ET8" s="72">
        <f>ER$6*$F8</f>
        <v>330.0766002</v>
      </c>
      <c r="EU8" s="73">
        <f>ER$6*$G8</f>
        <v>118.3663257</v>
      </c>
      <c r="EV8" s="75"/>
      <c r="EW8" s="72"/>
      <c r="EX8" s="72">
        <f aca="true" t="shared" si="48" ref="EX8:EX15">D8*2.21555/100</f>
        <v>2906.8016</v>
      </c>
      <c r="EY8" s="72">
        <f aca="true" t="shared" si="49" ref="EY8:EY15">EW8+EX8</f>
        <v>2906.8016</v>
      </c>
      <c r="EZ8" s="72">
        <f>EX$6*$F8</f>
        <v>481.35039300000005</v>
      </c>
      <c r="FA8" s="73">
        <f>EX$6*$G8</f>
        <v>172.61350050000001</v>
      </c>
      <c r="FB8" s="75"/>
      <c r="FC8" s="72"/>
      <c r="FD8" s="72">
        <f aca="true" t="shared" si="50" ref="FD8:FD15">D8*0.00068/100</f>
        <v>0.8921600000000001</v>
      </c>
      <c r="FE8" s="72">
        <f aca="true" t="shared" si="51" ref="FE8:FE15">FC8+FD8</f>
        <v>0.8921600000000001</v>
      </c>
      <c r="FF8" s="72">
        <f>FD$6*$F8</f>
        <v>0.1477368</v>
      </c>
      <c r="FG8" s="73">
        <f>FD$6*$G8</f>
        <v>0.0529788</v>
      </c>
      <c r="FH8" s="75"/>
      <c r="FI8" s="72"/>
      <c r="FJ8" s="72">
        <f aca="true" t="shared" si="52" ref="FJ8:FJ15">D8*1.45821/100</f>
        <v>1913.17152</v>
      </c>
      <c r="FK8" s="72">
        <f aca="true" t="shared" si="53" ref="FK8:FK15">FI8+FJ8</f>
        <v>1913.17152</v>
      </c>
      <c r="FL8" s="72">
        <f>FJ$6*$F8</f>
        <v>316.8107046</v>
      </c>
      <c r="FM8" s="73">
        <f>FJ$6*$G8</f>
        <v>113.6091411</v>
      </c>
      <c r="FN8" s="75"/>
      <c r="FO8" s="72"/>
      <c r="FP8" s="72">
        <f aca="true" t="shared" si="54" ref="FP8:FP15">D8*1.8151/100</f>
        <v>2381.4112</v>
      </c>
      <c r="FQ8" s="72">
        <f aca="true" t="shared" si="55" ref="FQ8:FQ15">FO8+FP8</f>
        <v>2381.4112</v>
      </c>
      <c r="FR8" s="72">
        <f>FP$6*$F8</f>
        <v>394.348626</v>
      </c>
      <c r="FS8" s="73">
        <f>FP$6*$G8</f>
        <v>141.414441</v>
      </c>
      <c r="FT8" s="75"/>
      <c r="FU8" s="72"/>
      <c r="FV8" s="72">
        <f aca="true" t="shared" si="56" ref="FV8:FV15">D8*2.12676/100</f>
        <v>2790.30912</v>
      </c>
      <c r="FW8" s="72">
        <f aca="true" t="shared" si="57" ref="FW8:FW15">FU8+FV8</f>
        <v>2790.30912</v>
      </c>
      <c r="FX8" s="72">
        <f>FV$6*$F8</f>
        <v>462.05987760000005</v>
      </c>
      <c r="FY8" s="73">
        <f>FV$6*$G8</f>
        <v>165.6958716</v>
      </c>
      <c r="FZ8" s="75"/>
      <c r="GA8" s="72"/>
      <c r="GB8" s="72">
        <f aca="true" t="shared" si="58" ref="GB8:GB15">D8*6.78414/100</f>
        <v>8900.79168</v>
      </c>
      <c r="GC8" s="72">
        <f aca="true" t="shared" si="59" ref="GC8:GC15">GA8+GB8</f>
        <v>8900.79168</v>
      </c>
      <c r="GD8" s="72">
        <f>GB$6*$F8</f>
        <v>1473.9222564</v>
      </c>
      <c r="GE8" s="73">
        <f>GB$6*$G8</f>
        <v>528.5523473999999</v>
      </c>
      <c r="GF8" s="75"/>
      <c r="GG8" s="72"/>
      <c r="GH8" s="72">
        <f aca="true" t="shared" si="60" ref="GH8:GH15">D8*10.89131/100</f>
        <v>14289.398720000003</v>
      </c>
      <c r="GI8" s="72">
        <f aca="true" t="shared" si="61" ref="GI8:GI15">GG8+GH8</f>
        <v>14289.398720000003</v>
      </c>
      <c r="GJ8" s="72">
        <f>GH$6*$F8</f>
        <v>2366.2460106</v>
      </c>
      <c r="GK8" s="73">
        <f>GH$6*$G8</f>
        <v>848.5419621</v>
      </c>
      <c r="GL8" s="75"/>
      <c r="GM8" s="72"/>
      <c r="GN8" s="72">
        <f aca="true" t="shared" si="62" ref="GN8:GN15">D8*0.03264/100</f>
        <v>42.82368</v>
      </c>
      <c r="GO8" s="72">
        <f aca="true" t="shared" si="63" ref="GO8:GO15">GM8+GN8</f>
        <v>42.82368</v>
      </c>
      <c r="GP8" s="72">
        <f>GN$6*$F8</f>
        <v>7.0913664</v>
      </c>
      <c r="GQ8" s="73">
        <f>GN$6*$G8</f>
        <v>2.5429824</v>
      </c>
      <c r="GR8" s="75"/>
      <c r="GS8" s="72"/>
      <c r="GT8" s="72">
        <f aca="true" t="shared" si="64" ref="GT8:GT15">D8*0.18025/100</f>
        <v>236.488</v>
      </c>
      <c r="GU8" s="72">
        <f aca="true" t="shared" si="65" ref="GU8:GU15">GS8+GT8</f>
        <v>236.488</v>
      </c>
      <c r="GV8" s="72">
        <f>GT$6*$F8</f>
        <v>39.161115</v>
      </c>
      <c r="GW8" s="73">
        <f>GT$6*$G8</f>
        <v>14.0432775</v>
      </c>
      <c r="GX8" s="75"/>
      <c r="GY8" s="74"/>
      <c r="GZ8" s="75"/>
      <c r="HA8" s="75"/>
      <c r="HB8" s="75"/>
      <c r="HC8" s="73">
        <f>GZ$6*$G8</f>
        <v>0</v>
      </c>
      <c r="HD8" s="75"/>
      <c r="HE8" s="75"/>
      <c r="HF8" s="75"/>
      <c r="HG8" s="75"/>
      <c r="HH8" s="75"/>
      <c r="HI8" s="75"/>
      <c r="HJ8" s="55"/>
      <c r="HK8" s="55"/>
      <c r="HL8" s="55"/>
      <c r="HM8" s="55"/>
      <c r="HN8" s="55"/>
      <c r="HO8" s="55"/>
      <c r="HP8" s="55"/>
      <c r="HQ8" s="55"/>
      <c r="HR8" s="55"/>
      <c r="HS8" s="55"/>
      <c r="HT8" s="55"/>
      <c r="HU8" s="55"/>
    </row>
    <row r="9" spans="1:229" s="57" customFormat="1" ht="12.75">
      <c r="A9" s="56">
        <v>43922</v>
      </c>
      <c r="C9" s="75">
        <v>6560000</v>
      </c>
      <c r="D9" s="75">
        <v>131200</v>
      </c>
      <c r="E9" s="73">
        <f t="shared" si="0"/>
        <v>6691200</v>
      </c>
      <c r="F9" s="73">
        <v>21731</v>
      </c>
      <c r="G9" s="73">
        <v>7793</v>
      </c>
      <c r="H9" s="75"/>
      <c r="I9" s="73">
        <f>'2009D Academic'!D9</f>
        <v>1163803.696</v>
      </c>
      <c r="J9" s="73">
        <f>'2009D Academic'!E9</f>
        <v>23276.073920000003</v>
      </c>
      <c r="K9" s="73">
        <f>I9+J9</f>
        <v>1187079.76992</v>
      </c>
      <c r="L9" s="73">
        <f>'2009D Academic'!G9</f>
        <v>3855.2771521</v>
      </c>
      <c r="M9" s="73">
        <f>'2009D Academic'!H9</f>
        <v>1382.5491162999997</v>
      </c>
      <c r="N9" s="75"/>
      <c r="O9" s="72">
        <f t="shared" si="1"/>
        <v>5396196.3040000005</v>
      </c>
      <c r="P9" s="74">
        <f t="shared" si="2"/>
        <v>107923.92608</v>
      </c>
      <c r="Q9" s="72">
        <f t="shared" si="3"/>
        <v>5504120.23008</v>
      </c>
      <c r="R9" s="72">
        <f>X9+AD9+AJ9+AP9+AV9+BB9+BH9+BN9+BT9+BZ9+CF9+CL9+CR9+CX9+DD9+DJ9+DP9+DV9+EB9+EH9+EN9+ET9+EZ9+FF9+FL9+FR9+FX9+GD9+GJ9+GP9+GV9+HB9</f>
        <v>17875.7228479</v>
      </c>
      <c r="S9" s="72">
        <f>Y9+AE9+AK9+AQ9+AW9+BC9+BI9+BO9+BU9+CA9+CG9+CM9+CS9+CY9+DE9+DK9+DQ9+DW9+EC9+EI9+EO9+EU9+FA9+FG9+FM9+FS9+FY9+GE9+GK9+GQ9+GW9+HC9</f>
        <v>6410.4508837</v>
      </c>
      <c r="T9" s="75"/>
      <c r="U9" s="72">
        <f aca="true" t="shared" si="66" ref="U9:U15">C9*0.01736/100</f>
        <v>1138.816</v>
      </c>
      <c r="V9" s="72">
        <f t="shared" si="4"/>
        <v>22.776320000000002</v>
      </c>
      <c r="W9" s="72">
        <f t="shared" si="5"/>
        <v>1161.59232</v>
      </c>
      <c r="X9" s="72">
        <f>V$6*$F9</f>
        <v>3.7725016</v>
      </c>
      <c r="Y9" s="73">
        <f>V$6*$G9</f>
        <v>1.3528647999999999</v>
      </c>
      <c r="Z9" s="75"/>
      <c r="AA9" s="72">
        <f aca="true" t="shared" si="67" ref="AA9:AA15">C9*2.24825/100</f>
        <v>147485.2</v>
      </c>
      <c r="AB9" s="72">
        <f t="shared" si="6"/>
        <v>2949.704</v>
      </c>
      <c r="AC9" s="72">
        <f t="shared" si="7"/>
        <v>150434.904</v>
      </c>
      <c r="AD9" s="72">
        <f>AB$6*$F9</f>
        <v>488.5672075</v>
      </c>
      <c r="AE9" s="73">
        <f>AB$6*$G9</f>
        <v>175.2061225</v>
      </c>
      <c r="AF9" s="75"/>
      <c r="AG9" s="72">
        <f aca="true" t="shared" si="68" ref="AG9:AG15">C9*13.89587/100</f>
        <v>911569.072</v>
      </c>
      <c r="AH9" s="72">
        <f t="shared" si="8"/>
        <v>18231.38144</v>
      </c>
      <c r="AI9" s="72">
        <f t="shared" si="9"/>
        <v>929800.4534400001</v>
      </c>
      <c r="AJ9" s="72">
        <f>AH$6*$F9</f>
        <v>3019.7115096999996</v>
      </c>
      <c r="AK9" s="73">
        <f>AH$6*$G9</f>
        <v>1082.9051491</v>
      </c>
      <c r="AL9" s="75"/>
      <c r="AM9" s="72">
        <f aca="true" t="shared" si="69" ref="AM9:AM15">C9*0.14088/100</f>
        <v>9241.728000000001</v>
      </c>
      <c r="AN9" s="72">
        <f t="shared" si="10"/>
        <v>184.83456</v>
      </c>
      <c r="AO9" s="72">
        <f t="shared" si="11"/>
        <v>9426.56256</v>
      </c>
      <c r="AP9" s="72">
        <f>AN$6*$F9</f>
        <v>30.6146328</v>
      </c>
      <c r="AQ9" s="73">
        <f>AN$6*$G9</f>
        <v>10.9787784</v>
      </c>
      <c r="AR9" s="75"/>
      <c r="AS9" s="72">
        <f aca="true" t="shared" si="70" ref="AS9:AS15">C9*3.92527/100</f>
        <v>257497.712</v>
      </c>
      <c r="AT9" s="72">
        <f t="shared" si="12"/>
        <v>5149.95424</v>
      </c>
      <c r="AU9" s="72">
        <f t="shared" si="13"/>
        <v>262647.66624</v>
      </c>
      <c r="AV9" s="72">
        <f>AT$6*$F9</f>
        <v>853.0004237</v>
      </c>
      <c r="AW9" s="73">
        <f>AT$6*$G9</f>
        <v>305.8962911</v>
      </c>
      <c r="AX9" s="75"/>
      <c r="AY9" s="72">
        <f aca="true" t="shared" si="71" ref="AY9:AY15">C9*0.27645/100</f>
        <v>18135.12</v>
      </c>
      <c r="AZ9" s="72">
        <f t="shared" si="14"/>
        <v>362.70239999999995</v>
      </c>
      <c r="BA9" s="72">
        <f t="shared" si="15"/>
        <v>18497.822399999997</v>
      </c>
      <c r="BB9" s="72">
        <f>AZ$6*$F9</f>
        <v>60.0753495</v>
      </c>
      <c r="BC9" s="73">
        <f>AZ$6*$G9</f>
        <v>21.5437485</v>
      </c>
      <c r="BD9" s="75"/>
      <c r="BE9" s="72">
        <f aca="true" t="shared" si="72" ref="BE9:BE15">C9*6.3907/100</f>
        <v>419229.92</v>
      </c>
      <c r="BF9" s="72">
        <f t="shared" si="16"/>
        <v>8384.598399999999</v>
      </c>
      <c r="BG9" s="72">
        <f t="shared" si="17"/>
        <v>427614.5184</v>
      </c>
      <c r="BH9" s="72">
        <f>BF$6*$F9</f>
        <v>1388.7630170000002</v>
      </c>
      <c r="BI9" s="73">
        <f>BF$6*$G9</f>
        <v>498.02725100000004</v>
      </c>
      <c r="BJ9" s="75"/>
      <c r="BK9" s="72">
        <f aca="true" t="shared" si="73" ref="BK9:BK15">C9*0.21962/100</f>
        <v>14407.072</v>
      </c>
      <c r="BL9" s="72">
        <f t="shared" si="18"/>
        <v>288.14144</v>
      </c>
      <c r="BM9" s="72">
        <f t="shared" si="19"/>
        <v>14695.21344</v>
      </c>
      <c r="BN9" s="72">
        <f>BL$6*$F9</f>
        <v>47.725622200000004</v>
      </c>
      <c r="BO9" s="73">
        <f>BL$6*$G9</f>
        <v>17.1149866</v>
      </c>
      <c r="BP9" s="75"/>
      <c r="BQ9" s="72">
        <f aca="true" t="shared" si="74" ref="BQ9:BQ15">C9*0.23679/100</f>
        <v>15533.423999999999</v>
      </c>
      <c r="BR9" s="72">
        <f t="shared" si="20"/>
        <v>310.66848000000005</v>
      </c>
      <c r="BS9" s="72">
        <f t="shared" si="21"/>
        <v>15844.09248</v>
      </c>
      <c r="BT9" s="72">
        <f>BR$6*$F9</f>
        <v>51.456834900000004</v>
      </c>
      <c r="BU9" s="73">
        <f>BR$6*$G9</f>
        <v>18.4530447</v>
      </c>
      <c r="BV9" s="75"/>
      <c r="BW9" s="72">
        <f aca="true" t="shared" si="75" ref="BW9:BW15">C9*0.06255/100</f>
        <v>4103.28</v>
      </c>
      <c r="BX9" s="72">
        <f t="shared" si="22"/>
        <v>82.06559999999999</v>
      </c>
      <c r="BY9" s="72">
        <f t="shared" si="23"/>
        <v>4185.3456</v>
      </c>
      <c r="BZ9" s="72">
        <f>BX$6*$F9</f>
        <v>13.5927405</v>
      </c>
      <c r="CA9" s="73">
        <f>BX$6*$G9</f>
        <v>4.8745215</v>
      </c>
      <c r="CB9" s="75"/>
      <c r="CC9" s="72">
        <f aca="true" t="shared" si="76" ref="CC9:CC15">C9*13.89834/100</f>
        <v>911731.1039999999</v>
      </c>
      <c r="CD9" s="72">
        <f t="shared" si="24"/>
        <v>18234.622079999997</v>
      </c>
      <c r="CE9" s="72">
        <f t="shared" si="25"/>
        <v>929965.7260799999</v>
      </c>
      <c r="CF9" s="72">
        <f>CD$6*$F9</f>
        <v>3020.2482654</v>
      </c>
      <c r="CG9" s="73">
        <f>CD$6*$G9</f>
        <v>1083.0976362000001</v>
      </c>
      <c r="CH9" s="75"/>
      <c r="CI9" s="72">
        <f aca="true" t="shared" si="77" ref="CI9:CI15">C9*0.19064/100</f>
        <v>12505.984000000002</v>
      </c>
      <c r="CJ9" s="72">
        <f t="shared" si="26"/>
        <v>250.11968000000002</v>
      </c>
      <c r="CK9" s="72">
        <f t="shared" si="27"/>
        <v>12756.103680000002</v>
      </c>
      <c r="CL9" s="72">
        <f>CJ$6*$F9</f>
        <v>41.4279784</v>
      </c>
      <c r="CM9" s="73">
        <f>CJ$6*$G9</f>
        <v>14.8565752</v>
      </c>
      <c r="CN9" s="75"/>
      <c r="CO9" s="72">
        <f aca="true" t="shared" si="78" ref="CO9:CO15">C9*0.22587/100</f>
        <v>14817.072</v>
      </c>
      <c r="CP9" s="72">
        <f t="shared" si="28"/>
        <v>296.34144</v>
      </c>
      <c r="CQ9" s="72">
        <f t="shared" si="29"/>
        <v>15113.41344</v>
      </c>
      <c r="CR9" s="72">
        <f>CP$6*$F9</f>
        <v>49.0838097</v>
      </c>
      <c r="CS9" s="73">
        <f>CP$6*$G9</f>
        <v>17.602049100000002</v>
      </c>
      <c r="CT9" s="75"/>
      <c r="CU9" s="72">
        <f aca="true" t="shared" si="79" ref="CU9:CU15">C9*2.69452/100</f>
        <v>176760.512</v>
      </c>
      <c r="CV9" s="72">
        <f t="shared" si="30"/>
        <v>3535.21024</v>
      </c>
      <c r="CW9" s="72">
        <f t="shared" si="31"/>
        <v>180295.72223999997</v>
      </c>
      <c r="CX9" s="72">
        <f>CV$6*$F9</f>
        <v>585.5461412</v>
      </c>
      <c r="CY9" s="73">
        <f>CV$6*$G9</f>
        <v>209.9839436</v>
      </c>
      <c r="CZ9" s="75"/>
      <c r="DA9" s="72">
        <f aca="true" t="shared" si="80" ref="DA9:DA15">C9*0.24417/100</f>
        <v>16017.552</v>
      </c>
      <c r="DB9" s="72">
        <f t="shared" si="32"/>
        <v>320.35104</v>
      </c>
      <c r="DC9" s="72">
        <f t="shared" si="33"/>
        <v>16337.90304</v>
      </c>
      <c r="DD9" s="72">
        <f>DB$6*$F9</f>
        <v>53.060582700000005</v>
      </c>
      <c r="DE9" s="73">
        <f>DB$6*$G9</f>
        <v>19.028168100000002</v>
      </c>
      <c r="DF9" s="75"/>
      <c r="DG9" s="72">
        <f aca="true" t="shared" si="81" ref="DG9:DG15">C9*0.92028/100</f>
        <v>60370.367999999995</v>
      </c>
      <c r="DH9" s="72">
        <f t="shared" si="34"/>
        <v>1207.4073600000002</v>
      </c>
      <c r="DI9" s="72">
        <f t="shared" si="35"/>
        <v>61577.77535999999</v>
      </c>
      <c r="DJ9" s="72">
        <f>DH$6*$F9</f>
        <v>199.98604680000003</v>
      </c>
      <c r="DK9" s="73">
        <f>DH$6*$G9</f>
        <v>71.71742040000001</v>
      </c>
      <c r="DL9" s="75"/>
      <c r="DM9" s="72">
        <f aca="true" t="shared" si="82" ref="DM9:DM15">C9*2.14249/100</f>
        <v>140547.344</v>
      </c>
      <c r="DN9" s="72">
        <f t="shared" si="36"/>
        <v>2810.9468800000004</v>
      </c>
      <c r="DO9" s="72">
        <f t="shared" si="37"/>
        <v>143358.29088000002</v>
      </c>
      <c r="DP9" s="72">
        <f>DN$6*$F9</f>
        <v>465.5845019</v>
      </c>
      <c r="DQ9" s="73">
        <f>DN$6*$G9</f>
        <v>166.9642457</v>
      </c>
      <c r="DR9" s="75"/>
      <c r="DS9" s="72">
        <f aca="true" t="shared" si="83" ref="DS9:DS15">C9*1.04086/100</f>
        <v>68280.416</v>
      </c>
      <c r="DT9" s="72">
        <f t="shared" si="38"/>
        <v>1365.60832</v>
      </c>
      <c r="DU9" s="72">
        <f t="shared" si="39"/>
        <v>69646.02432</v>
      </c>
      <c r="DV9" s="72">
        <f>DT$6*$F9</f>
        <v>226.1892866</v>
      </c>
      <c r="DW9" s="73">
        <f>DT$6*$G9</f>
        <v>81.1142198</v>
      </c>
      <c r="DX9" s="75"/>
      <c r="DY9" s="72">
        <f aca="true" t="shared" si="84" ref="DY9:DY15">C9*0.17922/100</f>
        <v>11756.832</v>
      </c>
      <c r="DZ9" s="72">
        <f t="shared" si="40"/>
        <v>235.13663999999997</v>
      </c>
      <c r="EA9" s="72">
        <f t="shared" si="41"/>
        <v>11991.968640000001</v>
      </c>
      <c r="EB9" s="72">
        <f>DZ$6*$F9</f>
        <v>38.9462982</v>
      </c>
      <c r="EC9" s="73">
        <f>DZ$6*$G9</f>
        <v>13.966614600000002</v>
      </c>
      <c r="ED9" s="75"/>
      <c r="EE9" s="72">
        <f aca="true" t="shared" si="85" ref="EE9:EE15">C9*0.23104/100</f>
        <v>15156.223999999998</v>
      </c>
      <c r="EF9" s="72">
        <f t="shared" si="42"/>
        <v>303.12448</v>
      </c>
      <c r="EG9" s="72">
        <f t="shared" si="43"/>
        <v>15459.348479999999</v>
      </c>
      <c r="EH9" s="72">
        <f>EF$6*$F9</f>
        <v>50.2073024</v>
      </c>
      <c r="EI9" s="73">
        <f>EF$6*$G9</f>
        <v>18.0049472</v>
      </c>
      <c r="EJ9" s="75"/>
      <c r="EK9" s="89">
        <f aca="true" t="shared" si="86" ref="EK9:EK15">C9*6.05401/100</f>
        <v>397143.05600000004</v>
      </c>
      <c r="EL9" s="89">
        <f t="shared" si="44"/>
        <v>7942.86112</v>
      </c>
      <c r="EM9" s="89">
        <f t="shared" si="45"/>
        <v>405085.91712000006</v>
      </c>
      <c r="EN9" s="89">
        <f>EL$6*$F9</f>
        <v>1315.5969131</v>
      </c>
      <c r="EO9" s="90">
        <f>EL$6*$G9</f>
        <v>471.7889993</v>
      </c>
      <c r="EP9" s="75"/>
      <c r="EQ9" s="72">
        <f aca="true" t="shared" si="87" ref="EQ9:EQ15">C9*1.51927/100</f>
        <v>99664.112</v>
      </c>
      <c r="ER9" s="72">
        <f t="shared" si="46"/>
        <v>1993.2822399999998</v>
      </c>
      <c r="ES9" s="72">
        <f t="shared" si="47"/>
        <v>101657.39424</v>
      </c>
      <c r="ET9" s="72">
        <f>ER$6*$F9</f>
        <v>330.1525637</v>
      </c>
      <c r="EU9" s="73">
        <f>ER$6*$G9</f>
        <v>118.3967111</v>
      </c>
      <c r="EV9" s="75"/>
      <c r="EW9" s="72">
        <f aca="true" t="shared" si="88" ref="EW9:EW15">C9*2.21555/100</f>
        <v>145340.08</v>
      </c>
      <c r="EX9" s="72">
        <f t="shared" si="48"/>
        <v>2906.8016</v>
      </c>
      <c r="EY9" s="72">
        <f t="shared" si="49"/>
        <v>148246.8816</v>
      </c>
      <c r="EZ9" s="72">
        <f>EX$6*$F9</f>
        <v>481.46117050000004</v>
      </c>
      <c r="FA9" s="73">
        <f>EX$6*$G9</f>
        <v>172.6578115</v>
      </c>
      <c r="FB9" s="75"/>
      <c r="FC9" s="72">
        <f aca="true" t="shared" si="89" ref="FC9:FC15">C9*0.00068/100</f>
        <v>44.608000000000004</v>
      </c>
      <c r="FD9" s="72">
        <f t="shared" si="50"/>
        <v>0.8921600000000001</v>
      </c>
      <c r="FE9" s="72">
        <f t="shared" si="51"/>
        <v>45.50016</v>
      </c>
      <c r="FF9" s="72">
        <f>FD$6*$F9</f>
        <v>0.1477708</v>
      </c>
      <c r="FG9" s="73">
        <f>FD$6*$G9</f>
        <v>0.0529924</v>
      </c>
      <c r="FH9" s="75"/>
      <c r="FI9" s="72">
        <f aca="true" t="shared" si="90" ref="FI9:FI15">C9*1.45821/100</f>
        <v>95658.576</v>
      </c>
      <c r="FJ9" s="72">
        <f t="shared" si="52"/>
        <v>1913.17152</v>
      </c>
      <c r="FK9" s="72">
        <f t="shared" si="53"/>
        <v>97571.74752</v>
      </c>
      <c r="FL9" s="72">
        <f>FJ$6*$F9</f>
        <v>316.8836151</v>
      </c>
      <c r="FM9" s="73">
        <f>FJ$6*$G9</f>
        <v>113.6383053</v>
      </c>
      <c r="FN9" s="75"/>
      <c r="FO9" s="72">
        <f aca="true" t="shared" si="91" ref="FO9:FO15">C9*1.8151/100</f>
        <v>119070.56</v>
      </c>
      <c r="FP9" s="72">
        <f t="shared" si="54"/>
        <v>2381.4112</v>
      </c>
      <c r="FQ9" s="72">
        <f t="shared" si="55"/>
        <v>121451.9712</v>
      </c>
      <c r="FR9" s="72">
        <f>FP$6*$F9</f>
        <v>394.439381</v>
      </c>
      <c r="FS9" s="73">
        <f>FP$6*$G9</f>
        <v>141.45074300000002</v>
      </c>
      <c r="FT9" s="75"/>
      <c r="FU9" s="72">
        <f aca="true" t="shared" si="92" ref="FU9:FU15">C9*2.12676/100</f>
        <v>139515.456</v>
      </c>
      <c r="FV9" s="72">
        <f t="shared" si="56"/>
        <v>2790.30912</v>
      </c>
      <c r="FW9" s="72">
        <f t="shared" si="57"/>
        <v>142305.76512</v>
      </c>
      <c r="FX9" s="72">
        <f>FV$6*$F9</f>
        <v>462.16621560000004</v>
      </c>
      <c r="FY9" s="73">
        <f>FV$6*$G9</f>
        <v>165.7384068</v>
      </c>
      <c r="FZ9" s="75"/>
      <c r="GA9" s="72">
        <f aca="true" t="shared" si="93" ref="GA9:GA15">C9*6.78414/100</f>
        <v>445039.584</v>
      </c>
      <c r="GB9" s="72">
        <f t="shared" si="58"/>
        <v>8900.79168</v>
      </c>
      <c r="GC9" s="72">
        <f t="shared" si="59"/>
        <v>453940.37568</v>
      </c>
      <c r="GD9" s="72">
        <f>GB$6*$F9</f>
        <v>1474.2614634</v>
      </c>
      <c r="GE9" s="73">
        <f>GB$6*$G9</f>
        <v>528.6880302</v>
      </c>
      <c r="GF9" s="75"/>
      <c r="GG9" s="72">
        <f aca="true" t="shared" si="94" ref="GG9:GG15">C9*10.89131/100</f>
        <v>714469.9360000001</v>
      </c>
      <c r="GH9" s="72">
        <f t="shared" si="60"/>
        <v>14289.398720000003</v>
      </c>
      <c r="GI9" s="72">
        <f t="shared" si="61"/>
        <v>728759.3347200002</v>
      </c>
      <c r="GJ9" s="72">
        <f>GH$6*$F9</f>
        <v>2366.7905761</v>
      </c>
      <c r="GK9" s="73">
        <f>GH$6*$G9</f>
        <v>848.7597883</v>
      </c>
      <c r="GL9" s="75"/>
      <c r="GM9" s="72">
        <f aca="true" t="shared" si="95" ref="GM9:GM15">C9*0.03264/100</f>
        <v>2141.184</v>
      </c>
      <c r="GN9" s="72">
        <f t="shared" si="62"/>
        <v>42.82368</v>
      </c>
      <c r="GO9" s="72">
        <f t="shared" si="63"/>
        <v>2184.00768</v>
      </c>
      <c r="GP9" s="72">
        <f>GN$6*$F9</f>
        <v>7.092998400000001</v>
      </c>
      <c r="GQ9" s="73">
        <f>GN$6*$G9</f>
        <v>2.5436352</v>
      </c>
      <c r="GR9" s="75"/>
      <c r="GS9" s="72">
        <f aca="true" t="shared" si="96" ref="GS9:GS15">C9*0.18025/100</f>
        <v>11824.4</v>
      </c>
      <c r="GT9" s="72">
        <f t="shared" si="64"/>
        <v>236.488</v>
      </c>
      <c r="GU9" s="72">
        <f t="shared" si="65"/>
        <v>12060.887999999999</v>
      </c>
      <c r="GV9" s="72">
        <f>GT$6*$F9</f>
        <v>39.1701275</v>
      </c>
      <c r="GW9" s="73">
        <f>GT$6*$G9</f>
        <v>14.0468825</v>
      </c>
      <c r="GX9" s="75"/>
      <c r="GY9" s="74"/>
      <c r="GZ9" s="75"/>
      <c r="HA9" s="75"/>
      <c r="HB9" s="75"/>
      <c r="HC9" s="73">
        <f>GZ$6*$G9</f>
        <v>0</v>
      </c>
      <c r="HD9" s="75"/>
      <c r="HE9" s="75"/>
      <c r="HF9" s="75"/>
      <c r="HG9" s="75"/>
      <c r="HH9" s="75"/>
      <c r="HI9" s="75"/>
      <c r="HJ9" s="55"/>
      <c r="HK9" s="55"/>
      <c r="HL9" s="55"/>
      <c r="HM9" s="55"/>
      <c r="HN9" s="55"/>
      <c r="HO9" s="55"/>
      <c r="HP9" s="55"/>
      <c r="HQ9" s="55"/>
      <c r="HR9" s="55"/>
      <c r="HS9" s="55"/>
      <c r="HT9" s="55"/>
      <c r="HU9" s="55"/>
    </row>
    <row r="10" spans="1:229" s="57" customFormat="1" ht="12.75" hidden="1">
      <c r="A10" s="56">
        <v>44105</v>
      </c>
      <c r="C10" s="75"/>
      <c r="D10" s="75"/>
      <c r="E10" s="73">
        <f t="shared" si="0"/>
        <v>0</v>
      </c>
      <c r="F10" s="73"/>
      <c r="G10" s="73"/>
      <c r="H10" s="75"/>
      <c r="I10" s="73"/>
      <c r="J10" s="74">
        <f aca="true" t="shared" si="97" ref="J10:J15">D10*17.74091/100</f>
        <v>0</v>
      </c>
      <c r="K10" s="73">
        <f aca="true" t="shared" si="98" ref="K10:K15">I10+J10</f>
        <v>0</v>
      </c>
      <c r="L10" s="73"/>
      <c r="M10" s="73"/>
      <c r="N10" s="75"/>
      <c r="O10" s="72">
        <f t="shared" si="1"/>
        <v>0</v>
      </c>
      <c r="P10" s="74">
        <f t="shared" si="2"/>
        <v>0</v>
      </c>
      <c r="Q10" s="72">
        <f t="shared" si="3"/>
        <v>0</v>
      </c>
      <c r="R10" s="72"/>
      <c r="S10" s="73"/>
      <c r="T10" s="75"/>
      <c r="U10" s="72"/>
      <c r="V10" s="72">
        <f t="shared" si="4"/>
        <v>0</v>
      </c>
      <c r="W10" s="72">
        <f t="shared" si="5"/>
        <v>0</v>
      </c>
      <c r="X10" s="72"/>
      <c r="Y10" s="73"/>
      <c r="Z10" s="75"/>
      <c r="AA10" s="72"/>
      <c r="AB10" s="72">
        <f t="shared" si="6"/>
        <v>0</v>
      </c>
      <c r="AC10" s="72">
        <f t="shared" si="7"/>
        <v>0</v>
      </c>
      <c r="AD10" s="72"/>
      <c r="AE10" s="73"/>
      <c r="AF10" s="75"/>
      <c r="AG10" s="72"/>
      <c r="AH10" s="72">
        <f t="shared" si="8"/>
        <v>0</v>
      </c>
      <c r="AI10" s="72">
        <f t="shared" si="9"/>
        <v>0</v>
      </c>
      <c r="AJ10" s="72"/>
      <c r="AK10" s="73"/>
      <c r="AL10" s="75"/>
      <c r="AM10" s="72"/>
      <c r="AN10" s="72">
        <f t="shared" si="10"/>
        <v>0</v>
      </c>
      <c r="AO10" s="72">
        <f t="shared" si="11"/>
        <v>0</v>
      </c>
      <c r="AP10" s="72"/>
      <c r="AQ10" s="73"/>
      <c r="AR10" s="75"/>
      <c r="AS10" s="72"/>
      <c r="AT10" s="72">
        <f t="shared" si="12"/>
        <v>0</v>
      </c>
      <c r="AU10" s="72">
        <f t="shared" si="13"/>
        <v>0</v>
      </c>
      <c r="AV10" s="72"/>
      <c r="AW10" s="73"/>
      <c r="AX10" s="75"/>
      <c r="AY10" s="72"/>
      <c r="AZ10" s="72">
        <f t="shared" si="14"/>
        <v>0</v>
      </c>
      <c r="BA10" s="72">
        <f t="shared" si="15"/>
        <v>0</v>
      </c>
      <c r="BB10" s="72"/>
      <c r="BC10" s="73"/>
      <c r="BD10" s="75"/>
      <c r="BE10" s="72"/>
      <c r="BF10" s="72">
        <f t="shared" si="16"/>
        <v>0</v>
      </c>
      <c r="BG10" s="72">
        <f t="shared" si="17"/>
        <v>0</v>
      </c>
      <c r="BH10" s="72"/>
      <c r="BI10" s="73"/>
      <c r="BJ10" s="75"/>
      <c r="BK10" s="72"/>
      <c r="BL10" s="72">
        <f t="shared" si="18"/>
        <v>0</v>
      </c>
      <c r="BM10" s="72">
        <f t="shared" si="19"/>
        <v>0</v>
      </c>
      <c r="BN10" s="72"/>
      <c r="BO10" s="73"/>
      <c r="BP10" s="75"/>
      <c r="BQ10" s="72"/>
      <c r="BR10" s="72">
        <f t="shared" si="20"/>
        <v>0</v>
      </c>
      <c r="BS10" s="72">
        <f t="shared" si="21"/>
        <v>0</v>
      </c>
      <c r="BT10" s="72"/>
      <c r="BU10" s="73"/>
      <c r="BV10" s="75"/>
      <c r="BW10" s="72"/>
      <c r="BX10" s="72">
        <f t="shared" si="22"/>
        <v>0</v>
      </c>
      <c r="BY10" s="72">
        <f t="shared" si="23"/>
        <v>0</v>
      </c>
      <c r="BZ10" s="72"/>
      <c r="CA10" s="73"/>
      <c r="CB10" s="75"/>
      <c r="CC10" s="72"/>
      <c r="CD10" s="72">
        <f t="shared" si="24"/>
        <v>0</v>
      </c>
      <c r="CE10" s="72">
        <f t="shared" si="25"/>
        <v>0</v>
      </c>
      <c r="CF10" s="72"/>
      <c r="CG10" s="73"/>
      <c r="CH10" s="75"/>
      <c r="CI10" s="72"/>
      <c r="CJ10" s="72">
        <f t="shared" si="26"/>
        <v>0</v>
      </c>
      <c r="CK10" s="72">
        <f t="shared" si="27"/>
        <v>0</v>
      </c>
      <c r="CL10" s="72"/>
      <c r="CM10" s="73"/>
      <c r="CN10" s="75"/>
      <c r="CO10" s="72"/>
      <c r="CP10" s="72">
        <f t="shared" si="28"/>
        <v>0</v>
      </c>
      <c r="CQ10" s="72">
        <f t="shared" si="29"/>
        <v>0</v>
      </c>
      <c r="CR10" s="72"/>
      <c r="CS10" s="73"/>
      <c r="CT10" s="75"/>
      <c r="CU10" s="72"/>
      <c r="CV10" s="72">
        <f t="shared" si="30"/>
        <v>0</v>
      </c>
      <c r="CW10" s="72">
        <f t="shared" si="31"/>
        <v>0</v>
      </c>
      <c r="CX10" s="72"/>
      <c r="CY10" s="73"/>
      <c r="CZ10" s="75"/>
      <c r="DA10" s="72"/>
      <c r="DB10" s="72">
        <f t="shared" si="32"/>
        <v>0</v>
      </c>
      <c r="DC10" s="72">
        <f t="shared" si="33"/>
        <v>0</v>
      </c>
      <c r="DD10" s="72"/>
      <c r="DE10" s="73"/>
      <c r="DF10" s="75"/>
      <c r="DG10" s="72"/>
      <c r="DH10" s="72">
        <f t="shared" si="34"/>
        <v>0</v>
      </c>
      <c r="DI10" s="72">
        <f t="shared" si="35"/>
        <v>0</v>
      </c>
      <c r="DJ10" s="72"/>
      <c r="DK10" s="73"/>
      <c r="DL10" s="75"/>
      <c r="DM10" s="72"/>
      <c r="DN10" s="72">
        <f t="shared" si="36"/>
        <v>0</v>
      </c>
      <c r="DO10" s="72">
        <f t="shared" si="37"/>
        <v>0</v>
      </c>
      <c r="DP10" s="72"/>
      <c r="DQ10" s="73"/>
      <c r="DR10" s="75"/>
      <c r="DS10" s="72"/>
      <c r="DT10" s="72">
        <f t="shared" si="38"/>
        <v>0</v>
      </c>
      <c r="DU10" s="72">
        <f t="shared" si="39"/>
        <v>0</v>
      </c>
      <c r="DV10" s="72"/>
      <c r="DW10" s="73"/>
      <c r="DX10" s="75"/>
      <c r="DY10" s="72"/>
      <c r="DZ10" s="72">
        <f t="shared" si="40"/>
        <v>0</v>
      </c>
      <c r="EA10" s="72">
        <f t="shared" si="41"/>
        <v>0</v>
      </c>
      <c r="EB10" s="72"/>
      <c r="EC10" s="73"/>
      <c r="ED10" s="75"/>
      <c r="EE10" s="72"/>
      <c r="EF10" s="72">
        <f t="shared" si="42"/>
        <v>0</v>
      </c>
      <c r="EG10" s="72">
        <f t="shared" si="43"/>
        <v>0</v>
      </c>
      <c r="EH10" s="72"/>
      <c r="EI10" s="73"/>
      <c r="EJ10" s="75"/>
      <c r="EK10" s="89"/>
      <c r="EL10" s="89">
        <f t="shared" si="44"/>
        <v>0</v>
      </c>
      <c r="EM10" s="89">
        <f t="shared" si="45"/>
        <v>0</v>
      </c>
      <c r="EN10" s="89"/>
      <c r="EO10" s="90"/>
      <c r="EP10" s="75"/>
      <c r="EQ10" s="72"/>
      <c r="ER10" s="72">
        <f t="shared" si="46"/>
        <v>0</v>
      </c>
      <c r="ES10" s="72">
        <f t="shared" si="47"/>
        <v>0</v>
      </c>
      <c r="ET10" s="72"/>
      <c r="EU10" s="73"/>
      <c r="EV10" s="75"/>
      <c r="EW10" s="72"/>
      <c r="EX10" s="72">
        <f t="shared" si="48"/>
        <v>0</v>
      </c>
      <c r="EY10" s="72">
        <f t="shared" si="49"/>
        <v>0</v>
      </c>
      <c r="EZ10" s="72"/>
      <c r="FA10" s="73"/>
      <c r="FB10" s="75"/>
      <c r="FC10" s="72"/>
      <c r="FD10" s="72">
        <f t="shared" si="50"/>
        <v>0</v>
      </c>
      <c r="FE10" s="72">
        <f t="shared" si="51"/>
        <v>0</v>
      </c>
      <c r="FF10" s="72"/>
      <c r="FG10" s="73"/>
      <c r="FH10" s="75"/>
      <c r="FI10" s="72"/>
      <c r="FJ10" s="72">
        <f t="shared" si="52"/>
        <v>0</v>
      </c>
      <c r="FK10" s="72">
        <f t="shared" si="53"/>
        <v>0</v>
      </c>
      <c r="FL10" s="72"/>
      <c r="FM10" s="73"/>
      <c r="FN10" s="75"/>
      <c r="FO10" s="72"/>
      <c r="FP10" s="72">
        <f t="shared" si="54"/>
        <v>0</v>
      </c>
      <c r="FQ10" s="72">
        <f t="shared" si="55"/>
        <v>0</v>
      </c>
      <c r="FR10" s="72"/>
      <c r="FS10" s="73"/>
      <c r="FT10" s="75"/>
      <c r="FU10" s="72"/>
      <c r="FV10" s="72">
        <f t="shared" si="56"/>
        <v>0</v>
      </c>
      <c r="FW10" s="72">
        <f t="shared" si="57"/>
        <v>0</v>
      </c>
      <c r="FX10" s="72"/>
      <c r="FY10" s="73"/>
      <c r="FZ10" s="75"/>
      <c r="GA10" s="72"/>
      <c r="GB10" s="72">
        <f t="shared" si="58"/>
        <v>0</v>
      </c>
      <c r="GC10" s="72">
        <f t="shared" si="59"/>
        <v>0</v>
      </c>
      <c r="GD10" s="72"/>
      <c r="GE10" s="73"/>
      <c r="GF10" s="75"/>
      <c r="GG10" s="72"/>
      <c r="GH10" s="72">
        <f t="shared" si="60"/>
        <v>0</v>
      </c>
      <c r="GI10" s="72">
        <f t="shared" si="61"/>
        <v>0</v>
      </c>
      <c r="GJ10" s="72"/>
      <c r="GK10" s="73"/>
      <c r="GL10" s="75"/>
      <c r="GM10" s="72"/>
      <c r="GN10" s="72">
        <f t="shared" si="62"/>
        <v>0</v>
      </c>
      <c r="GO10" s="72">
        <f t="shared" si="63"/>
        <v>0</v>
      </c>
      <c r="GP10" s="72"/>
      <c r="GQ10" s="73"/>
      <c r="GR10" s="75"/>
      <c r="GS10" s="72"/>
      <c r="GT10" s="72">
        <f t="shared" si="64"/>
        <v>0</v>
      </c>
      <c r="GU10" s="72">
        <f t="shared" si="65"/>
        <v>0</v>
      </c>
      <c r="GV10" s="72"/>
      <c r="GW10" s="73"/>
      <c r="GX10" s="75"/>
      <c r="GY10" s="74"/>
      <c r="GZ10" s="75"/>
      <c r="HA10" s="75"/>
      <c r="HB10" s="75"/>
      <c r="HC10" s="73"/>
      <c r="HD10" s="75"/>
      <c r="HE10" s="75"/>
      <c r="HF10" s="75"/>
      <c r="HG10" s="75"/>
      <c r="HH10" s="75"/>
      <c r="HI10" s="75"/>
      <c r="HJ10" s="55"/>
      <c r="HK10" s="55"/>
      <c r="HL10" s="55"/>
      <c r="HM10" s="55"/>
      <c r="HN10" s="55"/>
      <c r="HO10" s="55"/>
      <c r="HP10" s="55"/>
      <c r="HQ10" s="55"/>
      <c r="HR10" s="55"/>
      <c r="HS10" s="55"/>
      <c r="HT10" s="55"/>
      <c r="HU10" s="55"/>
    </row>
    <row r="11" spans="1:229" s="57" customFormat="1" ht="12.75" hidden="1">
      <c r="A11" s="56">
        <v>44287</v>
      </c>
      <c r="C11" s="75"/>
      <c r="D11" s="75"/>
      <c r="E11" s="73">
        <f t="shared" si="0"/>
        <v>0</v>
      </c>
      <c r="F11" s="73"/>
      <c r="G11" s="73"/>
      <c r="H11" s="75"/>
      <c r="I11" s="73">
        <f>C11*17.74091/100</f>
        <v>0</v>
      </c>
      <c r="J11" s="74">
        <f t="shared" si="97"/>
        <v>0</v>
      </c>
      <c r="K11" s="73">
        <f t="shared" si="98"/>
        <v>0</v>
      </c>
      <c r="L11" s="73"/>
      <c r="M11" s="73"/>
      <c r="N11" s="75"/>
      <c r="O11" s="72">
        <f t="shared" si="1"/>
        <v>0</v>
      </c>
      <c r="P11" s="74">
        <f t="shared" si="2"/>
        <v>0</v>
      </c>
      <c r="Q11" s="72">
        <f t="shared" si="3"/>
        <v>0</v>
      </c>
      <c r="R11" s="72"/>
      <c r="S11" s="73"/>
      <c r="T11" s="75"/>
      <c r="U11" s="72">
        <f t="shared" si="66"/>
        <v>0</v>
      </c>
      <c r="V11" s="72">
        <f t="shared" si="4"/>
        <v>0</v>
      </c>
      <c r="W11" s="72">
        <f t="shared" si="5"/>
        <v>0</v>
      </c>
      <c r="X11" s="72"/>
      <c r="Y11" s="73"/>
      <c r="Z11" s="75"/>
      <c r="AA11" s="72">
        <f t="shared" si="67"/>
        <v>0</v>
      </c>
      <c r="AB11" s="72">
        <f t="shared" si="6"/>
        <v>0</v>
      </c>
      <c r="AC11" s="72">
        <f t="shared" si="7"/>
        <v>0</v>
      </c>
      <c r="AD11" s="72"/>
      <c r="AE11" s="73"/>
      <c r="AF11" s="75"/>
      <c r="AG11" s="72">
        <f t="shared" si="68"/>
        <v>0</v>
      </c>
      <c r="AH11" s="72">
        <f t="shared" si="8"/>
        <v>0</v>
      </c>
      <c r="AI11" s="72">
        <f t="shared" si="9"/>
        <v>0</v>
      </c>
      <c r="AJ11" s="72"/>
      <c r="AK11" s="73"/>
      <c r="AL11" s="75"/>
      <c r="AM11" s="72">
        <f t="shared" si="69"/>
        <v>0</v>
      </c>
      <c r="AN11" s="72">
        <f t="shared" si="10"/>
        <v>0</v>
      </c>
      <c r="AO11" s="72">
        <f t="shared" si="11"/>
        <v>0</v>
      </c>
      <c r="AP11" s="72"/>
      <c r="AQ11" s="73"/>
      <c r="AR11" s="75"/>
      <c r="AS11" s="72">
        <f t="shared" si="70"/>
        <v>0</v>
      </c>
      <c r="AT11" s="72">
        <f t="shared" si="12"/>
        <v>0</v>
      </c>
      <c r="AU11" s="72">
        <f t="shared" si="13"/>
        <v>0</v>
      </c>
      <c r="AV11" s="72"/>
      <c r="AW11" s="73"/>
      <c r="AX11" s="75"/>
      <c r="AY11" s="72">
        <f t="shared" si="71"/>
        <v>0</v>
      </c>
      <c r="AZ11" s="72">
        <f t="shared" si="14"/>
        <v>0</v>
      </c>
      <c r="BA11" s="72">
        <f t="shared" si="15"/>
        <v>0</v>
      </c>
      <c r="BB11" s="72"/>
      <c r="BC11" s="73"/>
      <c r="BD11" s="75"/>
      <c r="BE11" s="72">
        <f t="shared" si="72"/>
        <v>0</v>
      </c>
      <c r="BF11" s="72">
        <f t="shared" si="16"/>
        <v>0</v>
      </c>
      <c r="BG11" s="72">
        <f t="shared" si="17"/>
        <v>0</v>
      </c>
      <c r="BH11" s="72"/>
      <c r="BI11" s="73"/>
      <c r="BJ11" s="75"/>
      <c r="BK11" s="72">
        <f t="shared" si="73"/>
        <v>0</v>
      </c>
      <c r="BL11" s="72">
        <f t="shared" si="18"/>
        <v>0</v>
      </c>
      <c r="BM11" s="72">
        <f t="shared" si="19"/>
        <v>0</v>
      </c>
      <c r="BN11" s="72"/>
      <c r="BO11" s="73"/>
      <c r="BP11" s="75"/>
      <c r="BQ11" s="72">
        <f t="shared" si="74"/>
        <v>0</v>
      </c>
      <c r="BR11" s="72">
        <f t="shared" si="20"/>
        <v>0</v>
      </c>
      <c r="BS11" s="72">
        <f t="shared" si="21"/>
        <v>0</v>
      </c>
      <c r="BT11" s="72"/>
      <c r="BU11" s="73"/>
      <c r="BV11" s="75"/>
      <c r="BW11" s="72">
        <f t="shared" si="75"/>
        <v>0</v>
      </c>
      <c r="BX11" s="72">
        <f t="shared" si="22"/>
        <v>0</v>
      </c>
      <c r="BY11" s="72">
        <f t="shared" si="23"/>
        <v>0</v>
      </c>
      <c r="BZ11" s="72"/>
      <c r="CA11" s="73"/>
      <c r="CB11" s="75"/>
      <c r="CC11" s="72">
        <f t="shared" si="76"/>
        <v>0</v>
      </c>
      <c r="CD11" s="72">
        <f t="shared" si="24"/>
        <v>0</v>
      </c>
      <c r="CE11" s="72">
        <f t="shared" si="25"/>
        <v>0</v>
      </c>
      <c r="CF11" s="72"/>
      <c r="CG11" s="73"/>
      <c r="CH11" s="75"/>
      <c r="CI11" s="72">
        <f t="shared" si="77"/>
        <v>0</v>
      </c>
      <c r="CJ11" s="72">
        <f t="shared" si="26"/>
        <v>0</v>
      </c>
      <c r="CK11" s="72">
        <f t="shared" si="27"/>
        <v>0</v>
      </c>
      <c r="CL11" s="72"/>
      <c r="CM11" s="73"/>
      <c r="CN11" s="75"/>
      <c r="CO11" s="72">
        <f t="shared" si="78"/>
        <v>0</v>
      </c>
      <c r="CP11" s="72">
        <f t="shared" si="28"/>
        <v>0</v>
      </c>
      <c r="CQ11" s="72">
        <f t="shared" si="29"/>
        <v>0</v>
      </c>
      <c r="CR11" s="72"/>
      <c r="CS11" s="73"/>
      <c r="CT11" s="75"/>
      <c r="CU11" s="72">
        <f t="shared" si="79"/>
        <v>0</v>
      </c>
      <c r="CV11" s="72">
        <f t="shared" si="30"/>
        <v>0</v>
      </c>
      <c r="CW11" s="72">
        <f t="shared" si="31"/>
        <v>0</v>
      </c>
      <c r="CX11" s="72"/>
      <c r="CY11" s="73"/>
      <c r="CZ11" s="75"/>
      <c r="DA11" s="72">
        <f t="shared" si="80"/>
        <v>0</v>
      </c>
      <c r="DB11" s="72">
        <f t="shared" si="32"/>
        <v>0</v>
      </c>
      <c r="DC11" s="72">
        <f t="shared" si="33"/>
        <v>0</v>
      </c>
      <c r="DD11" s="72"/>
      <c r="DE11" s="73"/>
      <c r="DF11" s="75"/>
      <c r="DG11" s="72">
        <f t="shared" si="81"/>
        <v>0</v>
      </c>
      <c r="DH11" s="72">
        <f t="shared" si="34"/>
        <v>0</v>
      </c>
      <c r="DI11" s="72">
        <f t="shared" si="35"/>
        <v>0</v>
      </c>
      <c r="DJ11" s="72"/>
      <c r="DK11" s="73"/>
      <c r="DL11" s="75"/>
      <c r="DM11" s="72">
        <f t="shared" si="82"/>
        <v>0</v>
      </c>
      <c r="DN11" s="72">
        <f t="shared" si="36"/>
        <v>0</v>
      </c>
      <c r="DO11" s="72">
        <f t="shared" si="37"/>
        <v>0</v>
      </c>
      <c r="DP11" s="72"/>
      <c r="DQ11" s="73"/>
      <c r="DR11" s="75"/>
      <c r="DS11" s="72">
        <f t="shared" si="83"/>
        <v>0</v>
      </c>
      <c r="DT11" s="72">
        <f t="shared" si="38"/>
        <v>0</v>
      </c>
      <c r="DU11" s="72">
        <f t="shared" si="39"/>
        <v>0</v>
      </c>
      <c r="DV11" s="72"/>
      <c r="DW11" s="73"/>
      <c r="DX11" s="75"/>
      <c r="DY11" s="72">
        <f t="shared" si="84"/>
        <v>0</v>
      </c>
      <c r="DZ11" s="72">
        <f t="shared" si="40"/>
        <v>0</v>
      </c>
      <c r="EA11" s="72">
        <f t="shared" si="41"/>
        <v>0</v>
      </c>
      <c r="EB11" s="72"/>
      <c r="EC11" s="73"/>
      <c r="ED11" s="75"/>
      <c r="EE11" s="72">
        <f t="shared" si="85"/>
        <v>0</v>
      </c>
      <c r="EF11" s="72">
        <f t="shared" si="42"/>
        <v>0</v>
      </c>
      <c r="EG11" s="72">
        <f t="shared" si="43"/>
        <v>0</v>
      </c>
      <c r="EH11" s="72"/>
      <c r="EI11" s="73"/>
      <c r="EJ11" s="75"/>
      <c r="EK11" s="89">
        <f t="shared" si="86"/>
        <v>0</v>
      </c>
      <c r="EL11" s="89">
        <f t="shared" si="44"/>
        <v>0</v>
      </c>
      <c r="EM11" s="89">
        <f t="shared" si="45"/>
        <v>0</v>
      </c>
      <c r="EN11" s="89"/>
      <c r="EO11" s="90"/>
      <c r="EP11" s="75"/>
      <c r="EQ11" s="72">
        <f t="shared" si="87"/>
        <v>0</v>
      </c>
      <c r="ER11" s="72">
        <f t="shared" si="46"/>
        <v>0</v>
      </c>
      <c r="ES11" s="72">
        <f t="shared" si="47"/>
        <v>0</v>
      </c>
      <c r="ET11" s="72"/>
      <c r="EU11" s="73"/>
      <c r="EV11" s="75"/>
      <c r="EW11" s="72">
        <f t="shared" si="88"/>
        <v>0</v>
      </c>
      <c r="EX11" s="72">
        <f t="shared" si="48"/>
        <v>0</v>
      </c>
      <c r="EY11" s="72">
        <f t="shared" si="49"/>
        <v>0</v>
      </c>
      <c r="EZ11" s="72"/>
      <c r="FA11" s="73"/>
      <c r="FB11" s="75"/>
      <c r="FC11" s="72">
        <f t="shared" si="89"/>
        <v>0</v>
      </c>
      <c r="FD11" s="72">
        <f t="shared" si="50"/>
        <v>0</v>
      </c>
      <c r="FE11" s="72">
        <f t="shared" si="51"/>
        <v>0</v>
      </c>
      <c r="FF11" s="72"/>
      <c r="FG11" s="73"/>
      <c r="FH11" s="75"/>
      <c r="FI11" s="72">
        <f t="shared" si="90"/>
        <v>0</v>
      </c>
      <c r="FJ11" s="72">
        <f t="shared" si="52"/>
        <v>0</v>
      </c>
      <c r="FK11" s="72">
        <f t="shared" si="53"/>
        <v>0</v>
      </c>
      <c r="FL11" s="72"/>
      <c r="FM11" s="73"/>
      <c r="FN11" s="75"/>
      <c r="FO11" s="72">
        <f t="shared" si="91"/>
        <v>0</v>
      </c>
      <c r="FP11" s="72">
        <f t="shared" si="54"/>
        <v>0</v>
      </c>
      <c r="FQ11" s="72">
        <f t="shared" si="55"/>
        <v>0</v>
      </c>
      <c r="FR11" s="72"/>
      <c r="FS11" s="73"/>
      <c r="FT11" s="75"/>
      <c r="FU11" s="72">
        <f t="shared" si="92"/>
        <v>0</v>
      </c>
      <c r="FV11" s="72">
        <f t="shared" si="56"/>
        <v>0</v>
      </c>
      <c r="FW11" s="72">
        <f t="shared" si="57"/>
        <v>0</v>
      </c>
      <c r="FX11" s="72"/>
      <c r="FY11" s="73"/>
      <c r="FZ11" s="75"/>
      <c r="GA11" s="72">
        <f t="shared" si="93"/>
        <v>0</v>
      </c>
      <c r="GB11" s="72">
        <f t="shared" si="58"/>
        <v>0</v>
      </c>
      <c r="GC11" s="72">
        <f t="shared" si="59"/>
        <v>0</v>
      </c>
      <c r="GD11" s="72"/>
      <c r="GE11" s="73"/>
      <c r="GF11" s="75"/>
      <c r="GG11" s="72">
        <f t="shared" si="94"/>
        <v>0</v>
      </c>
      <c r="GH11" s="72">
        <f t="shared" si="60"/>
        <v>0</v>
      </c>
      <c r="GI11" s="72">
        <f t="shared" si="61"/>
        <v>0</v>
      </c>
      <c r="GJ11" s="72"/>
      <c r="GK11" s="73"/>
      <c r="GL11" s="75"/>
      <c r="GM11" s="72">
        <f t="shared" si="95"/>
        <v>0</v>
      </c>
      <c r="GN11" s="72">
        <f t="shared" si="62"/>
        <v>0</v>
      </c>
      <c r="GO11" s="72">
        <f t="shared" si="63"/>
        <v>0</v>
      </c>
      <c r="GP11" s="72"/>
      <c r="GQ11" s="73"/>
      <c r="GR11" s="75"/>
      <c r="GS11" s="72">
        <f t="shared" si="96"/>
        <v>0</v>
      </c>
      <c r="GT11" s="72">
        <f t="shared" si="64"/>
        <v>0</v>
      </c>
      <c r="GU11" s="72">
        <f t="shared" si="65"/>
        <v>0</v>
      </c>
      <c r="GV11" s="72"/>
      <c r="GW11" s="73"/>
      <c r="GX11" s="75"/>
      <c r="GY11" s="74"/>
      <c r="GZ11" s="75"/>
      <c r="HA11" s="75"/>
      <c r="HB11" s="75"/>
      <c r="HC11" s="73"/>
      <c r="HD11" s="75"/>
      <c r="HE11" s="75"/>
      <c r="HF11" s="75"/>
      <c r="HG11" s="75"/>
      <c r="HH11" s="75"/>
      <c r="HI11" s="75"/>
      <c r="HJ11" s="55"/>
      <c r="HK11" s="55"/>
      <c r="HL11" s="55"/>
      <c r="HM11" s="55"/>
      <c r="HN11" s="55"/>
      <c r="HO11" s="55"/>
      <c r="HP11" s="55"/>
      <c r="HQ11" s="55"/>
      <c r="HR11" s="55"/>
      <c r="HS11" s="55"/>
      <c r="HT11" s="55"/>
      <c r="HU11" s="55"/>
    </row>
    <row r="12" spans="1:229" s="57" customFormat="1" ht="12.75" hidden="1">
      <c r="A12" s="56">
        <v>44470</v>
      </c>
      <c r="C12" s="75"/>
      <c r="D12" s="75"/>
      <c r="E12" s="73">
        <f t="shared" si="0"/>
        <v>0</v>
      </c>
      <c r="F12" s="73"/>
      <c r="G12" s="73"/>
      <c r="H12" s="75"/>
      <c r="I12" s="73"/>
      <c r="J12" s="74">
        <f t="shared" si="97"/>
        <v>0</v>
      </c>
      <c r="K12" s="73">
        <f t="shared" si="98"/>
        <v>0</v>
      </c>
      <c r="L12" s="73"/>
      <c r="M12" s="73"/>
      <c r="N12" s="75"/>
      <c r="O12" s="72">
        <f t="shared" si="1"/>
        <v>0</v>
      </c>
      <c r="P12" s="74">
        <f t="shared" si="2"/>
        <v>0</v>
      </c>
      <c r="Q12" s="72">
        <f t="shared" si="3"/>
        <v>0</v>
      </c>
      <c r="R12" s="72"/>
      <c r="S12" s="73"/>
      <c r="T12" s="75"/>
      <c r="U12" s="72"/>
      <c r="V12" s="72">
        <f t="shared" si="4"/>
        <v>0</v>
      </c>
      <c r="W12" s="72">
        <f t="shared" si="5"/>
        <v>0</v>
      </c>
      <c r="X12" s="72"/>
      <c r="Y12" s="73"/>
      <c r="Z12" s="75"/>
      <c r="AA12" s="72"/>
      <c r="AB12" s="72">
        <f t="shared" si="6"/>
        <v>0</v>
      </c>
      <c r="AC12" s="72">
        <f t="shared" si="7"/>
        <v>0</v>
      </c>
      <c r="AD12" s="72"/>
      <c r="AE12" s="73"/>
      <c r="AF12" s="75"/>
      <c r="AG12" s="72"/>
      <c r="AH12" s="72">
        <f t="shared" si="8"/>
        <v>0</v>
      </c>
      <c r="AI12" s="72">
        <f t="shared" si="9"/>
        <v>0</v>
      </c>
      <c r="AJ12" s="72"/>
      <c r="AK12" s="73"/>
      <c r="AL12" s="75"/>
      <c r="AM12" s="72"/>
      <c r="AN12" s="72">
        <f t="shared" si="10"/>
        <v>0</v>
      </c>
      <c r="AO12" s="72">
        <f t="shared" si="11"/>
        <v>0</v>
      </c>
      <c r="AP12" s="72"/>
      <c r="AQ12" s="73"/>
      <c r="AR12" s="75"/>
      <c r="AS12" s="72"/>
      <c r="AT12" s="72">
        <f t="shared" si="12"/>
        <v>0</v>
      </c>
      <c r="AU12" s="72">
        <f t="shared" si="13"/>
        <v>0</v>
      </c>
      <c r="AV12" s="72"/>
      <c r="AW12" s="73"/>
      <c r="AX12" s="75"/>
      <c r="AY12" s="72"/>
      <c r="AZ12" s="72">
        <f t="shared" si="14"/>
        <v>0</v>
      </c>
      <c r="BA12" s="72">
        <f t="shared" si="15"/>
        <v>0</v>
      </c>
      <c r="BB12" s="72"/>
      <c r="BC12" s="73"/>
      <c r="BD12" s="75"/>
      <c r="BE12" s="72"/>
      <c r="BF12" s="72">
        <f t="shared" si="16"/>
        <v>0</v>
      </c>
      <c r="BG12" s="72">
        <f t="shared" si="17"/>
        <v>0</v>
      </c>
      <c r="BH12" s="72"/>
      <c r="BI12" s="73"/>
      <c r="BJ12" s="75"/>
      <c r="BK12" s="72"/>
      <c r="BL12" s="72">
        <f t="shared" si="18"/>
        <v>0</v>
      </c>
      <c r="BM12" s="72">
        <f t="shared" si="19"/>
        <v>0</v>
      </c>
      <c r="BN12" s="72"/>
      <c r="BO12" s="73"/>
      <c r="BP12" s="75"/>
      <c r="BQ12" s="72"/>
      <c r="BR12" s="72">
        <f t="shared" si="20"/>
        <v>0</v>
      </c>
      <c r="BS12" s="72">
        <f t="shared" si="21"/>
        <v>0</v>
      </c>
      <c r="BT12" s="72"/>
      <c r="BU12" s="73"/>
      <c r="BV12" s="75"/>
      <c r="BW12" s="72"/>
      <c r="BX12" s="72">
        <f t="shared" si="22"/>
        <v>0</v>
      </c>
      <c r="BY12" s="72">
        <f t="shared" si="23"/>
        <v>0</v>
      </c>
      <c r="BZ12" s="72"/>
      <c r="CA12" s="73"/>
      <c r="CB12" s="75"/>
      <c r="CC12" s="72"/>
      <c r="CD12" s="72">
        <f t="shared" si="24"/>
        <v>0</v>
      </c>
      <c r="CE12" s="72">
        <f t="shared" si="25"/>
        <v>0</v>
      </c>
      <c r="CF12" s="72"/>
      <c r="CG12" s="73"/>
      <c r="CH12" s="75"/>
      <c r="CI12" s="72"/>
      <c r="CJ12" s="72">
        <f t="shared" si="26"/>
        <v>0</v>
      </c>
      <c r="CK12" s="72">
        <f t="shared" si="27"/>
        <v>0</v>
      </c>
      <c r="CL12" s="72"/>
      <c r="CM12" s="73"/>
      <c r="CN12" s="75"/>
      <c r="CO12" s="72"/>
      <c r="CP12" s="72">
        <f t="shared" si="28"/>
        <v>0</v>
      </c>
      <c r="CQ12" s="72">
        <f t="shared" si="29"/>
        <v>0</v>
      </c>
      <c r="CR12" s="72"/>
      <c r="CS12" s="73"/>
      <c r="CT12" s="75"/>
      <c r="CU12" s="72"/>
      <c r="CV12" s="72">
        <f t="shared" si="30"/>
        <v>0</v>
      </c>
      <c r="CW12" s="72">
        <f t="shared" si="31"/>
        <v>0</v>
      </c>
      <c r="CX12" s="72"/>
      <c r="CY12" s="73"/>
      <c r="CZ12" s="75"/>
      <c r="DA12" s="72"/>
      <c r="DB12" s="72">
        <f t="shared" si="32"/>
        <v>0</v>
      </c>
      <c r="DC12" s="72">
        <f t="shared" si="33"/>
        <v>0</v>
      </c>
      <c r="DD12" s="72"/>
      <c r="DE12" s="73"/>
      <c r="DF12" s="75"/>
      <c r="DG12" s="72"/>
      <c r="DH12" s="72">
        <f t="shared" si="34"/>
        <v>0</v>
      </c>
      <c r="DI12" s="72">
        <f t="shared" si="35"/>
        <v>0</v>
      </c>
      <c r="DJ12" s="72"/>
      <c r="DK12" s="73"/>
      <c r="DL12" s="75"/>
      <c r="DM12" s="72"/>
      <c r="DN12" s="72">
        <f t="shared" si="36"/>
        <v>0</v>
      </c>
      <c r="DO12" s="72">
        <f t="shared" si="37"/>
        <v>0</v>
      </c>
      <c r="DP12" s="72"/>
      <c r="DQ12" s="73"/>
      <c r="DR12" s="75"/>
      <c r="DS12" s="72"/>
      <c r="DT12" s="72">
        <f t="shared" si="38"/>
        <v>0</v>
      </c>
      <c r="DU12" s="72">
        <f t="shared" si="39"/>
        <v>0</v>
      </c>
      <c r="DV12" s="72"/>
      <c r="DW12" s="73"/>
      <c r="DX12" s="75"/>
      <c r="DY12" s="72"/>
      <c r="DZ12" s="72">
        <f t="shared" si="40"/>
        <v>0</v>
      </c>
      <c r="EA12" s="72">
        <f t="shared" si="41"/>
        <v>0</v>
      </c>
      <c r="EB12" s="72"/>
      <c r="EC12" s="73"/>
      <c r="ED12" s="75"/>
      <c r="EE12" s="72"/>
      <c r="EF12" s="72">
        <f t="shared" si="42"/>
        <v>0</v>
      </c>
      <c r="EG12" s="72">
        <f t="shared" si="43"/>
        <v>0</v>
      </c>
      <c r="EH12" s="72"/>
      <c r="EI12" s="73"/>
      <c r="EJ12" s="75"/>
      <c r="EK12" s="89"/>
      <c r="EL12" s="89">
        <f t="shared" si="44"/>
        <v>0</v>
      </c>
      <c r="EM12" s="89">
        <f t="shared" si="45"/>
        <v>0</v>
      </c>
      <c r="EN12" s="89"/>
      <c r="EO12" s="90"/>
      <c r="EP12" s="75"/>
      <c r="EQ12" s="72"/>
      <c r="ER12" s="72">
        <f t="shared" si="46"/>
        <v>0</v>
      </c>
      <c r="ES12" s="72">
        <f t="shared" si="47"/>
        <v>0</v>
      </c>
      <c r="ET12" s="72"/>
      <c r="EU12" s="73"/>
      <c r="EV12" s="75"/>
      <c r="EW12" s="72"/>
      <c r="EX12" s="72">
        <f t="shared" si="48"/>
        <v>0</v>
      </c>
      <c r="EY12" s="72">
        <f t="shared" si="49"/>
        <v>0</v>
      </c>
      <c r="EZ12" s="72"/>
      <c r="FA12" s="73"/>
      <c r="FB12" s="75"/>
      <c r="FC12" s="72"/>
      <c r="FD12" s="72">
        <f t="shared" si="50"/>
        <v>0</v>
      </c>
      <c r="FE12" s="72">
        <f t="shared" si="51"/>
        <v>0</v>
      </c>
      <c r="FF12" s="72"/>
      <c r="FG12" s="73"/>
      <c r="FH12" s="75"/>
      <c r="FI12" s="72"/>
      <c r="FJ12" s="72">
        <f t="shared" si="52"/>
        <v>0</v>
      </c>
      <c r="FK12" s="72">
        <f t="shared" si="53"/>
        <v>0</v>
      </c>
      <c r="FL12" s="72"/>
      <c r="FM12" s="73"/>
      <c r="FN12" s="75"/>
      <c r="FO12" s="72"/>
      <c r="FP12" s="72">
        <f t="shared" si="54"/>
        <v>0</v>
      </c>
      <c r="FQ12" s="72">
        <f t="shared" si="55"/>
        <v>0</v>
      </c>
      <c r="FR12" s="72"/>
      <c r="FS12" s="73"/>
      <c r="FT12" s="75"/>
      <c r="FU12" s="72"/>
      <c r="FV12" s="72">
        <f t="shared" si="56"/>
        <v>0</v>
      </c>
      <c r="FW12" s="72">
        <f t="shared" si="57"/>
        <v>0</v>
      </c>
      <c r="FX12" s="72"/>
      <c r="FY12" s="73"/>
      <c r="FZ12" s="75"/>
      <c r="GA12" s="72"/>
      <c r="GB12" s="72">
        <f t="shared" si="58"/>
        <v>0</v>
      </c>
      <c r="GC12" s="72">
        <f t="shared" si="59"/>
        <v>0</v>
      </c>
      <c r="GD12" s="72"/>
      <c r="GE12" s="73"/>
      <c r="GF12" s="75"/>
      <c r="GG12" s="72"/>
      <c r="GH12" s="72">
        <f t="shared" si="60"/>
        <v>0</v>
      </c>
      <c r="GI12" s="72">
        <f t="shared" si="61"/>
        <v>0</v>
      </c>
      <c r="GJ12" s="72"/>
      <c r="GK12" s="73"/>
      <c r="GL12" s="75"/>
      <c r="GM12" s="72"/>
      <c r="GN12" s="72">
        <f t="shared" si="62"/>
        <v>0</v>
      </c>
      <c r="GO12" s="72">
        <f t="shared" si="63"/>
        <v>0</v>
      </c>
      <c r="GP12" s="72"/>
      <c r="GQ12" s="73"/>
      <c r="GR12" s="75"/>
      <c r="GS12" s="72"/>
      <c r="GT12" s="72">
        <f t="shared" si="64"/>
        <v>0</v>
      </c>
      <c r="GU12" s="72">
        <f t="shared" si="65"/>
        <v>0</v>
      </c>
      <c r="GV12" s="72"/>
      <c r="GW12" s="73"/>
      <c r="GX12" s="75"/>
      <c r="GY12" s="74"/>
      <c r="GZ12" s="75"/>
      <c r="HA12" s="75"/>
      <c r="HB12" s="75"/>
      <c r="HC12" s="73"/>
      <c r="HD12" s="75"/>
      <c r="HE12" s="75"/>
      <c r="HF12" s="75"/>
      <c r="HG12" s="75"/>
      <c r="HH12" s="75"/>
      <c r="HI12" s="75"/>
      <c r="HJ12" s="55"/>
      <c r="HK12" s="55"/>
      <c r="HL12" s="55"/>
      <c r="HM12" s="55"/>
      <c r="HN12" s="55"/>
      <c r="HO12" s="55"/>
      <c r="HP12" s="55"/>
      <c r="HQ12" s="55"/>
      <c r="HR12" s="55"/>
      <c r="HS12" s="55"/>
      <c r="HT12" s="55"/>
      <c r="HU12" s="55"/>
    </row>
    <row r="13" spans="1:229" s="57" customFormat="1" ht="12.75" hidden="1">
      <c r="A13" s="56">
        <v>44652</v>
      </c>
      <c r="C13" s="75"/>
      <c r="D13" s="75"/>
      <c r="E13" s="73">
        <f t="shared" si="0"/>
        <v>0</v>
      </c>
      <c r="F13" s="73"/>
      <c r="G13" s="73"/>
      <c r="H13" s="75"/>
      <c r="I13" s="73">
        <f>C13*17.74091/100</f>
        <v>0</v>
      </c>
      <c r="J13" s="74">
        <f t="shared" si="97"/>
        <v>0</v>
      </c>
      <c r="K13" s="73">
        <f t="shared" si="98"/>
        <v>0</v>
      </c>
      <c r="L13" s="73"/>
      <c r="M13" s="73"/>
      <c r="N13" s="75"/>
      <c r="O13" s="72">
        <f t="shared" si="1"/>
        <v>0</v>
      </c>
      <c r="P13" s="74">
        <f t="shared" si="2"/>
        <v>0</v>
      </c>
      <c r="Q13" s="72">
        <f t="shared" si="3"/>
        <v>0</v>
      </c>
      <c r="R13" s="72"/>
      <c r="S13" s="73"/>
      <c r="T13" s="75"/>
      <c r="U13" s="72">
        <f t="shared" si="66"/>
        <v>0</v>
      </c>
      <c r="V13" s="72">
        <f t="shared" si="4"/>
        <v>0</v>
      </c>
      <c r="W13" s="72">
        <f t="shared" si="5"/>
        <v>0</v>
      </c>
      <c r="X13" s="72"/>
      <c r="Y13" s="73"/>
      <c r="Z13" s="75"/>
      <c r="AA13" s="72">
        <f t="shared" si="67"/>
        <v>0</v>
      </c>
      <c r="AB13" s="72">
        <f t="shared" si="6"/>
        <v>0</v>
      </c>
      <c r="AC13" s="72">
        <f t="shared" si="7"/>
        <v>0</v>
      </c>
      <c r="AD13" s="72"/>
      <c r="AE13" s="73"/>
      <c r="AF13" s="75"/>
      <c r="AG13" s="72">
        <f t="shared" si="68"/>
        <v>0</v>
      </c>
      <c r="AH13" s="72">
        <f t="shared" si="8"/>
        <v>0</v>
      </c>
      <c r="AI13" s="72">
        <f t="shared" si="9"/>
        <v>0</v>
      </c>
      <c r="AJ13" s="72"/>
      <c r="AK13" s="73"/>
      <c r="AL13" s="75"/>
      <c r="AM13" s="72">
        <f t="shared" si="69"/>
        <v>0</v>
      </c>
      <c r="AN13" s="72">
        <f t="shared" si="10"/>
        <v>0</v>
      </c>
      <c r="AO13" s="72">
        <f t="shared" si="11"/>
        <v>0</v>
      </c>
      <c r="AP13" s="72"/>
      <c r="AQ13" s="73"/>
      <c r="AR13" s="75"/>
      <c r="AS13" s="72">
        <f t="shared" si="70"/>
        <v>0</v>
      </c>
      <c r="AT13" s="72">
        <f t="shared" si="12"/>
        <v>0</v>
      </c>
      <c r="AU13" s="72">
        <f t="shared" si="13"/>
        <v>0</v>
      </c>
      <c r="AV13" s="72"/>
      <c r="AW13" s="73"/>
      <c r="AX13" s="75"/>
      <c r="AY13" s="72">
        <f t="shared" si="71"/>
        <v>0</v>
      </c>
      <c r="AZ13" s="72">
        <f t="shared" si="14"/>
        <v>0</v>
      </c>
      <c r="BA13" s="72">
        <f t="shared" si="15"/>
        <v>0</v>
      </c>
      <c r="BB13" s="72"/>
      <c r="BC13" s="73"/>
      <c r="BD13" s="75"/>
      <c r="BE13" s="72">
        <f t="shared" si="72"/>
        <v>0</v>
      </c>
      <c r="BF13" s="72">
        <f t="shared" si="16"/>
        <v>0</v>
      </c>
      <c r="BG13" s="72">
        <f t="shared" si="17"/>
        <v>0</v>
      </c>
      <c r="BH13" s="72"/>
      <c r="BI13" s="73"/>
      <c r="BJ13" s="75"/>
      <c r="BK13" s="72">
        <f t="shared" si="73"/>
        <v>0</v>
      </c>
      <c r="BL13" s="72">
        <f t="shared" si="18"/>
        <v>0</v>
      </c>
      <c r="BM13" s="72">
        <f t="shared" si="19"/>
        <v>0</v>
      </c>
      <c r="BN13" s="72"/>
      <c r="BO13" s="73"/>
      <c r="BP13" s="75"/>
      <c r="BQ13" s="72">
        <f t="shared" si="74"/>
        <v>0</v>
      </c>
      <c r="BR13" s="72">
        <f t="shared" si="20"/>
        <v>0</v>
      </c>
      <c r="BS13" s="72">
        <f t="shared" si="21"/>
        <v>0</v>
      </c>
      <c r="BT13" s="72"/>
      <c r="BU13" s="73"/>
      <c r="BV13" s="75"/>
      <c r="BW13" s="72">
        <f t="shared" si="75"/>
        <v>0</v>
      </c>
      <c r="BX13" s="72">
        <f t="shared" si="22"/>
        <v>0</v>
      </c>
      <c r="BY13" s="72">
        <f t="shared" si="23"/>
        <v>0</v>
      </c>
      <c r="BZ13" s="72"/>
      <c r="CA13" s="73"/>
      <c r="CB13" s="75"/>
      <c r="CC13" s="72">
        <f t="shared" si="76"/>
        <v>0</v>
      </c>
      <c r="CD13" s="72">
        <f t="shared" si="24"/>
        <v>0</v>
      </c>
      <c r="CE13" s="72">
        <f t="shared" si="25"/>
        <v>0</v>
      </c>
      <c r="CF13" s="72"/>
      <c r="CG13" s="73"/>
      <c r="CH13" s="75"/>
      <c r="CI13" s="72">
        <f t="shared" si="77"/>
        <v>0</v>
      </c>
      <c r="CJ13" s="72">
        <f t="shared" si="26"/>
        <v>0</v>
      </c>
      <c r="CK13" s="72">
        <f t="shared" si="27"/>
        <v>0</v>
      </c>
      <c r="CL13" s="72"/>
      <c r="CM13" s="73"/>
      <c r="CN13" s="75"/>
      <c r="CO13" s="72">
        <f t="shared" si="78"/>
        <v>0</v>
      </c>
      <c r="CP13" s="72">
        <f t="shared" si="28"/>
        <v>0</v>
      </c>
      <c r="CQ13" s="72">
        <f t="shared" si="29"/>
        <v>0</v>
      </c>
      <c r="CR13" s="72"/>
      <c r="CS13" s="73"/>
      <c r="CT13" s="75"/>
      <c r="CU13" s="72">
        <f t="shared" si="79"/>
        <v>0</v>
      </c>
      <c r="CV13" s="72">
        <f t="shared" si="30"/>
        <v>0</v>
      </c>
      <c r="CW13" s="72">
        <f t="shared" si="31"/>
        <v>0</v>
      </c>
      <c r="CX13" s="72"/>
      <c r="CY13" s="73"/>
      <c r="CZ13" s="75"/>
      <c r="DA13" s="72">
        <f t="shared" si="80"/>
        <v>0</v>
      </c>
      <c r="DB13" s="72">
        <f t="shared" si="32"/>
        <v>0</v>
      </c>
      <c r="DC13" s="72">
        <f t="shared" si="33"/>
        <v>0</v>
      </c>
      <c r="DD13" s="72"/>
      <c r="DE13" s="73"/>
      <c r="DF13" s="75"/>
      <c r="DG13" s="72">
        <f t="shared" si="81"/>
        <v>0</v>
      </c>
      <c r="DH13" s="72">
        <f t="shared" si="34"/>
        <v>0</v>
      </c>
      <c r="DI13" s="72">
        <f t="shared" si="35"/>
        <v>0</v>
      </c>
      <c r="DJ13" s="72"/>
      <c r="DK13" s="73"/>
      <c r="DL13" s="75"/>
      <c r="DM13" s="72">
        <f t="shared" si="82"/>
        <v>0</v>
      </c>
      <c r="DN13" s="72">
        <f t="shared" si="36"/>
        <v>0</v>
      </c>
      <c r="DO13" s="72">
        <f t="shared" si="37"/>
        <v>0</v>
      </c>
      <c r="DP13" s="72"/>
      <c r="DQ13" s="73"/>
      <c r="DR13" s="75"/>
      <c r="DS13" s="72">
        <f t="shared" si="83"/>
        <v>0</v>
      </c>
      <c r="DT13" s="72">
        <f t="shared" si="38"/>
        <v>0</v>
      </c>
      <c r="DU13" s="72">
        <f t="shared" si="39"/>
        <v>0</v>
      </c>
      <c r="DV13" s="72"/>
      <c r="DW13" s="73"/>
      <c r="DX13" s="75"/>
      <c r="DY13" s="72">
        <f t="shared" si="84"/>
        <v>0</v>
      </c>
      <c r="DZ13" s="72">
        <f t="shared" si="40"/>
        <v>0</v>
      </c>
      <c r="EA13" s="72">
        <f t="shared" si="41"/>
        <v>0</v>
      </c>
      <c r="EB13" s="72"/>
      <c r="EC13" s="73"/>
      <c r="ED13" s="75"/>
      <c r="EE13" s="72">
        <f t="shared" si="85"/>
        <v>0</v>
      </c>
      <c r="EF13" s="72">
        <f t="shared" si="42"/>
        <v>0</v>
      </c>
      <c r="EG13" s="72">
        <f t="shared" si="43"/>
        <v>0</v>
      </c>
      <c r="EH13" s="72"/>
      <c r="EI13" s="73"/>
      <c r="EJ13" s="75"/>
      <c r="EK13" s="89">
        <f t="shared" si="86"/>
        <v>0</v>
      </c>
      <c r="EL13" s="89">
        <f t="shared" si="44"/>
        <v>0</v>
      </c>
      <c r="EM13" s="89">
        <f t="shared" si="45"/>
        <v>0</v>
      </c>
      <c r="EN13" s="89"/>
      <c r="EO13" s="90"/>
      <c r="EP13" s="75"/>
      <c r="EQ13" s="72">
        <f t="shared" si="87"/>
        <v>0</v>
      </c>
      <c r="ER13" s="72">
        <f t="shared" si="46"/>
        <v>0</v>
      </c>
      <c r="ES13" s="72">
        <f t="shared" si="47"/>
        <v>0</v>
      </c>
      <c r="ET13" s="72"/>
      <c r="EU13" s="73"/>
      <c r="EV13" s="75"/>
      <c r="EW13" s="72">
        <f t="shared" si="88"/>
        <v>0</v>
      </c>
      <c r="EX13" s="72">
        <f t="shared" si="48"/>
        <v>0</v>
      </c>
      <c r="EY13" s="72">
        <f t="shared" si="49"/>
        <v>0</v>
      </c>
      <c r="EZ13" s="72"/>
      <c r="FA13" s="73"/>
      <c r="FB13" s="75"/>
      <c r="FC13" s="72">
        <f t="shared" si="89"/>
        <v>0</v>
      </c>
      <c r="FD13" s="72">
        <f t="shared" si="50"/>
        <v>0</v>
      </c>
      <c r="FE13" s="72">
        <f t="shared" si="51"/>
        <v>0</v>
      </c>
      <c r="FF13" s="72"/>
      <c r="FG13" s="73"/>
      <c r="FH13" s="75"/>
      <c r="FI13" s="72">
        <f t="shared" si="90"/>
        <v>0</v>
      </c>
      <c r="FJ13" s="72">
        <f t="shared" si="52"/>
        <v>0</v>
      </c>
      <c r="FK13" s="72">
        <f t="shared" si="53"/>
        <v>0</v>
      </c>
      <c r="FL13" s="72"/>
      <c r="FM13" s="73"/>
      <c r="FN13" s="75"/>
      <c r="FO13" s="72">
        <f t="shared" si="91"/>
        <v>0</v>
      </c>
      <c r="FP13" s="72">
        <f t="shared" si="54"/>
        <v>0</v>
      </c>
      <c r="FQ13" s="72">
        <f t="shared" si="55"/>
        <v>0</v>
      </c>
      <c r="FR13" s="72"/>
      <c r="FS13" s="73"/>
      <c r="FT13" s="75"/>
      <c r="FU13" s="72">
        <f t="shared" si="92"/>
        <v>0</v>
      </c>
      <c r="FV13" s="72">
        <f t="shared" si="56"/>
        <v>0</v>
      </c>
      <c r="FW13" s="72">
        <f t="shared" si="57"/>
        <v>0</v>
      </c>
      <c r="FX13" s="72"/>
      <c r="FY13" s="73"/>
      <c r="FZ13" s="75"/>
      <c r="GA13" s="72">
        <f t="shared" si="93"/>
        <v>0</v>
      </c>
      <c r="GB13" s="72">
        <f t="shared" si="58"/>
        <v>0</v>
      </c>
      <c r="GC13" s="72">
        <f t="shared" si="59"/>
        <v>0</v>
      </c>
      <c r="GD13" s="72"/>
      <c r="GE13" s="73"/>
      <c r="GF13" s="75"/>
      <c r="GG13" s="72">
        <f t="shared" si="94"/>
        <v>0</v>
      </c>
      <c r="GH13" s="72">
        <f t="shared" si="60"/>
        <v>0</v>
      </c>
      <c r="GI13" s="72">
        <f t="shared" si="61"/>
        <v>0</v>
      </c>
      <c r="GJ13" s="72"/>
      <c r="GK13" s="73"/>
      <c r="GL13" s="75"/>
      <c r="GM13" s="72">
        <f t="shared" si="95"/>
        <v>0</v>
      </c>
      <c r="GN13" s="72">
        <f t="shared" si="62"/>
        <v>0</v>
      </c>
      <c r="GO13" s="72">
        <f t="shared" si="63"/>
        <v>0</v>
      </c>
      <c r="GP13" s="72"/>
      <c r="GQ13" s="73"/>
      <c r="GR13" s="75"/>
      <c r="GS13" s="72">
        <f t="shared" si="96"/>
        <v>0</v>
      </c>
      <c r="GT13" s="72">
        <f t="shared" si="64"/>
        <v>0</v>
      </c>
      <c r="GU13" s="72">
        <f t="shared" si="65"/>
        <v>0</v>
      </c>
      <c r="GV13" s="72"/>
      <c r="GW13" s="73"/>
      <c r="GX13" s="75"/>
      <c r="GY13" s="74"/>
      <c r="GZ13" s="75"/>
      <c r="HA13" s="75"/>
      <c r="HB13" s="75"/>
      <c r="HC13" s="73"/>
      <c r="HD13" s="75"/>
      <c r="HE13" s="75"/>
      <c r="HF13" s="75"/>
      <c r="HG13" s="75"/>
      <c r="HH13" s="75"/>
      <c r="HI13" s="75"/>
      <c r="HJ13" s="55"/>
      <c r="HK13" s="55"/>
      <c r="HL13" s="55"/>
      <c r="HM13" s="55"/>
      <c r="HN13" s="55"/>
      <c r="HO13" s="55"/>
      <c r="HP13" s="55"/>
      <c r="HQ13" s="55"/>
      <c r="HR13" s="55"/>
      <c r="HS13" s="55"/>
      <c r="HT13" s="55"/>
      <c r="HU13" s="55"/>
    </row>
    <row r="14" spans="1:229" s="57" customFormat="1" ht="12.75" hidden="1">
      <c r="A14" s="56">
        <v>44856</v>
      </c>
      <c r="C14" s="75"/>
      <c r="D14" s="75"/>
      <c r="E14" s="73">
        <f t="shared" si="0"/>
        <v>0</v>
      </c>
      <c r="F14" s="73"/>
      <c r="G14" s="73"/>
      <c r="H14" s="75"/>
      <c r="I14" s="73"/>
      <c r="J14" s="74">
        <f t="shared" si="97"/>
        <v>0</v>
      </c>
      <c r="K14" s="73">
        <f t="shared" si="98"/>
        <v>0</v>
      </c>
      <c r="L14" s="73"/>
      <c r="M14" s="73"/>
      <c r="N14" s="75"/>
      <c r="O14" s="72">
        <f t="shared" si="1"/>
        <v>0</v>
      </c>
      <c r="P14" s="74">
        <f t="shared" si="2"/>
        <v>0</v>
      </c>
      <c r="Q14" s="72">
        <f t="shared" si="3"/>
        <v>0</v>
      </c>
      <c r="R14" s="72"/>
      <c r="S14" s="73"/>
      <c r="T14" s="75"/>
      <c r="U14" s="72"/>
      <c r="V14" s="72">
        <f t="shared" si="4"/>
        <v>0</v>
      </c>
      <c r="W14" s="72">
        <f t="shared" si="5"/>
        <v>0</v>
      </c>
      <c r="X14" s="72"/>
      <c r="Y14" s="73"/>
      <c r="Z14" s="75"/>
      <c r="AA14" s="72"/>
      <c r="AB14" s="72">
        <f t="shared" si="6"/>
        <v>0</v>
      </c>
      <c r="AC14" s="72">
        <f t="shared" si="7"/>
        <v>0</v>
      </c>
      <c r="AD14" s="72"/>
      <c r="AE14" s="73"/>
      <c r="AF14" s="75"/>
      <c r="AG14" s="72"/>
      <c r="AH14" s="72">
        <f t="shared" si="8"/>
        <v>0</v>
      </c>
      <c r="AI14" s="72">
        <f t="shared" si="9"/>
        <v>0</v>
      </c>
      <c r="AJ14" s="72"/>
      <c r="AK14" s="73"/>
      <c r="AL14" s="75"/>
      <c r="AM14" s="72"/>
      <c r="AN14" s="72">
        <f t="shared" si="10"/>
        <v>0</v>
      </c>
      <c r="AO14" s="72">
        <f t="shared" si="11"/>
        <v>0</v>
      </c>
      <c r="AP14" s="72"/>
      <c r="AQ14" s="73"/>
      <c r="AR14" s="75"/>
      <c r="AS14" s="72"/>
      <c r="AT14" s="72">
        <f t="shared" si="12"/>
        <v>0</v>
      </c>
      <c r="AU14" s="72">
        <f t="shared" si="13"/>
        <v>0</v>
      </c>
      <c r="AV14" s="72"/>
      <c r="AW14" s="73"/>
      <c r="AX14" s="75"/>
      <c r="AY14" s="72"/>
      <c r="AZ14" s="72">
        <f t="shared" si="14"/>
        <v>0</v>
      </c>
      <c r="BA14" s="72">
        <f t="shared" si="15"/>
        <v>0</v>
      </c>
      <c r="BB14" s="72"/>
      <c r="BC14" s="73"/>
      <c r="BD14" s="75"/>
      <c r="BE14" s="72"/>
      <c r="BF14" s="72">
        <f t="shared" si="16"/>
        <v>0</v>
      </c>
      <c r="BG14" s="72">
        <f t="shared" si="17"/>
        <v>0</v>
      </c>
      <c r="BH14" s="72"/>
      <c r="BI14" s="73"/>
      <c r="BJ14" s="75"/>
      <c r="BK14" s="72"/>
      <c r="BL14" s="72">
        <f t="shared" si="18"/>
        <v>0</v>
      </c>
      <c r="BM14" s="72">
        <f t="shared" si="19"/>
        <v>0</v>
      </c>
      <c r="BN14" s="72"/>
      <c r="BO14" s="73"/>
      <c r="BP14" s="75"/>
      <c r="BQ14" s="72"/>
      <c r="BR14" s="72">
        <f t="shared" si="20"/>
        <v>0</v>
      </c>
      <c r="BS14" s="72">
        <f t="shared" si="21"/>
        <v>0</v>
      </c>
      <c r="BT14" s="72"/>
      <c r="BU14" s="73"/>
      <c r="BV14" s="75"/>
      <c r="BW14" s="72"/>
      <c r="BX14" s="72">
        <f t="shared" si="22"/>
        <v>0</v>
      </c>
      <c r="BY14" s="72">
        <f t="shared" si="23"/>
        <v>0</v>
      </c>
      <c r="BZ14" s="72"/>
      <c r="CA14" s="73"/>
      <c r="CB14" s="75"/>
      <c r="CC14" s="72"/>
      <c r="CD14" s="72">
        <f t="shared" si="24"/>
        <v>0</v>
      </c>
      <c r="CE14" s="72">
        <f t="shared" si="25"/>
        <v>0</v>
      </c>
      <c r="CF14" s="72"/>
      <c r="CG14" s="73"/>
      <c r="CH14" s="75"/>
      <c r="CI14" s="72"/>
      <c r="CJ14" s="72">
        <f t="shared" si="26"/>
        <v>0</v>
      </c>
      <c r="CK14" s="72">
        <f t="shared" si="27"/>
        <v>0</v>
      </c>
      <c r="CL14" s="72"/>
      <c r="CM14" s="73"/>
      <c r="CN14" s="75"/>
      <c r="CO14" s="72"/>
      <c r="CP14" s="72">
        <f t="shared" si="28"/>
        <v>0</v>
      </c>
      <c r="CQ14" s="72">
        <f t="shared" si="29"/>
        <v>0</v>
      </c>
      <c r="CR14" s="72"/>
      <c r="CS14" s="73"/>
      <c r="CT14" s="75"/>
      <c r="CU14" s="72"/>
      <c r="CV14" s="72">
        <f t="shared" si="30"/>
        <v>0</v>
      </c>
      <c r="CW14" s="72">
        <f t="shared" si="31"/>
        <v>0</v>
      </c>
      <c r="CX14" s="72"/>
      <c r="CY14" s="73"/>
      <c r="CZ14" s="75"/>
      <c r="DA14" s="72"/>
      <c r="DB14" s="72">
        <f t="shared" si="32"/>
        <v>0</v>
      </c>
      <c r="DC14" s="72">
        <f t="shared" si="33"/>
        <v>0</v>
      </c>
      <c r="DD14" s="72"/>
      <c r="DE14" s="73"/>
      <c r="DF14" s="75"/>
      <c r="DG14" s="72"/>
      <c r="DH14" s="72">
        <f t="shared" si="34"/>
        <v>0</v>
      </c>
      <c r="DI14" s="72">
        <f t="shared" si="35"/>
        <v>0</v>
      </c>
      <c r="DJ14" s="72"/>
      <c r="DK14" s="73"/>
      <c r="DL14" s="75"/>
      <c r="DM14" s="72"/>
      <c r="DN14" s="72">
        <f t="shared" si="36"/>
        <v>0</v>
      </c>
      <c r="DO14" s="72">
        <f t="shared" si="37"/>
        <v>0</v>
      </c>
      <c r="DP14" s="72"/>
      <c r="DQ14" s="73"/>
      <c r="DR14" s="75"/>
      <c r="DS14" s="72"/>
      <c r="DT14" s="72">
        <f t="shared" si="38"/>
        <v>0</v>
      </c>
      <c r="DU14" s="72">
        <f t="shared" si="39"/>
        <v>0</v>
      </c>
      <c r="DV14" s="72"/>
      <c r="DW14" s="73"/>
      <c r="DX14" s="75"/>
      <c r="DY14" s="72"/>
      <c r="DZ14" s="72">
        <f t="shared" si="40"/>
        <v>0</v>
      </c>
      <c r="EA14" s="72">
        <f t="shared" si="41"/>
        <v>0</v>
      </c>
      <c r="EB14" s="72"/>
      <c r="EC14" s="73"/>
      <c r="ED14" s="75"/>
      <c r="EE14" s="72"/>
      <c r="EF14" s="72">
        <f t="shared" si="42"/>
        <v>0</v>
      </c>
      <c r="EG14" s="72">
        <f t="shared" si="43"/>
        <v>0</v>
      </c>
      <c r="EH14" s="72"/>
      <c r="EI14" s="73"/>
      <c r="EJ14" s="75"/>
      <c r="EK14" s="89"/>
      <c r="EL14" s="89">
        <f t="shared" si="44"/>
        <v>0</v>
      </c>
      <c r="EM14" s="89">
        <f t="shared" si="45"/>
        <v>0</v>
      </c>
      <c r="EN14" s="89"/>
      <c r="EO14" s="90"/>
      <c r="EP14" s="75"/>
      <c r="EQ14" s="72"/>
      <c r="ER14" s="72">
        <f t="shared" si="46"/>
        <v>0</v>
      </c>
      <c r="ES14" s="72">
        <f t="shared" si="47"/>
        <v>0</v>
      </c>
      <c r="ET14" s="72"/>
      <c r="EU14" s="73"/>
      <c r="EV14" s="75"/>
      <c r="EW14" s="72"/>
      <c r="EX14" s="72">
        <f t="shared" si="48"/>
        <v>0</v>
      </c>
      <c r="EY14" s="72">
        <f t="shared" si="49"/>
        <v>0</v>
      </c>
      <c r="EZ14" s="72"/>
      <c r="FA14" s="73"/>
      <c r="FB14" s="75"/>
      <c r="FC14" s="72"/>
      <c r="FD14" s="72">
        <f t="shared" si="50"/>
        <v>0</v>
      </c>
      <c r="FE14" s="72">
        <f t="shared" si="51"/>
        <v>0</v>
      </c>
      <c r="FF14" s="72"/>
      <c r="FG14" s="73"/>
      <c r="FH14" s="75"/>
      <c r="FI14" s="72"/>
      <c r="FJ14" s="72">
        <f t="shared" si="52"/>
        <v>0</v>
      </c>
      <c r="FK14" s="72">
        <f t="shared" si="53"/>
        <v>0</v>
      </c>
      <c r="FL14" s="72"/>
      <c r="FM14" s="73"/>
      <c r="FN14" s="75"/>
      <c r="FO14" s="72"/>
      <c r="FP14" s="72">
        <f t="shared" si="54"/>
        <v>0</v>
      </c>
      <c r="FQ14" s="72">
        <f t="shared" si="55"/>
        <v>0</v>
      </c>
      <c r="FR14" s="72"/>
      <c r="FS14" s="73"/>
      <c r="FT14" s="75"/>
      <c r="FU14" s="72"/>
      <c r="FV14" s="72">
        <f t="shared" si="56"/>
        <v>0</v>
      </c>
      <c r="FW14" s="72">
        <f t="shared" si="57"/>
        <v>0</v>
      </c>
      <c r="FX14" s="72"/>
      <c r="FY14" s="73"/>
      <c r="FZ14" s="75"/>
      <c r="GA14" s="72"/>
      <c r="GB14" s="72">
        <f t="shared" si="58"/>
        <v>0</v>
      </c>
      <c r="GC14" s="72">
        <f t="shared" si="59"/>
        <v>0</v>
      </c>
      <c r="GD14" s="72"/>
      <c r="GE14" s="73"/>
      <c r="GF14" s="75"/>
      <c r="GG14" s="72"/>
      <c r="GH14" s="72">
        <f t="shared" si="60"/>
        <v>0</v>
      </c>
      <c r="GI14" s="72">
        <f t="shared" si="61"/>
        <v>0</v>
      </c>
      <c r="GJ14" s="72"/>
      <c r="GK14" s="73"/>
      <c r="GL14" s="75"/>
      <c r="GM14" s="72"/>
      <c r="GN14" s="72">
        <f t="shared" si="62"/>
        <v>0</v>
      </c>
      <c r="GO14" s="72">
        <f t="shared" si="63"/>
        <v>0</v>
      </c>
      <c r="GP14" s="72"/>
      <c r="GQ14" s="73"/>
      <c r="GR14" s="75"/>
      <c r="GS14" s="72"/>
      <c r="GT14" s="72">
        <f t="shared" si="64"/>
        <v>0</v>
      </c>
      <c r="GU14" s="72">
        <f t="shared" si="65"/>
        <v>0</v>
      </c>
      <c r="GV14" s="72"/>
      <c r="GW14" s="73"/>
      <c r="GX14" s="75"/>
      <c r="GY14" s="74"/>
      <c r="GZ14" s="75"/>
      <c r="HA14" s="75"/>
      <c r="HB14" s="75"/>
      <c r="HC14" s="73"/>
      <c r="HD14" s="75"/>
      <c r="HE14" s="75"/>
      <c r="HF14" s="75"/>
      <c r="HG14" s="75"/>
      <c r="HH14" s="75"/>
      <c r="HI14" s="75"/>
      <c r="HJ14" s="55"/>
      <c r="HK14" s="55"/>
      <c r="HL14" s="55"/>
      <c r="HM14" s="55"/>
      <c r="HN14" s="55"/>
      <c r="HO14" s="55"/>
      <c r="HP14" s="55"/>
      <c r="HQ14" s="55"/>
      <c r="HR14" s="55"/>
      <c r="HS14" s="55"/>
      <c r="HT14" s="55"/>
      <c r="HU14" s="55"/>
    </row>
    <row r="15" spans="1:229" s="57" customFormat="1" ht="12.75" hidden="1">
      <c r="A15" s="56">
        <v>45017</v>
      </c>
      <c r="C15" s="75"/>
      <c r="D15" s="75"/>
      <c r="E15" s="73">
        <f t="shared" si="0"/>
        <v>0</v>
      </c>
      <c r="F15" s="73"/>
      <c r="G15" s="73"/>
      <c r="H15" s="75"/>
      <c r="I15" s="73">
        <f>C15*17.74091/100</f>
        <v>0</v>
      </c>
      <c r="J15" s="74">
        <f t="shared" si="97"/>
        <v>0</v>
      </c>
      <c r="K15" s="73">
        <f t="shared" si="98"/>
        <v>0</v>
      </c>
      <c r="L15" s="73"/>
      <c r="M15" s="73"/>
      <c r="N15" s="75"/>
      <c r="O15" s="72">
        <f t="shared" si="1"/>
        <v>0</v>
      </c>
      <c r="P15" s="74">
        <f t="shared" si="2"/>
        <v>0</v>
      </c>
      <c r="Q15" s="72">
        <f t="shared" si="3"/>
        <v>0</v>
      </c>
      <c r="R15" s="72"/>
      <c r="S15" s="73"/>
      <c r="T15" s="75"/>
      <c r="U15" s="72">
        <f t="shared" si="66"/>
        <v>0</v>
      </c>
      <c r="V15" s="72">
        <f t="shared" si="4"/>
        <v>0</v>
      </c>
      <c r="W15" s="72">
        <f t="shared" si="5"/>
        <v>0</v>
      </c>
      <c r="X15" s="72"/>
      <c r="Y15" s="73"/>
      <c r="Z15" s="75"/>
      <c r="AA15" s="72">
        <f t="shared" si="67"/>
        <v>0</v>
      </c>
      <c r="AB15" s="72">
        <f t="shared" si="6"/>
        <v>0</v>
      </c>
      <c r="AC15" s="72">
        <f t="shared" si="7"/>
        <v>0</v>
      </c>
      <c r="AD15" s="72"/>
      <c r="AE15" s="73"/>
      <c r="AF15" s="75"/>
      <c r="AG15" s="72">
        <f t="shared" si="68"/>
        <v>0</v>
      </c>
      <c r="AH15" s="72">
        <f t="shared" si="8"/>
        <v>0</v>
      </c>
      <c r="AI15" s="72">
        <f t="shared" si="9"/>
        <v>0</v>
      </c>
      <c r="AJ15" s="72"/>
      <c r="AK15" s="73"/>
      <c r="AL15" s="75"/>
      <c r="AM15" s="72">
        <f t="shared" si="69"/>
        <v>0</v>
      </c>
      <c r="AN15" s="72">
        <f t="shared" si="10"/>
        <v>0</v>
      </c>
      <c r="AO15" s="72">
        <f t="shared" si="11"/>
        <v>0</v>
      </c>
      <c r="AP15" s="72"/>
      <c r="AQ15" s="73"/>
      <c r="AR15" s="75"/>
      <c r="AS15" s="72">
        <f t="shared" si="70"/>
        <v>0</v>
      </c>
      <c r="AT15" s="72">
        <f t="shared" si="12"/>
        <v>0</v>
      </c>
      <c r="AU15" s="72">
        <f t="shared" si="13"/>
        <v>0</v>
      </c>
      <c r="AV15" s="72"/>
      <c r="AW15" s="73"/>
      <c r="AX15" s="75"/>
      <c r="AY15" s="72">
        <f t="shared" si="71"/>
        <v>0</v>
      </c>
      <c r="AZ15" s="72">
        <f t="shared" si="14"/>
        <v>0</v>
      </c>
      <c r="BA15" s="72">
        <f t="shared" si="15"/>
        <v>0</v>
      </c>
      <c r="BB15" s="72"/>
      <c r="BC15" s="73"/>
      <c r="BD15" s="75"/>
      <c r="BE15" s="72">
        <f t="shared" si="72"/>
        <v>0</v>
      </c>
      <c r="BF15" s="72">
        <f t="shared" si="16"/>
        <v>0</v>
      </c>
      <c r="BG15" s="72">
        <f t="shared" si="17"/>
        <v>0</v>
      </c>
      <c r="BH15" s="72"/>
      <c r="BI15" s="73"/>
      <c r="BJ15" s="75"/>
      <c r="BK15" s="72">
        <f t="shared" si="73"/>
        <v>0</v>
      </c>
      <c r="BL15" s="72">
        <f t="shared" si="18"/>
        <v>0</v>
      </c>
      <c r="BM15" s="72">
        <f t="shared" si="19"/>
        <v>0</v>
      </c>
      <c r="BN15" s="72"/>
      <c r="BO15" s="73"/>
      <c r="BP15" s="75"/>
      <c r="BQ15" s="72">
        <f t="shared" si="74"/>
        <v>0</v>
      </c>
      <c r="BR15" s="72">
        <f t="shared" si="20"/>
        <v>0</v>
      </c>
      <c r="BS15" s="72">
        <f t="shared" si="21"/>
        <v>0</v>
      </c>
      <c r="BT15" s="72"/>
      <c r="BU15" s="73"/>
      <c r="BV15" s="75"/>
      <c r="BW15" s="72">
        <f t="shared" si="75"/>
        <v>0</v>
      </c>
      <c r="BX15" s="72">
        <f t="shared" si="22"/>
        <v>0</v>
      </c>
      <c r="BY15" s="72">
        <f t="shared" si="23"/>
        <v>0</v>
      </c>
      <c r="BZ15" s="72"/>
      <c r="CA15" s="73"/>
      <c r="CB15" s="75"/>
      <c r="CC15" s="72">
        <f t="shared" si="76"/>
        <v>0</v>
      </c>
      <c r="CD15" s="72">
        <f t="shared" si="24"/>
        <v>0</v>
      </c>
      <c r="CE15" s="72">
        <f t="shared" si="25"/>
        <v>0</v>
      </c>
      <c r="CF15" s="72"/>
      <c r="CG15" s="73"/>
      <c r="CH15" s="75"/>
      <c r="CI15" s="72">
        <f t="shared" si="77"/>
        <v>0</v>
      </c>
      <c r="CJ15" s="72">
        <f t="shared" si="26"/>
        <v>0</v>
      </c>
      <c r="CK15" s="72">
        <f t="shared" si="27"/>
        <v>0</v>
      </c>
      <c r="CL15" s="72"/>
      <c r="CM15" s="73"/>
      <c r="CN15" s="75"/>
      <c r="CO15" s="72">
        <f t="shared" si="78"/>
        <v>0</v>
      </c>
      <c r="CP15" s="72">
        <f t="shared" si="28"/>
        <v>0</v>
      </c>
      <c r="CQ15" s="72">
        <f t="shared" si="29"/>
        <v>0</v>
      </c>
      <c r="CR15" s="72"/>
      <c r="CS15" s="73"/>
      <c r="CT15" s="75"/>
      <c r="CU15" s="72">
        <f t="shared" si="79"/>
        <v>0</v>
      </c>
      <c r="CV15" s="72">
        <f t="shared" si="30"/>
        <v>0</v>
      </c>
      <c r="CW15" s="72">
        <f t="shared" si="31"/>
        <v>0</v>
      </c>
      <c r="CX15" s="72"/>
      <c r="CY15" s="73"/>
      <c r="CZ15" s="75"/>
      <c r="DA15" s="72">
        <f t="shared" si="80"/>
        <v>0</v>
      </c>
      <c r="DB15" s="72">
        <f t="shared" si="32"/>
        <v>0</v>
      </c>
      <c r="DC15" s="72">
        <f t="shared" si="33"/>
        <v>0</v>
      </c>
      <c r="DD15" s="72"/>
      <c r="DE15" s="73"/>
      <c r="DF15" s="75"/>
      <c r="DG15" s="72">
        <f t="shared" si="81"/>
        <v>0</v>
      </c>
      <c r="DH15" s="72">
        <f t="shared" si="34"/>
        <v>0</v>
      </c>
      <c r="DI15" s="72">
        <f t="shared" si="35"/>
        <v>0</v>
      </c>
      <c r="DJ15" s="72"/>
      <c r="DK15" s="73"/>
      <c r="DL15" s="75"/>
      <c r="DM15" s="72">
        <f t="shared" si="82"/>
        <v>0</v>
      </c>
      <c r="DN15" s="72">
        <f t="shared" si="36"/>
        <v>0</v>
      </c>
      <c r="DO15" s="72">
        <f t="shared" si="37"/>
        <v>0</v>
      </c>
      <c r="DP15" s="72"/>
      <c r="DQ15" s="73"/>
      <c r="DR15" s="75"/>
      <c r="DS15" s="72">
        <f t="shared" si="83"/>
        <v>0</v>
      </c>
      <c r="DT15" s="72">
        <f t="shared" si="38"/>
        <v>0</v>
      </c>
      <c r="DU15" s="72">
        <f t="shared" si="39"/>
        <v>0</v>
      </c>
      <c r="DV15" s="72"/>
      <c r="DW15" s="73"/>
      <c r="DX15" s="75"/>
      <c r="DY15" s="72">
        <f t="shared" si="84"/>
        <v>0</v>
      </c>
      <c r="DZ15" s="72">
        <f t="shared" si="40"/>
        <v>0</v>
      </c>
      <c r="EA15" s="72">
        <f t="shared" si="41"/>
        <v>0</v>
      </c>
      <c r="EB15" s="72"/>
      <c r="EC15" s="73"/>
      <c r="ED15" s="75"/>
      <c r="EE15" s="72">
        <f t="shared" si="85"/>
        <v>0</v>
      </c>
      <c r="EF15" s="72">
        <f t="shared" si="42"/>
        <v>0</v>
      </c>
      <c r="EG15" s="72">
        <f t="shared" si="43"/>
        <v>0</v>
      </c>
      <c r="EH15" s="72"/>
      <c r="EI15" s="73"/>
      <c r="EJ15" s="75"/>
      <c r="EK15" s="89">
        <f t="shared" si="86"/>
        <v>0</v>
      </c>
      <c r="EL15" s="89">
        <f t="shared" si="44"/>
        <v>0</v>
      </c>
      <c r="EM15" s="89">
        <f t="shared" si="45"/>
        <v>0</v>
      </c>
      <c r="EN15" s="89"/>
      <c r="EO15" s="90"/>
      <c r="EP15" s="75"/>
      <c r="EQ15" s="72">
        <f t="shared" si="87"/>
        <v>0</v>
      </c>
      <c r="ER15" s="72">
        <f t="shared" si="46"/>
        <v>0</v>
      </c>
      <c r="ES15" s="72">
        <f t="shared" si="47"/>
        <v>0</v>
      </c>
      <c r="ET15" s="72"/>
      <c r="EU15" s="73"/>
      <c r="EV15" s="75"/>
      <c r="EW15" s="72">
        <f t="shared" si="88"/>
        <v>0</v>
      </c>
      <c r="EX15" s="72">
        <f t="shared" si="48"/>
        <v>0</v>
      </c>
      <c r="EY15" s="72">
        <f t="shared" si="49"/>
        <v>0</v>
      </c>
      <c r="EZ15" s="72"/>
      <c r="FA15" s="73"/>
      <c r="FB15" s="75"/>
      <c r="FC15" s="72">
        <f t="shared" si="89"/>
        <v>0</v>
      </c>
      <c r="FD15" s="72">
        <f t="shared" si="50"/>
        <v>0</v>
      </c>
      <c r="FE15" s="72">
        <f t="shared" si="51"/>
        <v>0</v>
      </c>
      <c r="FF15" s="72"/>
      <c r="FG15" s="73"/>
      <c r="FH15" s="75"/>
      <c r="FI15" s="72">
        <f t="shared" si="90"/>
        <v>0</v>
      </c>
      <c r="FJ15" s="72">
        <f t="shared" si="52"/>
        <v>0</v>
      </c>
      <c r="FK15" s="72">
        <f t="shared" si="53"/>
        <v>0</v>
      </c>
      <c r="FL15" s="72"/>
      <c r="FM15" s="73"/>
      <c r="FN15" s="75"/>
      <c r="FO15" s="72">
        <f t="shared" si="91"/>
        <v>0</v>
      </c>
      <c r="FP15" s="72">
        <f t="shared" si="54"/>
        <v>0</v>
      </c>
      <c r="FQ15" s="72">
        <f t="shared" si="55"/>
        <v>0</v>
      </c>
      <c r="FR15" s="72"/>
      <c r="FS15" s="73"/>
      <c r="FT15" s="75"/>
      <c r="FU15" s="72">
        <f t="shared" si="92"/>
        <v>0</v>
      </c>
      <c r="FV15" s="72">
        <f t="shared" si="56"/>
        <v>0</v>
      </c>
      <c r="FW15" s="72">
        <f t="shared" si="57"/>
        <v>0</v>
      </c>
      <c r="FX15" s="72"/>
      <c r="FY15" s="73"/>
      <c r="FZ15" s="75"/>
      <c r="GA15" s="72">
        <f t="shared" si="93"/>
        <v>0</v>
      </c>
      <c r="GB15" s="72">
        <f t="shared" si="58"/>
        <v>0</v>
      </c>
      <c r="GC15" s="72">
        <f t="shared" si="59"/>
        <v>0</v>
      </c>
      <c r="GD15" s="72"/>
      <c r="GE15" s="73"/>
      <c r="GF15" s="75"/>
      <c r="GG15" s="72">
        <f t="shared" si="94"/>
        <v>0</v>
      </c>
      <c r="GH15" s="72">
        <f t="shared" si="60"/>
        <v>0</v>
      </c>
      <c r="GI15" s="72">
        <f t="shared" si="61"/>
        <v>0</v>
      </c>
      <c r="GJ15" s="72"/>
      <c r="GK15" s="73"/>
      <c r="GL15" s="75"/>
      <c r="GM15" s="72">
        <f t="shared" si="95"/>
        <v>0</v>
      </c>
      <c r="GN15" s="72">
        <f t="shared" si="62"/>
        <v>0</v>
      </c>
      <c r="GO15" s="72">
        <f t="shared" si="63"/>
        <v>0</v>
      </c>
      <c r="GP15" s="72"/>
      <c r="GQ15" s="73"/>
      <c r="GR15" s="75"/>
      <c r="GS15" s="72">
        <f t="shared" si="96"/>
        <v>0</v>
      </c>
      <c r="GT15" s="72">
        <f t="shared" si="64"/>
        <v>0</v>
      </c>
      <c r="GU15" s="72">
        <f t="shared" si="65"/>
        <v>0</v>
      </c>
      <c r="GV15" s="72"/>
      <c r="GW15" s="73"/>
      <c r="GX15" s="75"/>
      <c r="GY15" s="74"/>
      <c r="GZ15" s="75"/>
      <c r="HA15" s="75"/>
      <c r="HB15" s="75"/>
      <c r="HC15" s="73"/>
      <c r="HD15" s="75"/>
      <c r="HE15" s="75"/>
      <c r="HF15" s="75"/>
      <c r="HG15" s="75"/>
      <c r="HH15" s="75"/>
      <c r="HI15" s="75"/>
      <c r="HJ15" s="55"/>
      <c r="HK15" s="55"/>
      <c r="HL15" s="55"/>
      <c r="HM15" s="55"/>
      <c r="HN15" s="55"/>
      <c r="HO15" s="55"/>
      <c r="HP15" s="55"/>
      <c r="HQ15" s="55"/>
      <c r="HR15" s="55"/>
      <c r="HS15" s="55"/>
      <c r="HT15" s="55"/>
      <c r="HU15" s="55"/>
    </row>
    <row r="16" spans="3:229" ht="12.75">
      <c r="C16" s="74"/>
      <c r="D16" s="74"/>
      <c r="E16" s="74"/>
      <c r="F16" s="74"/>
      <c r="G16" s="74"/>
      <c r="H16" s="72"/>
      <c r="I16" s="74"/>
      <c r="J16" s="74"/>
      <c r="K16" s="74"/>
      <c r="L16" s="74"/>
      <c r="M16" s="74"/>
      <c r="N16" s="72"/>
      <c r="O16" s="72"/>
      <c r="P16" s="72"/>
      <c r="Q16" s="72"/>
      <c r="R16" s="72"/>
      <c r="S16" s="74"/>
      <c r="T16" s="72"/>
      <c r="U16" s="72"/>
      <c r="V16" s="72"/>
      <c r="W16" s="72"/>
      <c r="X16" s="72"/>
      <c r="Y16" s="74"/>
      <c r="Z16" s="72"/>
      <c r="AA16" s="75"/>
      <c r="AB16" s="75"/>
      <c r="AC16" s="75"/>
      <c r="AD16" s="75"/>
      <c r="AE16" s="74"/>
      <c r="AF16" s="72"/>
      <c r="AG16" s="75"/>
      <c r="AH16" s="75"/>
      <c r="AI16" s="75"/>
      <c r="AJ16" s="75"/>
      <c r="AK16" s="74"/>
      <c r="AL16" s="72"/>
      <c r="AM16" s="75"/>
      <c r="AN16" s="75"/>
      <c r="AO16" s="75"/>
      <c r="AP16" s="75"/>
      <c r="AQ16" s="74"/>
      <c r="AR16" s="72"/>
      <c r="AS16" s="75"/>
      <c r="AT16" s="75"/>
      <c r="AU16" s="75"/>
      <c r="AV16" s="75"/>
      <c r="AW16" s="74"/>
      <c r="AX16" s="72"/>
      <c r="AY16" s="72"/>
      <c r="AZ16" s="72"/>
      <c r="BA16" s="72"/>
      <c r="BB16" s="72"/>
      <c r="BC16" s="74"/>
      <c r="BD16" s="72"/>
      <c r="BE16" s="75"/>
      <c r="BF16" s="75"/>
      <c r="BG16" s="75"/>
      <c r="BH16" s="75"/>
      <c r="BI16" s="74"/>
      <c r="BJ16" s="72"/>
      <c r="BK16" s="72"/>
      <c r="BL16" s="72"/>
      <c r="BM16" s="75"/>
      <c r="BN16" s="75"/>
      <c r="BO16" s="74"/>
      <c r="BP16" s="72"/>
      <c r="BQ16" s="72"/>
      <c r="BR16" s="72"/>
      <c r="BS16" s="72"/>
      <c r="BT16" s="72"/>
      <c r="BU16" s="74"/>
      <c r="BV16" s="72"/>
      <c r="BW16" s="75"/>
      <c r="BX16" s="75"/>
      <c r="BY16" s="75"/>
      <c r="BZ16" s="75"/>
      <c r="CA16" s="74"/>
      <c r="CB16" s="72"/>
      <c r="CC16" s="72"/>
      <c r="CD16" s="72"/>
      <c r="CE16" s="72"/>
      <c r="CF16" s="72"/>
      <c r="CG16" s="74"/>
      <c r="CH16" s="72"/>
      <c r="CI16" s="72"/>
      <c r="CJ16" s="72"/>
      <c r="CK16" s="72"/>
      <c r="CL16" s="72"/>
      <c r="CM16" s="74"/>
      <c r="CN16" s="72"/>
      <c r="CO16" s="72"/>
      <c r="CP16" s="72"/>
      <c r="CQ16" s="72"/>
      <c r="CR16" s="72"/>
      <c r="CS16" s="74"/>
      <c r="CT16" s="72"/>
      <c r="CU16" s="72"/>
      <c r="CV16" s="72"/>
      <c r="CW16" s="72"/>
      <c r="CX16" s="72"/>
      <c r="CY16" s="74"/>
      <c r="CZ16" s="72"/>
      <c r="DA16" s="72"/>
      <c r="DB16" s="72"/>
      <c r="DC16" s="72"/>
      <c r="DD16" s="72"/>
      <c r="DE16" s="74"/>
      <c r="DF16" s="72"/>
      <c r="DG16" s="72"/>
      <c r="DH16" s="72"/>
      <c r="DI16" s="72"/>
      <c r="DJ16" s="72"/>
      <c r="DK16" s="74"/>
      <c r="DL16" s="72"/>
      <c r="DM16" s="72"/>
      <c r="DN16" s="72"/>
      <c r="DO16" s="72"/>
      <c r="DP16" s="72"/>
      <c r="DQ16" s="74"/>
      <c r="DR16" s="72"/>
      <c r="DS16" s="72"/>
      <c r="DT16" s="72"/>
      <c r="DU16" s="72"/>
      <c r="DV16" s="72"/>
      <c r="DW16" s="74"/>
      <c r="DX16" s="72"/>
      <c r="DY16" s="75"/>
      <c r="DZ16" s="75"/>
      <c r="EA16" s="75"/>
      <c r="EB16" s="75"/>
      <c r="EC16" s="74"/>
      <c r="ED16" s="75"/>
      <c r="EE16" s="72"/>
      <c r="EF16" s="72"/>
      <c r="EG16" s="72"/>
      <c r="EH16" s="72"/>
      <c r="EI16" s="74"/>
      <c r="EJ16" s="72"/>
      <c r="EK16" s="89"/>
      <c r="EL16" s="89"/>
      <c r="EM16" s="89"/>
      <c r="EN16" s="89"/>
      <c r="EO16" s="91"/>
      <c r="EP16" s="72"/>
      <c r="EQ16" s="75"/>
      <c r="ER16" s="72"/>
      <c r="ES16" s="75"/>
      <c r="ET16" s="75"/>
      <c r="EU16" s="74"/>
      <c r="EV16" s="72"/>
      <c r="EW16" s="72"/>
      <c r="EX16" s="72"/>
      <c r="EY16" s="72"/>
      <c r="EZ16" s="72"/>
      <c r="FA16" s="74"/>
      <c r="FB16" s="72"/>
      <c r="FC16" s="75"/>
      <c r="FD16" s="75"/>
      <c r="FE16" s="75"/>
      <c r="FF16" s="75"/>
      <c r="FG16" s="74"/>
      <c r="FH16" s="72"/>
      <c r="FI16" s="72"/>
      <c r="FJ16" s="72"/>
      <c r="FK16" s="72"/>
      <c r="FL16" s="72"/>
      <c r="FM16" s="74"/>
      <c r="FN16" s="72"/>
      <c r="FO16" s="72"/>
      <c r="FP16" s="72"/>
      <c r="FQ16" s="72"/>
      <c r="FR16" s="72"/>
      <c r="FS16" s="74"/>
      <c r="FT16" s="72"/>
      <c r="FU16" s="72"/>
      <c r="FV16" s="72"/>
      <c r="FW16" s="72"/>
      <c r="FX16" s="72"/>
      <c r="FY16" s="74"/>
      <c r="FZ16" s="72"/>
      <c r="GA16" s="72"/>
      <c r="GB16" s="72"/>
      <c r="GC16" s="72"/>
      <c r="GD16" s="72"/>
      <c r="GE16" s="74"/>
      <c r="GF16" s="72"/>
      <c r="GG16" s="72"/>
      <c r="GH16" s="72"/>
      <c r="GI16" s="72"/>
      <c r="GJ16" s="72"/>
      <c r="GK16" s="74"/>
      <c r="GL16" s="72"/>
      <c r="GM16" s="72"/>
      <c r="GN16" s="72"/>
      <c r="GO16" s="72"/>
      <c r="GP16" s="72"/>
      <c r="GQ16" s="74"/>
      <c r="GR16" s="72"/>
      <c r="GS16" s="72"/>
      <c r="GT16" s="72"/>
      <c r="GU16" s="72"/>
      <c r="GV16" s="72"/>
      <c r="GW16" s="74"/>
      <c r="GX16" s="72"/>
      <c r="GY16" s="75"/>
      <c r="GZ16" s="75"/>
      <c r="HA16" s="75"/>
      <c r="HB16" s="75"/>
      <c r="HC16" s="74"/>
      <c r="HD16" s="72"/>
      <c r="HE16" s="72"/>
      <c r="HF16" s="72"/>
      <c r="HG16" s="72"/>
      <c r="HH16" s="72"/>
      <c r="HI16" s="72"/>
      <c r="HJ16" s="38"/>
      <c r="HK16" s="38"/>
      <c r="HL16" s="38"/>
      <c r="HM16" s="38"/>
      <c r="HN16" s="38"/>
      <c r="HO16" s="38"/>
      <c r="HP16" s="38"/>
      <c r="HQ16" s="38"/>
      <c r="HR16" s="38"/>
      <c r="HS16" s="38"/>
      <c r="HT16" s="38"/>
      <c r="HU16" s="38"/>
    </row>
    <row r="17" spans="1:229" ht="13.5" thickBot="1">
      <c r="A17" s="36" t="s">
        <v>4</v>
      </c>
      <c r="C17" s="76">
        <f>SUM(C8:C16)</f>
        <v>6560000</v>
      </c>
      <c r="D17" s="76">
        <f>SUM(D8:D16)</f>
        <v>262400</v>
      </c>
      <c r="E17" s="76">
        <f>SUM(E8:E16)</f>
        <v>6822400</v>
      </c>
      <c r="F17" s="76">
        <f>SUM(F8:F16)</f>
        <v>43457</v>
      </c>
      <c r="G17" s="76">
        <f>SUM(G8:G16)</f>
        <v>15584</v>
      </c>
      <c r="H17" s="72"/>
      <c r="I17" s="76">
        <f>SUM(I8:I16)</f>
        <v>1163803.696</v>
      </c>
      <c r="J17" s="76">
        <f>SUM(J8:J16)</f>
        <v>46552.147840000005</v>
      </c>
      <c r="K17" s="76">
        <f>SUM(K8:K16)</f>
        <v>1210355.8438400002</v>
      </c>
      <c r="L17" s="76">
        <f>SUM(L8:L16)</f>
        <v>7709.667258699999</v>
      </c>
      <c r="M17" s="76">
        <f>SUM(M8:M16)</f>
        <v>2764.7434144</v>
      </c>
      <c r="N17" s="72"/>
      <c r="O17" s="76">
        <f>SUM(O8:O16)</f>
        <v>5396196.3040000005</v>
      </c>
      <c r="P17" s="76">
        <f>SUM(P8:P16)</f>
        <v>215847.85216</v>
      </c>
      <c r="Q17" s="76">
        <f>SUM(Q8:Q16)</f>
        <v>5612044.15616</v>
      </c>
      <c r="R17" s="76">
        <f>SUM(R8:R16)</f>
        <v>35747.3327413</v>
      </c>
      <c r="S17" s="76">
        <f>SUM(S8:S16)</f>
        <v>12819.2565856</v>
      </c>
      <c r="T17" s="72"/>
      <c r="U17" s="76">
        <f>SUM(U8:U16)</f>
        <v>1138.816</v>
      </c>
      <c r="V17" s="76">
        <f>SUM(V8:V16)</f>
        <v>45.552640000000004</v>
      </c>
      <c r="W17" s="76">
        <f>SUM(W8:W16)</f>
        <v>1184.36864</v>
      </c>
      <c r="X17" s="76">
        <f>SUM(X8:X16)</f>
        <v>7.5441351999999995</v>
      </c>
      <c r="Y17" s="76">
        <f>SUM(Y8:Y16)</f>
        <v>2.7053823999999995</v>
      </c>
      <c r="Z17" s="72"/>
      <c r="AA17" s="76">
        <f>SUM(AA8:AA16)</f>
        <v>147485.2</v>
      </c>
      <c r="AB17" s="76">
        <f>SUM(AB8:AB16)</f>
        <v>5899.408</v>
      </c>
      <c r="AC17" s="76">
        <f>SUM(AC8:AC16)</f>
        <v>153384.608</v>
      </c>
      <c r="AD17" s="76">
        <f>SUM(AD8:AD16)</f>
        <v>977.0220025</v>
      </c>
      <c r="AE17" s="76">
        <f>SUM(AE8:AE16)</f>
        <v>350.36728</v>
      </c>
      <c r="AF17" s="72"/>
      <c r="AG17" s="76">
        <f>SUM(AG8:AG16)</f>
        <v>911569.072</v>
      </c>
      <c r="AH17" s="76">
        <f>SUM(AH8:AH16)</f>
        <v>36462.76288</v>
      </c>
      <c r="AI17" s="76">
        <f>SUM(AI8:AI16)</f>
        <v>948031.8348800001</v>
      </c>
      <c r="AJ17" s="76">
        <f>SUM(AJ8:AJ16)</f>
        <v>6038.728225899999</v>
      </c>
      <c r="AK17" s="76">
        <f>SUM(AK8:AK16)</f>
        <v>2165.5323808000003</v>
      </c>
      <c r="AL17" s="72"/>
      <c r="AM17" s="76">
        <f>SUM(AM8:AM16)</f>
        <v>9241.728000000001</v>
      </c>
      <c r="AN17" s="76">
        <f>SUM(AN8:AN16)</f>
        <v>369.66912</v>
      </c>
      <c r="AO17" s="76">
        <f>SUM(AO8:AO16)</f>
        <v>9611.39712</v>
      </c>
      <c r="AP17" s="76">
        <f>SUM(AP8:AP16)</f>
        <v>61.2222216</v>
      </c>
      <c r="AQ17" s="76">
        <f>SUM(AQ8:AQ16)</f>
        <v>21.9547392</v>
      </c>
      <c r="AR17" s="72"/>
      <c r="AS17" s="76">
        <f>SUM(AS8:AS16)</f>
        <v>257497.712</v>
      </c>
      <c r="AT17" s="76">
        <f>SUM(AT8:AT16)</f>
        <v>10299.90848</v>
      </c>
      <c r="AU17" s="76">
        <f>SUM(AU8:AU16)</f>
        <v>267797.62048</v>
      </c>
      <c r="AV17" s="76">
        <f>SUM(AV8:AV16)</f>
        <v>1705.8045839000001</v>
      </c>
      <c r="AW17" s="76">
        <f>SUM(AW8:AW16)</f>
        <v>611.7140767999999</v>
      </c>
      <c r="AX17" s="72"/>
      <c r="AY17" s="76">
        <f>SUM(AY8:AY16)</f>
        <v>18135.12</v>
      </c>
      <c r="AZ17" s="76">
        <f>SUM(AZ8:AZ16)</f>
        <v>725.4047999999999</v>
      </c>
      <c r="BA17" s="76">
        <f>SUM(BA8:BA16)</f>
        <v>18860.524799999996</v>
      </c>
      <c r="BB17" s="76">
        <f>SUM(BB8:BB16)</f>
        <v>120.1368765</v>
      </c>
      <c r="BC17" s="76">
        <f>SUM(BC8:BC16)</f>
        <v>43.081968</v>
      </c>
      <c r="BD17" s="72"/>
      <c r="BE17" s="76">
        <f>SUM(BE8:BE16)</f>
        <v>419229.92</v>
      </c>
      <c r="BF17" s="76">
        <f>SUM(BF8:BF16)</f>
        <v>16769.196799999998</v>
      </c>
      <c r="BG17" s="76">
        <f>SUM(BG8:BG16)</f>
        <v>435999.1168</v>
      </c>
      <c r="BH17" s="76">
        <f>SUM(BH8:BH16)</f>
        <v>2777.2064990000003</v>
      </c>
      <c r="BI17" s="76">
        <f>SUM(BI8:BI16)</f>
        <v>995.926688</v>
      </c>
      <c r="BJ17" s="72"/>
      <c r="BK17" s="76">
        <f>SUM(BK8:BK16)</f>
        <v>14407.072</v>
      </c>
      <c r="BL17" s="76">
        <f>SUM(BL8:BL16)</f>
        <v>576.28288</v>
      </c>
      <c r="BM17" s="76">
        <f>SUM(BM8:BM16)</f>
        <v>14983.354879999999</v>
      </c>
      <c r="BN17" s="76">
        <f>SUM(BN8:BN16)</f>
        <v>95.4402634</v>
      </c>
      <c r="BO17" s="76">
        <f>SUM(BO8:BO16)</f>
        <v>34.2255808</v>
      </c>
      <c r="BP17" s="72"/>
      <c r="BQ17" s="76">
        <f>SUM(BQ8:BQ16)</f>
        <v>15533.423999999999</v>
      </c>
      <c r="BR17" s="76">
        <f>SUM(BR8:BR16)</f>
        <v>621.3369600000001</v>
      </c>
      <c r="BS17" s="76">
        <f>SUM(BS8:BS16)</f>
        <v>16154.76096</v>
      </c>
      <c r="BT17" s="76">
        <f>SUM(BT8:BT16)</f>
        <v>102.9018303</v>
      </c>
      <c r="BU17" s="76">
        <f>SUM(BU8:BU16)</f>
        <v>36.9013536</v>
      </c>
      <c r="BV17" s="72"/>
      <c r="BW17" s="76">
        <f>SUM(BW8:BW16)</f>
        <v>4103.28</v>
      </c>
      <c r="BX17" s="76">
        <f>SUM(BX8:BX16)</f>
        <v>164.13119999999998</v>
      </c>
      <c r="BY17" s="76">
        <f>SUM(BY8:BY16)</f>
        <v>4267.4112</v>
      </c>
      <c r="BZ17" s="76">
        <f>SUM(BZ8:BZ16)</f>
        <v>27.182353499999998</v>
      </c>
      <c r="CA17" s="76">
        <f>SUM(CA8:CA16)</f>
        <v>9.747792</v>
      </c>
      <c r="CB17" s="72"/>
      <c r="CC17" s="76">
        <f>SUM(CC8:CC16)</f>
        <v>911731.1039999999</v>
      </c>
      <c r="CD17" s="76">
        <f>SUM(CD8:CD16)</f>
        <v>36469.244159999995</v>
      </c>
      <c r="CE17" s="76">
        <f>SUM(CE8:CE16)</f>
        <v>948200.3481599999</v>
      </c>
      <c r="CF17" s="76">
        <f>SUM(CF8:CF16)</f>
        <v>6039.8016138</v>
      </c>
      <c r="CG17" s="76">
        <f>SUM(CG8:CG16)</f>
        <v>2165.9173056</v>
      </c>
      <c r="CH17" s="72"/>
      <c r="CI17" s="76">
        <f>SUM(CI8:CI16)</f>
        <v>12505.984000000002</v>
      </c>
      <c r="CJ17" s="76">
        <f>SUM(CJ8:CJ16)</f>
        <v>500.23936000000003</v>
      </c>
      <c r="CK17" s="76">
        <f>SUM(CK8:CK16)</f>
        <v>13006.223360000002</v>
      </c>
      <c r="CL17" s="76">
        <f>SUM(CL8:CL16)</f>
        <v>82.8464248</v>
      </c>
      <c r="CM17" s="76">
        <f>SUM(CM8:CM16)</f>
        <v>29.709337599999998</v>
      </c>
      <c r="CN17" s="72"/>
      <c r="CO17" s="76">
        <f>SUM(CO8:CO16)</f>
        <v>14817.072</v>
      </c>
      <c r="CP17" s="76">
        <f>SUM(CP8:CP16)</f>
        <v>592.68288</v>
      </c>
      <c r="CQ17" s="76">
        <f>SUM(CQ8:CQ16)</f>
        <v>15409.75488</v>
      </c>
      <c r="CR17" s="76">
        <f>SUM(CR8:CR16)</f>
        <v>98.15632590000001</v>
      </c>
      <c r="CS17" s="76">
        <f>SUM(CS8:CS16)</f>
        <v>35.19958080000001</v>
      </c>
      <c r="CT17" s="72"/>
      <c r="CU17" s="76">
        <f>SUM(CU8:CU16)</f>
        <v>176760.512</v>
      </c>
      <c r="CV17" s="76">
        <f>SUM(CV8:CV16)</f>
        <v>7070.42048</v>
      </c>
      <c r="CW17" s="76">
        <f>SUM(CW8:CW16)</f>
        <v>183830.93247999996</v>
      </c>
      <c r="CX17" s="76">
        <f>SUM(CX8:CX16)</f>
        <v>1170.9575564</v>
      </c>
      <c r="CY17" s="76">
        <f>SUM(CY8:CY16)</f>
        <v>419.9139968</v>
      </c>
      <c r="CZ17" s="72"/>
      <c r="DA17" s="76">
        <f>SUM(DA8:DA16)</f>
        <v>16017.552</v>
      </c>
      <c r="DB17" s="76">
        <f>SUM(DB8:DB16)</f>
        <v>640.70208</v>
      </c>
      <c r="DC17" s="76">
        <f>SUM(DC8:DC16)</f>
        <v>16658.25408</v>
      </c>
      <c r="DD17" s="76">
        <f>SUM(DD8:DD16)</f>
        <v>106.10895690000001</v>
      </c>
      <c r="DE17" s="76">
        <f>SUM(DE8:DE16)</f>
        <v>38.05145280000001</v>
      </c>
      <c r="DF17" s="72"/>
      <c r="DG17" s="76">
        <f>SUM(DG8:DG16)</f>
        <v>60370.367999999995</v>
      </c>
      <c r="DH17" s="76">
        <f>SUM(DH8:DH16)</f>
        <v>2414.8147200000003</v>
      </c>
      <c r="DI17" s="76">
        <f>SUM(DI8:DI16)</f>
        <v>62785.18271999999</v>
      </c>
      <c r="DJ17" s="76">
        <f>SUM(DJ8:DJ16)</f>
        <v>399.92607960000004</v>
      </c>
      <c r="DK17" s="76">
        <f>SUM(DK8:DK16)</f>
        <v>143.41643520000002</v>
      </c>
      <c r="DL17" s="72"/>
      <c r="DM17" s="76">
        <f>SUM(DM8:DM16)</f>
        <v>140547.344</v>
      </c>
      <c r="DN17" s="76">
        <f>SUM(DN8:DN16)</f>
        <v>5621.893760000001</v>
      </c>
      <c r="DO17" s="76">
        <f>SUM(DO8:DO16)</f>
        <v>146169.23776000002</v>
      </c>
      <c r="DP17" s="76">
        <f>SUM(DP8:DP16)</f>
        <v>931.0618793000001</v>
      </c>
      <c r="DQ17" s="76">
        <f>SUM(DQ8:DQ16)</f>
        <v>333.8856416</v>
      </c>
      <c r="DR17" s="72"/>
      <c r="DS17" s="76">
        <f>SUM(DS8:DS16)</f>
        <v>68280.416</v>
      </c>
      <c r="DT17" s="76">
        <f>SUM(DT8:DT16)</f>
        <v>2731.21664</v>
      </c>
      <c r="DU17" s="76">
        <f>SUM(DU8:DU16)</f>
        <v>71011.63264</v>
      </c>
      <c r="DV17" s="76">
        <f>SUM(DV8:DV16)</f>
        <v>452.3265302</v>
      </c>
      <c r="DW17" s="76">
        <f>SUM(DW8:DW16)</f>
        <v>162.2076224</v>
      </c>
      <c r="DX17" s="72"/>
      <c r="DY17" s="76">
        <f>SUM(DY8:DY16)</f>
        <v>11756.832</v>
      </c>
      <c r="DZ17" s="76">
        <f>SUM(DZ8:DZ16)</f>
        <v>470.27327999999994</v>
      </c>
      <c r="EA17" s="76">
        <f>SUM(EA8:EA16)</f>
        <v>12227.105280000002</v>
      </c>
      <c r="EB17" s="76">
        <f>SUM(EB8:EB16)</f>
        <v>77.8836354</v>
      </c>
      <c r="EC17" s="76">
        <f>SUM(EC8:EC16)</f>
        <v>27.929644800000002</v>
      </c>
      <c r="ED17" s="74"/>
      <c r="EE17" s="76">
        <f>SUM(EE8:EE16)</f>
        <v>15156.223999999998</v>
      </c>
      <c r="EF17" s="76">
        <f>SUM(EF8:EF16)</f>
        <v>606.24896</v>
      </c>
      <c r="EG17" s="76">
        <f>SUM(EG8:EG16)</f>
        <v>15762.47296</v>
      </c>
      <c r="EH17" s="76">
        <f>SUM(EH8:EH16)</f>
        <v>100.40305280000001</v>
      </c>
      <c r="EI17" s="76">
        <f>SUM(EI8:EI16)</f>
        <v>36.0052736</v>
      </c>
      <c r="EJ17" s="72"/>
      <c r="EK17" s="92">
        <f>SUM(EK8:EK16)</f>
        <v>397143.05600000004</v>
      </c>
      <c r="EL17" s="92">
        <f>SUM(EL8:EL16)</f>
        <v>15885.72224</v>
      </c>
      <c r="EM17" s="92">
        <f>SUM(EM8:EM16)</f>
        <v>413028.7782400001</v>
      </c>
      <c r="EN17" s="92">
        <f>SUM(EN8:EN16)</f>
        <v>2630.8911257</v>
      </c>
      <c r="EO17" s="92">
        <f>SUM(EO8:EO16)</f>
        <v>943.4569184</v>
      </c>
      <c r="EP17" s="72"/>
      <c r="EQ17" s="76">
        <f>SUM(EQ8:EQ16)</f>
        <v>99664.112</v>
      </c>
      <c r="ER17" s="76">
        <f>SUM(ER8:ER16)</f>
        <v>3986.5644799999995</v>
      </c>
      <c r="ES17" s="76">
        <f>SUM(ES8:ES16)</f>
        <v>103650.67648</v>
      </c>
      <c r="ET17" s="76">
        <f>SUM(ET8:ET16)</f>
        <v>660.2291639</v>
      </c>
      <c r="EU17" s="76">
        <f>SUM(EU8:EU16)</f>
        <v>236.7630368</v>
      </c>
      <c r="EV17" s="72"/>
      <c r="EW17" s="76">
        <f>SUM(EW8:EW16)</f>
        <v>145340.08</v>
      </c>
      <c r="EX17" s="76">
        <f>SUM(EX8:EX16)</f>
        <v>5813.6032</v>
      </c>
      <c r="EY17" s="76">
        <f>SUM(EY8:EY16)</f>
        <v>151153.6832</v>
      </c>
      <c r="EZ17" s="76">
        <f>SUM(EZ8:EZ16)</f>
        <v>962.8115635000001</v>
      </c>
      <c r="FA17" s="76">
        <f>SUM(FA8:FA16)</f>
        <v>345.271312</v>
      </c>
      <c r="FB17" s="72"/>
      <c r="FC17" s="76">
        <f>SUM(FC8:FC16)</f>
        <v>44.608000000000004</v>
      </c>
      <c r="FD17" s="76">
        <f>SUM(FD8:FD16)</f>
        <v>1.7843200000000001</v>
      </c>
      <c r="FE17" s="76">
        <f>SUM(FE8:FE16)</f>
        <v>46.39232</v>
      </c>
      <c r="FF17" s="76">
        <f>SUM(FF8:FF16)</f>
        <v>0.2955076</v>
      </c>
      <c r="FG17" s="76">
        <f>SUM(FG8:FG16)</f>
        <v>0.1059712</v>
      </c>
      <c r="FH17" s="72"/>
      <c r="FI17" s="76">
        <f>SUM(FI8:FI16)</f>
        <v>95658.576</v>
      </c>
      <c r="FJ17" s="76">
        <f>SUM(FJ8:FJ16)</f>
        <v>3826.34304</v>
      </c>
      <c r="FK17" s="76">
        <f>SUM(FK8:FK16)</f>
        <v>99484.91904000001</v>
      </c>
      <c r="FL17" s="76">
        <f>SUM(FL8:FL16)</f>
        <v>633.6943197</v>
      </c>
      <c r="FM17" s="76">
        <f>SUM(FM8:FM16)</f>
        <v>227.2474464</v>
      </c>
      <c r="FN17" s="72"/>
      <c r="FO17" s="76">
        <f>SUM(FO8:FO16)</f>
        <v>119070.56</v>
      </c>
      <c r="FP17" s="76">
        <f>SUM(FP8:FP16)</f>
        <v>4762.8224</v>
      </c>
      <c r="FQ17" s="76">
        <f>SUM(FQ8:FQ16)</f>
        <v>123833.3824</v>
      </c>
      <c r="FR17" s="76">
        <f>SUM(FR8:FR16)</f>
        <v>788.7880070000001</v>
      </c>
      <c r="FS17" s="76">
        <f>SUM(FS8:FS16)</f>
        <v>282.865184</v>
      </c>
      <c r="FT17" s="72"/>
      <c r="FU17" s="76">
        <f>SUM(FU8:FU16)</f>
        <v>139515.456</v>
      </c>
      <c r="FV17" s="76">
        <f>SUM(FV8:FV16)</f>
        <v>5580.61824</v>
      </c>
      <c r="FW17" s="76">
        <f>SUM(FW8:FW16)</f>
        <v>145096.07424</v>
      </c>
      <c r="FX17" s="76">
        <f>SUM(FX8:FX16)</f>
        <v>924.2260932000002</v>
      </c>
      <c r="FY17" s="76">
        <f>SUM(FY8:FY16)</f>
        <v>331.43427840000004</v>
      </c>
      <c r="FZ17" s="72"/>
      <c r="GA17" s="76">
        <f>SUM(GA8:GA16)</f>
        <v>445039.584</v>
      </c>
      <c r="GB17" s="76">
        <f>SUM(GB8:GB16)</f>
        <v>17801.58336</v>
      </c>
      <c r="GC17" s="76">
        <f>SUM(GC8:GC16)</f>
        <v>462841.16736</v>
      </c>
      <c r="GD17" s="76">
        <f>SUM(GD8:GD16)</f>
        <v>2948.1837198</v>
      </c>
      <c r="GE17" s="76">
        <f>SUM(GE8:GE16)</f>
        <v>1057.2403775999999</v>
      </c>
      <c r="GF17" s="72"/>
      <c r="GG17" s="76">
        <f>SUM(GG8:GG16)</f>
        <v>714469.9360000001</v>
      </c>
      <c r="GH17" s="76">
        <f>SUM(GH8:GH16)</f>
        <v>28578.797440000006</v>
      </c>
      <c r="GI17" s="76">
        <f>SUM(GI8:GI16)</f>
        <v>743048.7334400002</v>
      </c>
      <c r="GJ17" s="76">
        <f>SUM(GJ8:GJ16)</f>
        <v>4733.0365867</v>
      </c>
      <c r="GK17" s="76">
        <f>SUM(GK8:GK16)</f>
        <v>1697.3017504</v>
      </c>
      <c r="GL17" s="72"/>
      <c r="GM17" s="76">
        <f>SUM(GM8:GM16)</f>
        <v>2141.184</v>
      </c>
      <c r="GN17" s="76">
        <f>SUM(GN8:GN16)</f>
        <v>85.64736</v>
      </c>
      <c r="GO17" s="76">
        <f>SUM(GO8:GO16)</f>
        <v>2226.83136</v>
      </c>
      <c r="GP17" s="76">
        <f>SUM(GP8:GP16)</f>
        <v>14.1843648</v>
      </c>
      <c r="GQ17" s="76">
        <f>SUM(GQ8:GQ16)</f>
        <v>5.0866176</v>
      </c>
      <c r="GR17" s="72"/>
      <c r="GS17" s="76">
        <f>SUM(GS8:GS16)</f>
        <v>11824.4</v>
      </c>
      <c r="GT17" s="76">
        <f>SUM(GT8:GT16)</f>
        <v>472.976</v>
      </c>
      <c r="GU17" s="76">
        <f>SUM(GU8:GU16)</f>
        <v>12297.375999999998</v>
      </c>
      <c r="GV17" s="76">
        <f>SUM(GV8:GV16)</f>
        <v>78.3312425</v>
      </c>
      <c r="GW17" s="76">
        <f>SUM(GW8:GW16)</f>
        <v>28.09016</v>
      </c>
      <c r="GX17" s="72"/>
      <c r="GY17" s="76">
        <f>SUM(GY8:GY16)</f>
        <v>0</v>
      </c>
      <c r="GZ17" s="76">
        <f>SUM(GZ8:GZ16)</f>
        <v>0</v>
      </c>
      <c r="HA17" s="76">
        <f>SUM(HA8:HA16)</f>
        <v>0</v>
      </c>
      <c r="HB17" s="74"/>
      <c r="HC17" s="76">
        <f>SUM(HC8:HC16)</f>
        <v>0</v>
      </c>
      <c r="HD17" s="72"/>
      <c r="HE17" s="72"/>
      <c r="HF17" s="72"/>
      <c r="HG17" s="72"/>
      <c r="HH17" s="72"/>
      <c r="HI17" s="72"/>
      <c r="HJ17" s="38"/>
      <c r="HK17" s="38"/>
      <c r="HL17" s="38"/>
      <c r="HM17" s="38"/>
      <c r="HN17" s="38"/>
      <c r="HO17" s="38"/>
      <c r="HP17" s="38"/>
      <c r="HQ17" s="38"/>
      <c r="HR17" s="38"/>
      <c r="HS17" s="38"/>
      <c r="HT17" s="38"/>
      <c r="HU17" s="38"/>
    </row>
    <row r="18" ht="13.5" thickTop="1"/>
    <row r="19" ht="12.75">
      <c r="U19" s="38"/>
    </row>
  </sheetData>
  <sheetProtection/>
  <printOptions/>
  <pageMargins left="0.75" right="0.75" top="1" bottom="1" header="0.3" footer="0.3"/>
  <pageSetup horizontalDpi="600" verticalDpi="600" orientation="landscape" scale="72"/>
  <colBreaks count="1" manualBreakCount="1">
    <brk id="13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HD19"/>
  <sheetViews>
    <sheetView zoomScale="150" zoomScaleNormal="150" zoomScalePageLayoutView="0" workbookViewId="0" topLeftCell="A1">
      <pane xSplit="2" ySplit="7" topLeftCell="C8" activePane="bottomRight" state="frozen"/>
      <selection pane="topLeft" activeCell="A1" sqref="A1"/>
      <selection pane="topRight" activeCell="C1" sqref="C1"/>
      <selection pane="bottomLeft" activeCell="A8" sqref="A8"/>
      <selection pane="bottomRight" activeCell="D32" sqref="D32"/>
    </sheetView>
  </sheetViews>
  <sheetFormatPr defaultColWidth="8.8515625" defaultRowHeight="12.75"/>
  <cols>
    <col min="1" max="1" width="9.7109375" style="22" customWidth="1"/>
    <col min="2" max="2" width="3.7109375" style="0" customWidth="1"/>
    <col min="3" max="3" width="3.7109375" style="38" customWidth="1"/>
    <col min="4" max="7" width="13.7109375" style="0" customWidth="1"/>
    <col min="8" max="8" width="16.28125" style="0" customWidth="1"/>
    <col min="9" max="9" width="3.7109375" style="0" customWidth="1"/>
    <col min="10" max="14" width="13.7109375" style="0" customWidth="1"/>
    <col min="15" max="15" width="3.7109375" style="0" customWidth="1"/>
    <col min="16" max="20" width="13.7109375" style="23" customWidth="1"/>
    <col min="21" max="21" width="3.7109375" style="23" customWidth="1"/>
    <col min="22" max="26" width="13.7109375" style="23" customWidth="1"/>
    <col min="27" max="27" width="3.7109375" style="23" customWidth="1"/>
    <col min="28" max="32" width="13.7109375" style="23" customWidth="1"/>
    <col min="33" max="33" width="3.7109375" style="23" customWidth="1"/>
    <col min="34" max="38" width="13.7109375" style="23" customWidth="1"/>
    <col min="39" max="39" width="3.7109375" style="23" customWidth="1"/>
    <col min="40" max="44" width="13.7109375" style="23" customWidth="1"/>
    <col min="45" max="45" width="3.7109375" style="23" customWidth="1"/>
    <col min="46" max="50" width="13.7109375" style="23" customWidth="1"/>
    <col min="51" max="51" width="3.7109375" style="23" customWidth="1"/>
    <col min="52" max="56" width="13.7109375" style="23" customWidth="1"/>
    <col min="57" max="57" width="3.7109375" style="23" customWidth="1"/>
    <col min="58" max="62" width="13.7109375" style="23" customWidth="1"/>
    <col min="63" max="63" width="3.7109375" style="23" customWidth="1"/>
    <col min="64" max="68" width="13.7109375" style="23" customWidth="1"/>
    <col min="69" max="69" width="3.7109375" style="23" customWidth="1"/>
    <col min="70" max="74" width="13.7109375" style="23" customWidth="1"/>
    <col min="75" max="75" width="3.7109375" style="23" customWidth="1"/>
    <col min="76" max="80" width="13.7109375" style="23" customWidth="1"/>
    <col min="81" max="81" width="3.7109375" style="23" customWidth="1"/>
    <col min="82" max="86" width="13.7109375" style="23" customWidth="1"/>
    <col min="87" max="87" width="3.7109375" style="23" customWidth="1"/>
    <col min="88" max="92" width="13.7109375" style="23" customWidth="1"/>
    <col min="93" max="93" width="3.7109375" style="23" customWidth="1"/>
    <col min="94" max="98" width="13.7109375" style="23" customWidth="1"/>
    <col min="99" max="99" width="3.7109375" style="23" customWidth="1"/>
    <col min="100" max="104" width="13.7109375" style="23" customWidth="1"/>
    <col min="105" max="105" width="3.7109375" style="23" customWidth="1"/>
    <col min="106" max="110" width="13.7109375" style="23" customWidth="1"/>
    <col min="111" max="111" width="3.7109375" style="23" customWidth="1"/>
    <col min="112" max="116" width="13.7109375" style="23" customWidth="1"/>
    <col min="117" max="117" width="3.7109375" style="23" customWidth="1"/>
    <col min="118" max="122" width="13.7109375" style="23" customWidth="1"/>
    <col min="123" max="123" width="3.7109375" style="23" customWidth="1"/>
    <col min="124" max="128" width="13.7109375" style="23" customWidth="1"/>
    <col min="129" max="129" width="3.7109375" style="23" customWidth="1"/>
    <col min="130" max="134" width="13.7109375" style="23" customWidth="1"/>
    <col min="135" max="135" width="3.7109375" style="23" customWidth="1"/>
    <col min="136" max="140" width="13.7109375" style="23" customWidth="1"/>
    <col min="141" max="141" width="3.7109375" style="23" customWidth="1"/>
    <col min="142" max="146" width="13.7109375" style="23" customWidth="1"/>
    <col min="147" max="147" width="3.7109375" style="23" customWidth="1"/>
    <col min="148" max="152" width="13.7109375" style="23" customWidth="1"/>
    <col min="153" max="153" width="3.7109375" style="23" customWidth="1"/>
    <col min="154" max="158" width="13.7109375" style="23" customWidth="1"/>
    <col min="159" max="159" width="3.7109375" style="23" customWidth="1"/>
    <col min="160" max="164" width="13.7109375" style="23" customWidth="1"/>
    <col min="165" max="165" width="3.7109375" style="23" customWidth="1"/>
    <col min="166" max="170" width="13.7109375" style="23" customWidth="1"/>
    <col min="171" max="171" width="3.7109375" style="23" customWidth="1"/>
    <col min="172" max="176" width="13.7109375" style="23" customWidth="1"/>
    <col min="177" max="177" width="3.7109375" style="23" customWidth="1"/>
    <col min="178" max="182" width="13.7109375" style="23" customWidth="1"/>
    <col min="183" max="183" width="3.7109375" style="23" customWidth="1"/>
    <col min="184" max="188" width="13.7109375" style="23" customWidth="1"/>
    <col min="189" max="189" width="3.7109375" style="23" customWidth="1"/>
    <col min="190" max="194" width="13.7109375" style="23" customWidth="1"/>
    <col min="195" max="195" width="3.7109375" style="23" customWidth="1"/>
  </cols>
  <sheetData>
    <row r="1" spans="1:195" ht="12.75">
      <c r="A1" s="49"/>
      <c r="B1" s="33"/>
      <c r="C1" s="48"/>
      <c r="D1" s="50"/>
      <c r="E1" s="41"/>
      <c r="F1" s="38"/>
      <c r="G1" s="50"/>
      <c r="H1" s="50"/>
      <c r="I1" s="38"/>
      <c r="J1" s="38"/>
      <c r="K1" s="38"/>
      <c r="L1" s="48"/>
      <c r="M1" s="50" t="s">
        <v>24</v>
      </c>
      <c r="N1" s="50"/>
      <c r="O1" s="41"/>
      <c r="P1" s="38"/>
      <c r="Q1" s="50"/>
      <c r="R1" s="38"/>
      <c r="S1" s="38"/>
      <c r="T1" s="38"/>
      <c r="U1" s="38"/>
      <c r="V1" s="50"/>
      <c r="W1" s="50"/>
      <c r="X1" s="41"/>
      <c r="Y1" s="38"/>
      <c r="Z1" s="38"/>
      <c r="AA1" s="48"/>
      <c r="AB1" s="50" t="s">
        <v>24</v>
      </c>
      <c r="AC1"/>
      <c r="AD1" s="38"/>
      <c r="AE1"/>
      <c r="AF1"/>
      <c r="AG1"/>
      <c r="AH1"/>
      <c r="AI1" s="38"/>
      <c r="AJ1" s="50"/>
      <c r="AK1" s="24"/>
      <c r="AL1" s="24"/>
      <c r="AN1" s="38"/>
      <c r="AO1" s="48"/>
      <c r="AP1" s="50" t="s">
        <v>24</v>
      </c>
      <c r="AS1" s="38"/>
      <c r="AW1" s="38"/>
      <c r="AX1" s="38"/>
      <c r="AY1" s="50"/>
      <c r="AZ1" s="24"/>
      <c r="BB1" s="38"/>
      <c r="BC1" s="48"/>
      <c r="BD1" s="48"/>
      <c r="BE1" s="50" t="s">
        <v>24</v>
      </c>
      <c r="BG1" s="38"/>
      <c r="BL1" s="38"/>
      <c r="BM1" s="50"/>
      <c r="BN1" s="24"/>
      <c r="BQ1" s="38"/>
      <c r="BR1" s="48"/>
      <c r="BS1" s="50" t="s">
        <v>24</v>
      </c>
      <c r="BU1" s="38"/>
      <c r="BV1" s="38"/>
      <c r="BW1" s="50"/>
      <c r="BZ1" s="38"/>
      <c r="CA1" s="50"/>
      <c r="CB1" s="50"/>
      <c r="CE1" s="38"/>
      <c r="CF1" s="48"/>
      <c r="CG1" s="50" t="s">
        <v>24</v>
      </c>
      <c r="CH1" s="50"/>
      <c r="CJ1" s="38"/>
      <c r="CO1" s="38"/>
      <c r="CP1" s="50"/>
      <c r="CS1" s="38"/>
      <c r="CT1" s="38"/>
      <c r="CU1" s="48"/>
      <c r="CV1" s="50" t="s">
        <v>24</v>
      </c>
      <c r="CX1" s="38"/>
      <c r="DC1" s="38"/>
      <c r="DD1" s="50"/>
      <c r="DH1" s="38"/>
      <c r="DI1" s="48"/>
      <c r="DJ1" s="50" t="s">
        <v>24</v>
      </c>
      <c r="DM1" s="38"/>
      <c r="DO1" s="24"/>
      <c r="DQ1" s="38"/>
      <c r="DR1" s="38"/>
      <c r="DS1" s="50"/>
      <c r="DV1" s="38"/>
      <c r="DW1" s="48"/>
      <c r="DX1" s="48"/>
      <c r="DY1" s="50" t="s">
        <v>24</v>
      </c>
      <c r="EA1" s="38"/>
      <c r="EB1" s="50"/>
      <c r="EF1" s="38"/>
      <c r="EG1" s="50"/>
      <c r="EK1" s="38"/>
      <c r="EL1" s="48"/>
      <c r="EM1" s="50" t="s">
        <v>24</v>
      </c>
      <c r="EO1" s="38"/>
      <c r="EP1" s="38"/>
      <c r="EQ1" s="50"/>
      <c r="ET1" s="38"/>
      <c r="EU1" s="50"/>
      <c r="EV1" s="50"/>
      <c r="EY1" s="38"/>
      <c r="EZ1" s="48"/>
      <c r="FA1" s="50" t="s">
        <v>24</v>
      </c>
      <c r="FB1" s="50"/>
      <c r="FD1" s="38"/>
      <c r="FI1" s="38"/>
      <c r="FJ1" s="50"/>
      <c r="FM1" s="38"/>
      <c r="FN1" s="38"/>
      <c r="FO1" s="48"/>
      <c r="FP1" s="50" t="s">
        <v>24</v>
      </c>
      <c r="FR1" s="38"/>
      <c r="FW1" s="38"/>
      <c r="FX1" s="50"/>
      <c r="GB1"/>
      <c r="GC1" s="48"/>
      <c r="GD1" s="50" t="s">
        <v>24</v>
      </c>
      <c r="GE1"/>
      <c r="GF1"/>
      <c r="GG1"/>
      <c r="GH1"/>
      <c r="GI1"/>
      <c r="GJ1"/>
      <c r="GK1"/>
      <c r="GL1"/>
      <c r="GM1"/>
    </row>
    <row r="2" spans="1:195" ht="12.75">
      <c r="A2" s="49"/>
      <c r="B2" s="33"/>
      <c r="C2" s="48"/>
      <c r="D2" s="50"/>
      <c r="E2" s="41"/>
      <c r="F2" s="38"/>
      <c r="G2" s="50"/>
      <c r="H2" s="50"/>
      <c r="I2" s="38"/>
      <c r="J2" s="38"/>
      <c r="K2" s="38"/>
      <c r="L2" s="50" t="s">
        <v>188</v>
      </c>
      <c r="M2" s="38"/>
      <c r="N2" s="38"/>
      <c r="O2" s="41"/>
      <c r="P2" s="38"/>
      <c r="Q2" s="50"/>
      <c r="R2" s="38"/>
      <c r="S2" s="38"/>
      <c r="T2" s="38"/>
      <c r="U2" s="38"/>
      <c r="V2" s="50"/>
      <c r="W2" s="50"/>
      <c r="X2" s="41"/>
      <c r="Y2" s="38"/>
      <c r="Z2" s="38"/>
      <c r="AA2" s="50" t="s">
        <v>188</v>
      </c>
      <c r="AB2" s="38"/>
      <c r="AC2"/>
      <c r="AD2" s="38"/>
      <c r="AE2"/>
      <c r="AF2"/>
      <c r="AG2"/>
      <c r="AH2"/>
      <c r="AI2" s="38"/>
      <c r="AJ2" s="50"/>
      <c r="AK2" s="24"/>
      <c r="AL2" s="24"/>
      <c r="AN2" s="38"/>
      <c r="AO2" s="50" t="s">
        <v>188</v>
      </c>
      <c r="AP2" s="38"/>
      <c r="AS2" s="38"/>
      <c r="AW2" s="38"/>
      <c r="AX2" s="38"/>
      <c r="AY2" s="50"/>
      <c r="AZ2" s="24"/>
      <c r="BB2" s="38"/>
      <c r="BC2" s="50" t="s">
        <v>188</v>
      </c>
      <c r="BD2" s="50"/>
      <c r="BE2" s="38"/>
      <c r="BG2" s="38"/>
      <c r="BL2" s="38"/>
      <c r="BM2" s="50"/>
      <c r="BN2" s="24"/>
      <c r="BQ2" s="38"/>
      <c r="BR2" s="50" t="s">
        <v>188</v>
      </c>
      <c r="BS2" s="38"/>
      <c r="BU2" s="38"/>
      <c r="BV2" s="38"/>
      <c r="BW2" s="50"/>
      <c r="BZ2" s="38"/>
      <c r="CA2" s="50"/>
      <c r="CB2" s="50"/>
      <c r="CE2" s="38"/>
      <c r="CF2" s="50" t="s">
        <v>188</v>
      </c>
      <c r="CG2" s="38"/>
      <c r="CH2" s="38"/>
      <c r="CJ2" s="38"/>
      <c r="CO2" s="38"/>
      <c r="CP2" s="50"/>
      <c r="CS2" s="38"/>
      <c r="CT2" s="38"/>
      <c r="CU2" s="50" t="s">
        <v>188</v>
      </c>
      <c r="CV2" s="38"/>
      <c r="CX2" s="38"/>
      <c r="DC2" s="38"/>
      <c r="DD2" s="50"/>
      <c r="DH2" s="38"/>
      <c r="DI2" s="50" t="s">
        <v>188</v>
      </c>
      <c r="DJ2" s="38"/>
      <c r="DM2" s="38"/>
      <c r="DO2" s="24"/>
      <c r="DQ2" s="38"/>
      <c r="DR2" s="38"/>
      <c r="DS2" s="50"/>
      <c r="DV2" s="38"/>
      <c r="DW2" s="50" t="s">
        <v>188</v>
      </c>
      <c r="DX2" s="50"/>
      <c r="DY2" s="38"/>
      <c r="EA2" s="38"/>
      <c r="EB2" s="50"/>
      <c r="EF2" s="38"/>
      <c r="EG2" s="50"/>
      <c r="EK2" s="38"/>
      <c r="EL2" s="50" t="s">
        <v>188</v>
      </c>
      <c r="EM2" s="38"/>
      <c r="EO2" s="38"/>
      <c r="EP2" s="38"/>
      <c r="EQ2" s="50"/>
      <c r="ET2" s="38"/>
      <c r="EU2" s="50"/>
      <c r="EV2" s="50"/>
      <c r="EY2" s="38"/>
      <c r="EZ2" s="50" t="s">
        <v>188</v>
      </c>
      <c r="FA2" s="38"/>
      <c r="FB2" s="38"/>
      <c r="FD2" s="38"/>
      <c r="FI2" s="38"/>
      <c r="FJ2" s="50"/>
      <c r="FM2" s="38"/>
      <c r="FN2" s="38"/>
      <c r="FO2" s="50" t="s">
        <v>188</v>
      </c>
      <c r="FP2" s="38"/>
      <c r="FR2" s="38"/>
      <c r="FW2" s="38"/>
      <c r="FX2" s="50"/>
      <c r="GB2"/>
      <c r="GC2" s="50" t="s">
        <v>188</v>
      </c>
      <c r="GD2" s="38"/>
      <c r="GE2"/>
      <c r="GF2"/>
      <c r="GG2"/>
      <c r="GH2"/>
      <c r="GI2"/>
      <c r="GJ2"/>
      <c r="GK2"/>
      <c r="GL2"/>
      <c r="GM2"/>
    </row>
    <row r="3" spans="1:195" ht="12.75">
      <c r="A3" s="49"/>
      <c r="B3" s="33"/>
      <c r="C3" s="48"/>
      <c r="D3" s="48"/>
      <c r="E3" s="41"/>
      <c r="F3" s="38"/>
      <c r="G3" s="50"/>
      <c r="H3" s="50"/>
      <c r="I3" s="38"/>
      <c r="J3" s="38"/>
      <c r="K3" s="38"/>
      <c r="L3" s="48"/>
      <c r="M3" s="50" t="s">
        <v>85</v>
      </c>
      <c r="N3" s="50"/>
      <c r="O3" s="41"/>
      <c r="P3" s="38"/>
      <c r="Q3" s="50"/>
      <c r="R3" s="38"/>
      <c r="S3" s="38"/>
      <c r="T3" s="38"/>
      <c r="U3" s="38"/>
      <c r="V3" s="50"/>
      <c r="W3" s="48"/>
      <c r="X3" s="41"/>
      <c r="Y3" s="38"/>
      <c r="Z3" s="38"/>
      <c r="AA3" s="48"/>
      <c r="AB3" s="50" t="s">
        <v>85</v>
      </c>
      <c r="AC3"/>
      <c r="AD3" s="38"/>
      <c r="AE3"/>
      <c r="AF3"/>
      <c r="AG3"/>
      <c r="AH3"/>
      <c r="AI3" s="38"/>
      <c r="AJ3" s="50"/>
      <c r="AN3" s="38"/>
      <c r="AO3" s="48"/>
      <c r="AP3" s="50" t="s">
        <v>85</v>
      </c>
      <c r="AS3" s="38"/>
      <c r="AW3" s="38"/>
      <c r="AX3" s="38"/>
      <c r="AY3" s="50"/>
      <c r="BB3" s="38"/>
      <c r="BC3" s="48"/>
      <c r="BD3" s="48"/>
      <c r="BE3" s="50" t="s">
        <v>85</v>
      </c>
      <c r="BG3" s="38"/>
      <c r="BL3" s="38"/>
      <c r="BM3" s="50"/>
      <c r="BQ3" s="38"/>
      <c r="BR3" s="48"/>
      <c r="BS3" s="50" t="s">
        <v>85</v>
      </c>
      <c r="BU3" s="38"/>
      <c r="BV3" s="38"/>
      <c r="BW3" s="50"/>
      <c r="BZ3" s="38"/>
      <c r="CA3" s="50"/>
      <c r="CB3" s="50"/>
      <c r="CE3" s="38"/>
      <c r="CF3" s="48"/>
      <c r="CG3" s="50" t="s">
        <v>85</v>
      </c>
      <c r="CH3" s="50"/>
      <c r="CJ3" s="38"/>
      <c r="CO3" s="38"/>
      <c r="CP3" s="50"/>
      <c r="CS3" s="38"/>
      <c r="CT3" s="38"/>
      <c r="CU3" s="48"/>
      <c r="CV3" s="50" t="s">
        <v>85</v>
      </c>
      <c r="CX3" s="38"/>
      <c r="DC3" s="38"/>
      <c r="DD3" s="50"/>
      <c r="DH3" s="38"/>
      <c r="DI3" s="48"/>
      <c r="DJ3" s="50" t="s">
        <v>85</v>
      </c>
      <c r="DM3" s="38"/>
      <c r="DQ3" s="38"/>
      <c r="DR3" s="38"/>
      <c r="DS3" s="50"/>
      <c r="DV3" s="38"/>
      <c r="DW3" s="48"/>
      <c r="DX3" s="48"/>
      <c r="DY3" s="50" t="s">
        <v>85</v>
      </c>
      <c r="EA3" s="38"/>
      <c r="EB3" s="50"/>
      <c r="EF3" s="38"/>
      <c r="EG3" s="50"/>
      <c r="EK3" s="38"/>
      <c r="EL3" s="48"/>
      <c r="EM3" s="50" t="s">
        <v>85</v>
      </c>
      <c r="EO3" s="38"/>
      <c r="EP3" s="38"/>
      <c r="EQ3" s="50"/>
      <c r="ET3" s="38"/>
      <c r="EU3" s="50"/>
      <c r="EV3" s="50"/>
      <c r="EY3" s="38"/>
      <c r="EZ3" s="48"/>
      <c r="FA3" s="50" t="s">
        <v>85</v>
      </c>
      <c r="FB3" s="50"/>
      <c r="FD3" s="38"/>
      <c r="FI3" s="38"/>
      <c r="FJ3" s="50"/>
      <c r="FM3" s="38"/>
      <c r="FN3" s="38"/>
      <c r="FO3" s="48"/>
      <c r="FP3" s="50" t="s">
        <v>85</v>
      </c>
      <c r="FR3" s="38"/>
      <c r="FW3" s="38"/>
      <c r="FX3" s="50"/>
      <c r="GB3"/>
      <c r="GC3" s="48"/>
      <c r="GD3" s="50" t="s">
        <v>85</v>
      </c>
      <c r="GE3"/>
      <c r="GF3"/>
      <c r="GG3"/>
      <c r="GH3"/>
      <c r="GI3"/>
      <c r="GJ3"/>
      <c r="GK3"/>
      <c r="GL3"/>
      <c r="GM3"/>
    </row>
    <row r="4" spans="1:149" ht="12.75">
      <c r="A4" s="49"/>
      <c r="B4" s="33"/>
      <c r="Q4" s="24"/>
      <c r="W4" s="24"/>
      <c r="AI4" s="24"/>
      <c r="BA4" s="24"/>
      <c r="DO4" s="24"/>
      <c r="ES4" s="24"/>
    </row>
    <row r="5" spans="1:195" ht="12.75">
      <c r="A5" s="25" t="s">
        <v>13</v>
      </c>
      <c r="D5" s="66" t="s">
        <v>189</v>
      </c>
      <c r="E5" s="43"/>
      <c r="F5" s="44"/>
      <c r="G5" s="46"/>
      <c r="H5" s="46"/>
      <c r="J5" s="26" t="s">
        <v>147</v>
      </c>
      <c r="K5" s="27"/>
      <c r="L5" s="28"/>
      <c r="M5" s="46"/>
      <c r="N5" s="46"/>
      <c r="P5" s="26" t="s">
        <v>149</v>
      </c>
      <c r="Q5" s="27"/>
      <c r="R5" s="28"/>
      <c r="S5" s="46"/>
      <c r="T5" s="46"/>
      <c r="V5" s="26" t="s">
        <v>151</v>
      </c>
      <c r="W5" s="27"/>
      <c r="X5" s="28"/>
      <c r="Y5" s="46"/>
      <c r="Z5" s="46"/>
      <c r="AB5" s="26" t="s">
        <v>153</v>
      </c>
      <c r="AC5" s="27"/>
      <c r="AD5" s="28"/>
      <c r="AE5" s="46"/>
      <c r="AF5" s="46"/>
      <c r="AH5" s="26" t="s">
        <v>155</v>
      </c>
      <c r="AI5" s="27"/>
      <c r="AJ5" s="28"/>
      <c r="AK5" s="46"/>
      <c r="AL5" s="46"/>
      <c r="AM5" s="34"/>
      <c r="AN5" s="26" t="s">
        <v>156</v>
      </c>
      <c r="AO5" s="27"/>
      <c r="AP5" s="28"/>
      <c r="AQ5" s="46"/>
      <c r="AR5" s="46"/>
      <c r="AS5" s="34"/>
      <c r="AT5" s="26" t="s">
        <v>157</v>
      </c>
      <c r="AU5" s="27"/>
      <c r="AV5" s="28"/>
      <c r="AW5" s="46"/>
      <c r="AX5" s="46"/>
      <c r="AY5" s="34"/>
      <c r="AZ5" s="26" t="s">
        <v>158</v>
      </c>
      <c r="BA5" s="27"/>
      <c r="BB5" s="28"/>
      <c r="BC5" s="46"/>
      <c r="BD5" s="46"/>
      <c r="BE5" s="34"/>
      <c r="BF5" s="26" t="s">
        <v>159</v>
      </c>
      <c r="BG5" s="27"/>
      <c r="BH5" s="28"/>
      <c r="BI5" s="46"/>
      <c r="BJ5" s="46"/>
      <c r="BK5" s="34"/>
      <c r="BL5" s="26" t="s">
        <v>160</v>
      </c>
      <c r="BM5" s="27"/>
      <c r="BN5" s="28"/>
      <c r="BO5" s="46"/>
      <c r="BP5" s="46"/>
      <c r="BR5" s="26" t="s">
        <v>161</v>
      </c>
      <c r="BS5" s="27"/>
      <c r="BT5" s="28"/>
      <c r="BU5" s="46"/>
      <c r="BV5" s="46"/>
      <c r="BX5" s="26" t="s">
        <v>162</v>
      </c>
      <c r="BY5" s="27"/>
      <c r="BZ5" s="28"/>
      <c r="CA5" s="46"/>
      <c r="CB5" s="46"/>
      <c r="CD5" s="26" t="s">
        <v>163</v>
      </c>
      <c r="CE5" s="27"/>
      <c r="CF5" s="28"/>
      <c r="CG5" s="46"/>
      <c r="CH5" s="46"/>
      <c r="CJ5" s="26" t="s">
        <v>164</v>
      </c>
      <c r="CK5" s="27"/>
      <c r="CL5" s="28"/>
      <c r="CM5" s="46"/>
      <c r="CN5" s="46"/>
      <c r="CP5" s="61" t="s">
        <v>165</v>
      </c>
      <c r="CQ5" s="27"/>
      <c r="CR5" s="28"/>
      <c r="CS5" s="46"/>
      <c r="CT5" s="46"/>
      <c r="CV5" s="26" t="s">
        <v>167</v>
      </c>
      <c r="CW5" s="27"/>
      <c r="CX5" s="28"/>
      <c r="CY5" s="46"/>
      <c r="CZ5" s="46"/>
      <c r="DB5" s="26" t="s">
        <v>166</v>
      </c>
      <c r="DC5" s="27"/>
      <c r="DD5" s="28"/>
      <c r="DE5" s="46"/>
      <c r="DF5" s="46"/>
      <c r="DH5" s="26" t="s">
        <v>168</v>
      </c>
      <c r="DI5" s="27"/>
      <c r="DJ5" s="28"/>
      <c r="DK5" s="46"/>
      <c r="DL5" s="46"/>
      <c r="DN5" s="61" t="s">
        <v>169</v>
      </c>
      <c r="DO5" s="27"/>
      <c r="DP5" s="28"/>
      <c r="DQ5" s="46"/>
      <c r="DR5" s="46"/>
      <c r="DS5" s="34"/>
      <c r="DT5" s="26" t="s">
        <v>170</v>
      </c>
      <c r="DU5" s="27"/>
      <c r="DV5" s="28"/>
      <c r="DW5" s="46"/>
      <c r="DX5" s="46"/>
      <c r="DZ5" s="26" t="s">
        <v>171</v>
      </c>
      <c r="EA5" s="27"/>
      <c r="EB5" s="28"/>
      <c r="EC5" s="46"/>
      <c r="ED5" s="46"/>
      <c r="EF5" s="26" t="s">
        <v>172</v>
      </c>
      <c r="EG5" s="27"/>
      <c r="EH5" s="28"/>
      <c r="EI5" s="46"/>
      <c r="EJ5" s="46"/>
      <c r="EK5" s="34"/>
      <c r="EL5" s="26" t="s">
        <v>173</v>
      </c>
      <c r="EM5" s="27"/>
      <c r="EN5" s="28"/>
      <c r="EO5" s="46"/>
      <c r="EP5" s="46"/>
      <c r="EQ5" s="34"/>
      <c r="ER5" s="26" t="s">
        <v>174</v>
      </c>
      <c r="ES5" s="27"/>
      <c r="ET5" s="28"/>
      <c r="EU5" s="46"/>
      <c r="EV5" s="46"/>
      <c r="EW5" s="34"/>
      <c r="EX5" s="26" t="s">
        <v>175</v>
      </c>
      <c r="EY5" s="27"/>
      <c r="EZ5" s="28"/>
      <c r="FA5" s="46"/>
      <c r="FB5" s="46"/>
      <c r="FC5" s="34"/>
      <c r="FD5" s="26" t="s">
        <v>176</v>
      </c>
      <c r="FE5" s="27"/>
      <c r="FF5" s="28"/>
      <c r="FG5" s="46"/>
      <c r="FH5" s="46"/>
      <c r="FI5" s="34"/>
      <c r="FJ5" s="26" t="s">
        <v>177</v>
      </c>
      <c r="FK5" s="27"/>
      <c r="FL5" s="28"/>
      <c r="FM5" s="46"/>
      <c r="FN5" s="46"/>
      <c r="FO5" s="34"/>
      <c r="FP5" s="26" t="s">
        <v>178</v>
      </c>
      <c r="FQ5" s="27"/>
      <c r="FR5" s="28"/>
      <c r="FS5" s="46"/>
      <c r="FT5" s="46"/>
      <c r="FU5" s="34"/>
      <c r="FV5" s="26" t="s">
        <v>179</v>
      </c>
      <c r="FW5" s="27"/>
      <c r="FX5" s="28"/>
      <c r="FY5" s="46"/>
      <c r="FZ5" s="46"/>
      <c r="GA5" s="34"/>
      <c r="GB5" s="26" t="s">
        <v>180</v>
      </c>
      <c r="GC5" s="27"/>
      <c r="GD5" s="28"/>
      <c r="GE5" s="46"/>
      <c r="GF5" s="46"/>
      <c r="GG5" s="34"/>
      <c r="GH5" s="26" t="s">
        <v>181</v>
      </c>
      <c r="GI5" s="27"/>
      <c r="GJ5" s="28"/>
      <c r="GK5" s="46"/>
      <c r="GL5" s="46"/>
      <c r="GM5" s="34"/>
    </row>
    <row r="6" spans="1:195" s="13" customFormat="1" ht="12.75">
      <c r="A6" s="51" t="s">
        <v>14</v>
      </c>
      <c r="C6" s="38"/>
      <c r="D6" s="45"/>
      <c r="E6" s="58">
        <v>0.17740910000000007</v>
      </c>
      <c r="F6" s="44"/>
      <c r="G6" s="46" t="s">
        <v>182</v>
      </c>
      <c r="H6" s="46" t="s">
        <v>182</v>
      </c>
      <c r="J6" s="16" t="s">
        <v>148</v>
      </c>
      <c r="K6" s="37">
        <v>0.0071293</v>
      </c>
      <c r="L6" s="53"/>
      <c r="M6" s="46" t="s">
        <v>182</v>
      </c>
      <c r="N6" s="46" t="s">
        <v>182</v>
      </c>
      <c r="P6" s="16" t="s">
        <v>150</v>
      </c>
      <c r="Q6" s="37">
        <v>0.0230884</v>
      </c>
      <c r="R6" s="53"/>
      <c r="S6" s="46" t="s">
        <v>182</v>
      </c>
      <c r="T6" s="46" t="s">
        <v>182</v>
      </c>
      <c r="V6" s="16" t="s">
        <v>152</v>
      </c>
      <c r="W6" s="37">
        <v>0.0013209</v>
      </c>
      <c r="X6" s="53"/>
      <c r="Y6" s="46" t="s">
        <v>182</v>
      </c>
      <c r="Z6" s="46" t="s">
        <v>182</v>
      </c>
      <c r="AB6" s="16" t="s">
        <v>154</v>
      </c>
      <c r="AC6" s="37">
        <v>0.0051261</v>
      </c>
      <c r="AD6" s="53"/>
      <c r="AE6" s="46" t="s">
        <v>182</v>
      </c>
      <c r="AF6" s="46" t="s">
        <v>182</v>
      </c>
      <c r="AH6" s="52"/>
      <c r="AI6" s="37">
        <v>0.0132841</v>
      </c>
      <c r="AJ6" s="53"/>
      <c r="AK6" s="46" t="s">
        <v>182</v>
      </c>
      <c r="AL6" s="46" t="s">
        <v>182</v>
      </c>
      <c r="AM6" s="31"/>
      <c r="AN6" s="52"/>
      <c r="AO6" s="37">
        <v>0.0030359</v>
      </c>
      <c r="AP6" s="53"/>
      <c r="AQ6" s="46" t="s">
        <v>182</v>
      </c>
      <c r="AR6" s="46" t="s">
        <v>182</v>
      </c>
      <c r="AS6" s="31"/>
      <c r="AT6" s="52"/>
      <c r="AU6" s="37">
        <v>0.0395322</v>
      </c>
      <c r="AV6" s="53"/>
      <c r="AW6" s="46" t="s">
        <v>182</v>
      </c>
      <c r="AX6" s="46" t="s">
        <v>182</v>
      </c>
      <c r="AY6" s="31"/>
      <c r="AZ6" s="52"/>
      <c r="BA6" s="37">
        <v>0.0012272</v>
      </c>
      <c r="BB6" s="53"/>
      <c r="BC6" s="46" t="s">
        <v>182</v>
      </c>
      <c r="BD6" s="46" t="s">
        <v>182</v>
      </c>
      <c r="BE6" s="31"/>
      <c r="BF6" s="52"/>
      <c r="BG6" s="37">
        <v>0.0015937</v>
      </c>
      <c r="BH6" s="53"/>
      <c r="BI6" s="46" t="s">
        <v>182</v>
      </c>
      <c r="BJ6" s="46" t="s">
        <v>182</v>
      </c>
      <c r="BK6" s="31"/>
      <c r="BL6" s="52"/>
      <c r="BM6" s="37">
        <v>5.49E-05</v>
      </c>
      <c r="BN6" s="53"/>
      <c r="BO6" s="46" t="s">
        <v>182</v>
      </c>
      <c r="BP6" s="46" t="s">
        <v>182</v>
      </c>
      <c r="BR6" s="52"/>
      <c r="BS6" s="37">
        <v>6.03E-05</v>
      </c>
      <c r="BT6" s="53"/>
      <c r="BU6" s="46" t="s">
        <v>182</v>
      </c>
      <c r="BV6" s="46" t="s">
        <v>182</v>
      </c>
      <c r="BX6" s="52"/>
      <c r="BY6" s="37">
        <v>0.005086</v>
      </c>
      <c r="BZ6" s="53"/>
      <c r="CA6" s="46" t="s">
        <v>182</v>
      </c>
      <c r="CB6" s="46" t="s">
        <v>182</v>
      </c>
      <c r="CD6" s="52"/>
      <c r="CE6" s="37">
        <v>0.0004093</v>
      </c>
      <c r="CF6" s="53"/>
      <c r="CG6" s="46" t="s">
        <v>182</v>
      </c>
      <c r="CH6" s="46" t="s">
        <v>182</v>
      </c>
      <c r="CJ6" s="52"/>
      <c r="CK6" s="37">
        <v>0.000464</v>
      </c>
      <c r="CL6" s="53"/>
      <c r="CM6" s="46" t="s">
        <v>182</v>
      </c>
      <c r="CN6" s="46" t="s">
        <v>182</v>
      </c>
      <c r="CP6" s="52"/>
      <c r="CQ6" s="37">
        <v>0.0100903</v>
      </c>
      <c r="CR6" s="53"/>
      <c r="CS6" s="46" t="s">
        <v>182</v>
      </c>
      <c r="CT6" s="46" t="s">
        <v>182</v>
      </c>
      <c r="CV6" s="52"/>
      <c r="CW6" s="37">
        <v>0.0062968</v>
      </c>
      <c r="CX6" s="53"/>
      <c r="CY6" s="46" t="s">
        <v>182</v>
      </c>
      <c r="CZ6" s="46" t="s">
        <v>182</v>
      </c>
      <c r="DB6" s="52"/>
      <c r="DC6" s="37">
        <v>0.000199</v>
      </c>
      <c r="DD6" s="53"/>
      <c r="DE6" s="46" t="s">
        <v>182</v>
      </c>
      <c r="DF6" s="46" t="s">
        <v>182</v>
      </c>
      <c r="DH6" s="52"/>
      <c r="DI6" s="37">
        <v>0.000862</v>
      </c>
      <c r="DJ6" s="53"/>
      <c r="DK6" s="46" t="s">
        <v>182</v>
      </c>
      <c r="DL6" s="46" t="s">
        <v>182</v>
      </c>
      <c r="DN6" s="52"/>
      <c r="DO6" s="37">
        <v>0.0011413</v>
      </c>
      <c r="DP6" s="53"/>
      <c r="DQ6" s="46" t="s">
        <v>182</v>
      </c>
      <c r="DR6" s="46" t="s">
        <v>182</v>
      </c>
      <c r="DS6" s="31"/>
      <c r="DT6" s="52"/>
      <c r="DU6" s="37">
        <v>0.0068315</v>
      </c>
      <c r="DV6" s="53"/>
      <c r="DW6" s="46" t="s">
        <v>182</v>
      </c>
      <c r="DX6" s="46" t="s">
        <v>182</v>
      </c>
      <c r="DZ6" s="52"/>
      <c r="EA6" s="37">
        <v>0.0017145</v>
      </c>
      <c r="EB6" s="53"/>
      <c r="EC6" s="46" t="s">
        <v>182</v>
      </c>
      <c r="ED6" s="46" t="s">
        <v>182</v>
      </c>
      <c r="EF6" s="52"/>
      <c r="EG6" s="37">
        <v>0.0045461</v>
      </c>
      <c r="EH6" s="53"/>
      <c r="EI6" s="46" t="s">
        <v>182</v>
      </c>
      <c r="EJ6" s="46" t="s">
        <v>182</v>
      </c>
      <c r="EK6" s="31"/>
      <c r="EL6" s="52"/>
      <c r="EM6" s="37">
        <v>8.96E-05</v>
      </c>
      <c r="EN6" s="53"/>
      <c r="EO6" s="46" t="s">
        <v>182</v>
      </c>
      <c r="EP6" s="46" t="s">
        <v>182</v>
      </c>
      <c r="EQ6" s="31"/>
      <c r="ER6" s="52"/>
      <c r="ES6" s="37">
        <v>0.0026891</v>
      </c>
      <c r="ET6" s="53"/>
      <c r="EU6" s="46" t="s">
        <v>182</v>
      </c>
      <c r="EV6" s="46" t="s">
        <v>182</v>
      </c>
      <c r="EW6" s="31"/>
      <c r="EX6" s="52"/>
      <c r="EY6" s="37">
        <v>0.0072217</v>
      </c>
      <c r="EZ6" s="53"/>
      <c r="FA6" s="46" t="s">
        <v>182</v>
      </c>
      <c r="FB6" s="46" t="s">
        <v>182</v>
      </c>
      <c r="FC6" s="31"/>
      <c r="FD6" s="52"/>
      <c r="FE6" s="37">
        <v>0.0027764</v>
      </c>
      <c r="FF6" s="53"/>
      <c r="FG6" s="46" t="s">
        <v>182</v>
      </c>
      <c r="FH6" s="46" t="s">
        <v>182</v>
      </c>
      <c r="FI6" s="31"/>
      <c r="FJ6" s="52"/>
      <c r="FK6" s="37">
        <v>0.0196383</v>
      </c>
      <c r="FL6" s="53"/>
      <c r="FM6" s="46" t="s">
        <v>182</v>
      </c>
      <c r="FN6" s="46" t="s">
        <v>182</v>
      </c>
      <c r="FO6" s="31"/>
      <c r="FP6" s="52"/>
      <c r="FQ6" s="37">
        <v>0.0066515</v>
      </c>
      <c r="FR6" s="53"/>
      <c r="FS6" s="46" t="s">
        <v>182</v>
      </c>
      <c r="FT6" s="46" t="s">
        <v>182</v>
      </c>
      <c r="FU6" s="31"/>
      <c r="FV6" s="52"/>
      <c r="FW6" s="37">
        <v>0.0014374</v>
      </c>
      <c r="FX6" s="53"/>
      <c r="FY6" s="46" t="s">
        <v>182</v>
      </c>
      <c r="FZ6" s="46" t="s">
        <v>182</v>
      </c>
      <c r="GA6" s="31"/>
      <c r="GB6" s="52"/>
      <c r="GC6" s="37">
        <v>0.0037906</v>
      </c>
      <c r="GD6" s="53"/>
      <c r="GE6" s="46" t="s">
        <v>182</v>
      </c>
      <c r="GF6" s="46" t="s">
        <v>182</v>
      </c>
      <c r="GG6" s="31"/>
      <c r="GH6" s="52"/>
      <c r="GI6" s="37">
        <v>2.07E-05</v>
      </c>
      <c r="GJ6" s="53"/>
      <c r="GK6" s="46" t="s">
        <v>182</v>
      </c>
      <c r="GL6" s="46" t="s">
        <v>182</v>
      </c>
      <c r="GM6" s="31"/>
    </row>
    <row r="7" spans="1:195" ht="12.75">
      <c r="A7" s="29"/>
      <c r="D7" s="46" t="s">
        <v>15</v>
      </c>
      <c r="E7" s="46" t="s">
        <v>16</v>
      </c>
      <c r="F7" s="46" t="s">
        <v>4</v>
      </c>
      <c r="G7" s="46" t="s">
        <v>183</v>
      </c>
      <c r="H7" s="46" t="s">
        <v>184</v>
      </c>
      <c r="J7" s="30" t="s">
        <v>15</v>
      </c>
      <c r="K7" s="30" t="s">
        <v>16</v>
      </c>
      <c r="L7" s="30" t="s">
        <v>4</v>
      </c>
      <c r="M7" s="46" t="s">
        <v>183</v>
      </c>
      <c r="N7" s="46" t="s">
        <v>184</v>
      </c>
      <c r="P7" s="30" t="s">
        <v>15</v>
      </c>
      <c r="Q7" s="30" t="s">
        <v>16</v>
      </c>
      <c r="R7" s="30" t="s">
        <v>4</v>
      </c>
      <c r="S7" s="46" t="s">
        <v>183</v>
      </c>
      <c r="T7" s="46" t="s">
        <v>184</v>
      </c>
      <c r="V7" s="30" t="s">
        <v>15</v>
      </c>
      <c r="W7" s="30" t="s">
        <v>16</v>
      </c>
      <c r="X7" s="30" t="s">
        <v>4</v>
      </c>
      <c r="Y7" s="46" t="s">
        <v>183</v>
      </c>
      <c r="Z7" s="46" t="s">
        <v>184</v>
      </c>
      <c r="AB7" s="30" t="s">
        <v>15</v>
      </c>
      <c r="AC7" s="30" t="s">
        <v>16</v>
      </c>
      <c r="AD7" s="30" t="s">
        <v>4</v>
      </c>
      <c r="AE7" s="46" t="s">
        <v>183</v>
      </c>
      <c r="AF7" s="46" t="s">
        <v>184</v>
      </c>
      <c r="AH7" s="30" t="s">
        <v>15</v>
      </c>
      <c r="AI7" s="30" t="s">
        <v>16</v>
      </c>
      <c r="AJ7" s="30" t="s">
        <v>4</v>
      </c>
      <c r="AK7" s="46" t="s">
        <v>183</v>
      </c>
      <c r="AL7" s="46" t="s">
        <v>184</v>
      </c>
      <c r="AM7" s="35"/>
      <c r="AN7" s="30" t="s">
        <v>15</v>
      </c>
      <c r="AO7" s="30" t="s">
        <v>16</v>
      </c>
      <c r="AP7" s="30" t="s">
        <v>4</v>
      </c>
      <c r="AQ7" s="46" t="s">
        <v>183</v>
      </c>
      <c r="AR7" s="46" t="s">
        <v>184</v>
      </c>
      <c r="AS7" s="35"/>
      <c r="AT7" s="30" t="s">
        <v>15</v>
      </c>
      <c r="AU7" s="30" t="s">
        <v>16</v>
      </c>
      <c r="AV7" s="30" t="s">
        <v>4</v>
      </c>
      <c r="AW7" s="46" t="s">
        <v>183</v>
      </c>
      <c r="AX7" s="46" t="s">
        <v>184</v>
      </c>
      <c r="AY7" s="35"/>
      <c r="AZ7" s="30" t="s">
        <v>15</v>
      </c>
      <c r="BA7" s="30" t="s">
        <v>16</v>
      </c>
      <c r="BB7" s="30" t="s">
        <v>4</v>
      </c>
      <c r="BC7" s="46" t="s">
        <v>183</v>
      </c>
      <c r="BD7" s="46" t="s">
        <v>184</v>
      </c>
      <c r="BE7" s="35"/>
      <c r="BF7" s="30" t="s">
        <v>15</v>
      </c>
      <c r="BG7" s="30" t="s">
        <v>16</v>
      </c>
      <c r="BH7" s="30" t="s">
        <v>4</v>
      </c>
      <c r="BI7" s="46" t="s">
        <v>183</v>
      </c>
      <c r="BJ7" s="46" t="s">
        <v>184</v>
      </c>
      <c r="BK7" s="35"/>
      <c r="BL7" s="30" t="s">
        <v>15</v>
      </c>
      <c r="BM7" s="30" t="s">
        <v>16</v>
      </c>
      <c r="BN7" s="30" t="s">
        <v>4</v>
      </c>
      <c r="BO7" s="46" t="s">
        <v>183</v>
      </c>
      <c r="BP7" s="46" t="s">
        <v>184</v>
      </c>
      <c r="BR7" s="30" t="s">
        <v>15</v>
      </c>
      <c r="BS7" s="30" t="s">
        <v>16</v>
      </c>
      <c r="BT7" s="30" t="s">
        <v>4</v>
      </c>
      <c r="BU7" s="46" t="s">
        <v>183</v>
      </c>
      <c r="BV7" s="46" t="s">
        <v>184</v>
      </c>
      <c r="BX7" s="30" t="s">
        <v>15</v>
      </c>
      <c r="BY7" s="30" t="s">
        <v>16</v>
      </c>
      <c r="BZ7" s="30" t="s">
        <v>4</v>
      </c>
      <c r="CA7" s="46" t="s">
        <v>183</v>
      </c>
      <c r="CB7" s="46" t="s">
        <v>184</v>
      </c>
      <c r="CD7" s="30" t="s">
        <v>15</v>
      </c>
      <c r="CE7" s="30" t="s">
        <v>16</v>
      </c>
      <c r="CF7" s="30" t="s">
        <v>4</v>
      </c>
      <c r="CG7" s="46" t="s">
        <v>183</v>
      </c>
      <c r="CH7" s="46" t="s">
        <v>184</v>
      </c>
      <c r="CJ7" s="30" t="s">
        <v>15</v>
      </c>
      <c r="CK7" s="30" t="s">
        <v>16</v>
      </c>
      <c r="CL7" s="30" t="s">
        <v>4</v>
      </c>
      <c r="CM7" s="46" t="s">
        <v>183</v>
      </c>
      <c r="CN7" s="46" t="s">
        <v>184</v>
      </c>
      <c r="CP7" s="30" t="s">
        <v>15</v>
      </c>
      <c r="CQ7" s="30" t="s">
        <v>16</v>
      </c>
      <c r="CR7" s="30" t="s">
        <v>4</v>
      </c>
      <c r="CS7" s="46" t="s">
        <v>183</v>
      </c>
      <c r="CT7" s="46" t="s">
        <v>184</v>
      </c>
      <c r="CV7" s="30" t="s">
        <v>15</v>
      </c>
      <c r="CW7" s="30" t="s">
        <v>16</v>
      </c>
      <c r="CX7" s="30" t="s">
        <v>4</v>
      </c>
      <c r="CY7" s="46" t="s">
        <v>183</v>
      </c>
      <c r="CZ7" s="46" t="s">
        <v>184</v>
      </c>
      <c r="DB7" s="30" t="s">
        <v>15</v>
      </c>
      <c r="DC7" s="30" t="s">
        <v>16</v>
      </c>
      <c r="DD7" s="30" t="s">
        <v>4</v>
      </c>
      <c r="DE7" s="46" t="s">
        <v>183</v>
      </c>
      <c r="DF7" s="46" t="s">
        <v>184</v>
      </c>
      <c r="DH7" s="30" t="s">
        <v>15</v>
      </c>
      <c r="DI7" s="30" t="s">
        <v>16</v>
      </c>
      <c r="DJ7" s="30" t="s">
        <v>4</v>
      </c>
      <c r="DK7" s="46" t="s">
        <v>183</v>
      </c>
      <c r="DL7" s="46" t="s">
        <v>184</v>
      </c>
      <c r="DN7" s="30" t="s">
        <v>15</v>
      </c>
      <c r="DO7" s="30" t="s">
        <v>16</v>
      </c>
      <c r="DP7" s="30" t="s">
        <v>4</v>
      </c>
      <c r="DQ7" s="46" t="s">
        <v>183</v>
      </c>
      <c r="DR7" s="46" t="s">
        <v>184</v>
      </c>
      <c r="DS7" s="35"/>
      <c r="DT7" s="30" t="s">
        <v>15</v>
      </c>
      <c r="DU7" s="30" t="s">
        <v>16</v>
      </c>
      <c r="DV7" s="30" t="s">
        <v>4</v>
      </c>
      <c r="DW7" s="46" t="s">
        <v>183</v>
      </c>
      <c r="DX7" s="46" t="s">
        <v>184</v>
      </c>
      <c r="DZ7" s="30" t="s">
        <v>15</v>
      </c>
      <c r="EA7" s="30" t="s">
        <v>16</v>
      </c>
      <c r="EB7" s="30" t="s">
        <v>4</v>
      </c>
      <c r="EC7" s="46" t="s">
        <v>183</v>
      </c>
      <c r="ED7" s="46" t="s">
        <v>184</v>
      </c>
      <c r="EF7" s="30" t="s">
        <v>15</v>
      </c>
      <c r="EG7" s="30" t="s">
        <v>16</v>
      </c>
      <c r="EH7" s="30" t="s">
        <v>4</v>
      </c>
      <c r="EI7" s="46" t="s">
        <v>183</v>
      </c>
      <c r="EJ7" s="46" t="s">
        <v>184</v>
      </c>
      <c r="EK7" s="35"/>
      <c r="EL7" s="30" t="s">
        <v>15</v>
      </c>
      <c r="EM7" s="30" t="s">
        <v>16</v>
      </c>
      <c r="EN7" s="30" t="s">
        <v>4</v>
      </c>
      <c r="EO7" s="46" t="s">
        <v>183</v>
      </c>
      <c r="EP7" s="46" t="s">
        <v>184</v>
      </c>
      <c r="EQ7" s="35"/>
      <c r="ER7" s="30" t="s">
        <v>15</v>
      </c>
      <c r="ES7" s="30" t="s">
        <v>16</v>
      </c>
      <c r="ET7" s="30" t="s">
        <v>4</v>
      </c>
      <c r="EU7" s="46" t="s">
        <v>183</v>
      </c>
      <c r="EV7" s="46" t="s">
        <v>184</v>
      </c>
      <c r="EW7" s="35"/>
      <c r="EX7" s="30" t="s">
        <v>15</v>
      </c>
      <c r="EY7" s="30" t="s">
        <v>16</v>
      </c>
      <c r="EZ7" s="30" t="s">
        <v>4</v>
      </c>
      <c r="FA7" s="46" t="s">
        <v>183</v>
      </c>
      <c r="FB7" s="46" t="s">
        <v>184</v>
      </c>
      <c r="FC7" s="35"/>
      <c r="FD7" s="30" t="s">
        <v>15</v>
      </c>
      <c r="FE7" s="30" t="s">
        <v>16</v>
      </c>
      <c r="FF7" s="30" t="s">
        <v>4</v>
      </c>
      <c r="FG7" s="46" t="s">
        <v>183</v>
      </c>
      <c r="FH7" s="46" t="s">
        <v>184</v>
      </c>
      <c r="FI7" s="35"/>
      <c r="FJ7" s="30" t="s">
        <v>15</v>
      </c>
      <c r="FK7" s="30" t="s">
        <v>16</v>
      </c>
      <c r="FL7" s="30" t="s">
        <v>4</v>
      </c>
      <c r="FM7" s="46" t="s">
        <v>183</v>
      </c>
      <c r="FN7" s="46" t="s">
        <v>184</v>
      </c>
      <c r="FO7" s="35"/>
      <c r="FP7" s="30" t="s">
        <v>15</v>
      </c>
      <c r="FQ7" s="30" t="s">
        <v>16</v>
      </c>
      <c r="FR7" s="30" t="s">
        <v>4</v>
      </c>
      <c r="FS7" s="46" t="s">
        <v>183</v>
      </c>
      <c r="FT7" s="46" t="s">
        <v>184</v>
      </c>
      <c r="FU7" s="35"/>
      <c r="FV7" s="30" t="s">
        <v>15</v>
      </c>
      <c r="FW7" s="30" t="s">
        <v>16</v>
      </c>
      <c r="FX7" s="30" t="s">
        <v>4</v>
      </c>
      <c r="FY7" s="46" t="s">
        <v>183</v>
      </c>
      <c r="FZ7" s="46" t="s">
        <v>184</v>
      </c>
      <c r="GA7" s="35"/>
      <c r="GB7" s="30" t="s">
        <v>15</v>
      </c>
      <c r="GC7" s="30" t="s">
        <v>16</v>
      </c>
      <c r="GD7" s="30" t="s">
        <v>4</v>
      </c>
      <c r="GE7" s="46" t="s">
        <v>183</v>
      </c>
      <c r="GF7" s="46" t="s">
        <v>184</v>
      </c>
      <c r="GG7" s="35"/>
      <c r="GH7" s="30" t="s">
        <v>15</v>
      </c>
      <c r="GI7" s="30" t="s">
        <v>16</v>
      </c>
      <c r="GJ7" s="30" t="s">
        <v>4</v>
      </c>
      <c r="GK7" s="46" t="s">
        <v>183</v>
      </c>
      <c r="GL7" s="46" t="s">
        <v>184</v>
      </c>
      <c r="GM7" s="35"/>
    </row>
    <row r="8" spans="1:212" s="57" customFormat="1" ht="12.75">
      <c r="A8" s="56">
        <v>43739</v>
      </c>
      <c r="C8" s="55"/>
      <c r="D8" s="72">
        <f>J8+P8+V8+AB8+AH8+AN8+AT8+AZ8+BF8+BL8+BR8+BX8+CD8+CJ8+CP8+CV8+DB8+DH8+DN8+DT8+DZ8+EF8+ER8+EX8+FD8+FJ8+FP8+FV8+GB8+GH8+EL8</f>
        <v>0</v>
      </c>
      <c r="E8" s="72">
        <f>K8+Q8+W8+AC8+AI8+AO8+AU8+BA8+BG8+BM8+BS8+BY8+CE8+CK8+CQ8+CW8+DC8+DI8+DO8+DU8+EA8+EG8+ES8+EY8+FE8+FK8+FQ8+FW8+GC8+GI8+EM8</f>
        <v>23276.073920000003</v>
      </c>
      <c r="F8" s="72">
        <f>D8+E8</f>
        <v>23276.073920000003</v>
      </c>
      <c r="G8" s="72">
        <f>M8+S8+Y8+AE8+AK8+AQ8+AW8+BC8+BI8+BO8+BU8+CA8+CG8+CM8+CS8+CY8+DE8+DK8+DQ8+DW8+EC8+EI8+EU8+FA8+FG8+FM8+FS8+FY8+GE8+GK8+EO8</f>
        <v>3854.3901066</v>
      </c>
      <c r="H8" s="72">
        <f>N8+T8+Z8+AF8+AL8+AR8+AX8+BD8+BJ8+BP8+BV8+CB8+CH8+CN8+CT8+CZ8+DF8+DL8+DR8+DX8+ED8+EJ8+EV8+FB8+FH8+FN8+FT8+FZ8+GF8+GL8+EP8</f>
        <v>1382.1942981000002</v>
      </c>
      <c r="I8" s="75"/>
      <c r="J8" s="72">
        <f>K$6*'2009D'!$C8</f>
        <v>0</v>
      </c>
      <c r="K8" s="72">
        <f>K$6*'2009D'!$D8</f>
        <v>935.36416</v>
      </c>
      <c r="L8" s="72">
        <f>J8+K8</f>
        <v>935.36416</v>
      </c>
      <c r="M8" s="72">
        <f>K$6*'2009D'!$F8</f>
        <v>154.8911718</v>
      </c>
      <c r="N8" s="73">
        <f>K$6*'2009D'!$G8</f>
        <v>55.544376299999996</v>
      </c>
      <c r="O8" s="75"/>
      <c r="P8" s="72">
        <f>Q$6*'2009D'!$C8</f>
        <v>0</v>
      </c>
      <c r="Q8" s="72">
        <f>Q$6*'2009D'!$D8</f>
        <v>3029.1980799999997</v>
      </c>
      <c r="R8" s="72">
        <f>P8+Q8</f>
        <v>3029.1980799999997</v>
      </c>
      <c r="S8" s="72">
        <f>Q$6*'2009D'!$F8</f>
        <v>501.6185784</v>
      </c>
      <c r="T8" s="73">
        <f>Q$6*'2009D'!$G8</f>
        <v>179.8817244</v>
      </c>
      <c r="U8" s="75"/>
      <c r="V8" s="72">
        <f>W$6*'2009D'!$C8</f>
        <v>0</v>
      </c>
      <c r="W8" s="72">
        <f>W$6*'2009D'!$D8</f>
        <v>173.30208000000002</v>
      </c>
      <c r="X8" s="72">
        <f>V8+W8</f>
        <v>173.30208000000002</v>
      </c>
      <c r="Y8" s="72">
        <f>W$6*'2009D'!$F8</f>
        <v>28.697873400000002</v>
      </c>
      <c r="Z8" s="73">
        <f>W$6*'2009D'!$G8</f>
        <v>10.2911319</v>
      </c>
      <c r="AA8" s="75"/>
      <c r="AB8" s="72">
        <f>AC$6*'2009D'!$C8</f>
        <v>0</v>
      </c>
      <c r="AC8" s="72">
        <f>AC$6*'2009D'!$D8</f>
        <v>672.54432</v>
      </c>
      <c r="AD8" s="72">
        <f>AB8+AC8</f>
        <v>672.54432</v>
      </c>
      <c r="AE8" s="72">
        <f>AC$6*'2009D'!$F8</f>
        <v>111.36964859999999</v>
      </c>
      <c r="AF8" s="73">
        <f>AC$6*'2009D'!$G8</f>
        <v>39.9374451</v>
      </c>
      <c r="AG8" s="75"/>
      <c r="AH8" s="72">
        <f>AI$6*'2009D'!$C8</f>
        <v>0</v>
      </c>
      <c r="AI8" s="72">
        <f>AI$6*'2009D'!$D8</f>
        <v>1742.87392</v>
      </c>
      <c r="AJ8" s="72">
        <f>AH8+AI8</f>
        <v>1742.87392</v>
      </c>
      <c r="AK8" s="72">
        <f>AI$6*'2009D'!$F8</f>
        <v>288.6103566</v>
      </c>
      <c r="AL8" s="73">
        <f>AI$6*'2009D'!$G8</f>
        <v>103.4964231</v>
      </c>
      <c r="AM8" s="75"/>
      <c r="AN8" s="72">
        <f>AO$6*'2009D'!$C8</f>
        <v>0</v>
      </c>
      <c r="AO8" s="72">
        <f>AO$6*'2009D'!$D8</f>
        <v>398.31007999999997</v>
      </c>
      <c r="AP8" s="72">
        <f>AN8+AO8</f>
        <v>398.31007999999997</v>
      </c>
      <c r="AQ8" s="72">
        <f>AO$6*'2009D'!$F8</f>
        <v>65.9579634</v>
      </c>
      <c r="AR8" s="73">
        <f>AO$6*'2009D'!$G8</f>
        <v>23.6526969</v>
      </c>
      <c r="AS8" s="75"/>
      <c r="AT8" s="72">
        <f>AU$6*'2009D'!$C8</f>
        <v>0</v>
      </c>
      <c r="AU8" s="72">
        <f>AU$6*'2009D'!$D8</f>
        <v>5186.62464</v>
      </c>
      <c r="AV8" s="72">
        <f>AT8+AU8</f>
        <v>5186.62464</v>
      </c>
      <c r="AW8" s="72">
        <f>AU$6*'2009D'!$F8</f>
        <v>858.8765772</v>
      </c>
      <c r="AX8" s="73">
        <f>AU$6*'2009D'!$G8</f>
        <v>307.9953702</v>
      </c>
      <c r="AY8" s="75"/>
      <c r="AZ8" s="72">
        <f>BA$6*'2009D'!$C8</f>
        <v>0</v>
      </c>
      <c r="BA8" s="72">
        <f>BA$6*'2009D'!$D8</f>
        <v>161.00863999999999</v>
      </c>
      <c r="BB8" s="72">
        <f>AZ8+BA8</f>
        <v>161.00863999999999</v>
      </c>
      <c r="BC8" s="72">
        <f>BA$6*'2009D'!$F8</f>
        <v>26.6621472</v>
      </c>
      <c r="BD8" s="73">
        <f>BA$6*'2009D'!$G8</f>
        <v>9.5611152</v>
      </c>
      <c r="BE8" s="75"/>
      <c r="BF8" s="72">
        <f>BG$6*'2009D'!$C8</f>
        <v>0</v>
      </c>
      <c r="BG8" s="72">
        <f>BG$6*'2009D'!$D8</f>
        <v>209.09344</v>
      </c>
      <c r="BH8" s="72">
        <f>BF8+BG8</f>
        <v>209.09344</v>
      </c>
      <c r="BI8" s="72">
        <f>BG$6*'2009D'!$F8</f>
        <v>34.6247262</v>
      </c>
      <c r="BJ8" s="73">
        <f>BG$6*'2009D'!$G8</f>
        <v>12.416516699999999</v>
      </c>
      <c r="BK8" s="75"/>
      <c r="BL8" s="72">
        <f>BM$6*'2009D'!$C8</f>
        <v>0</v>
      </c>
      <c r="BM8" s="72">
        <f>BM$6*'2009D'!$D8</f>
        <v>7.2028799999999995</v>
      </c>
      <c r="BN8" s="72">
        <f>BL8+BM8</f>
        <v>7.2028799999999995</v>
      </c>
      <c r="BO8" s="72">
        <f>BM$6*'2009D'!$F8</f>
        <v>1.1927574</v>
      </c>
      <c r="BP8" s="73">
        <f>BM$6*'2009D'!$G8</f>
        <v>0.4277259</v>
      </c>
      <c r="BQ8" s="75"/>
      <c r="BR8" s="72">
        <f>BS$6*'2009D'!$C8</f>
        <v>0</v>
      </c>
      <c r="BS8" s="72">
        <f>BS$6*'2009D'!$D8</f>
        <v>7.91136</v>
      </c>
      <c r="BT8" s="72">
        <f>BR8+BS8</f>
        <v>7.91136</v>
      </c>
      <c r="BU8" s="72">
        <f>BS$6*'2009D'!$F8</f>
        <v>1.3100778</v>
      </c>
      <c r="BV8" s="73">
        <f>BS$6*'2009D'!$G8</f>
        <v>0.46979730000000003</v>
      </c>
      <c r="BW8" s="75"/>
      <c r="BX8" s="72">
        <f>BY$6*'2009D'!$C8</f>
        <v>0</v>
      </c>
      <c r="BY8" s="72">
        <f>BY$6*'2009D'!$D8</f>
        <v>667.2832000000001</v>
      </c>
      <c r="BZ8" s="72">
        <f>BX8+BY8</f>
        <v>667.2832000000001</v>
      </c>
      <c r="CA8" s="72">
        <f>BY$6*'2009D'!$F8</f>
        <v>110.49843600000001</v>
      </c>
      <c r="CB8" s="73">
        <f>BY$6*'2009D'!$G8</f>
        <v>39.625026000000005</v>
      </c>
      <c r="CC8" s="75"/>
      <c r="CD8" s="72">
        <f>CE$6*'2009D'!$C8</f>
        <v>0</v>
      </c>
      <c r="CE8" s="72">
        <f>CE$6*'2009D'!$D8</f>
        <v>53.70016</v>
      </c>
      <c r="CF8" s="72">
        <f>CD8+CE8</f>
        <v>53.70016</v>
      </c>
      <c r="CG8" s="72">
        <f>CE$6*'2009D'!$F8</f>
        <v>8.8924518</v>
      </c>
      <c r="CH8" s="73">
        <f>CE$6*'2009D'!$G8</f>
        <v>3.1888563</v>
      </c>
      <c r="CI8" s="75"/>
      <c r="CJ8" s="72">
        <f>CK$6*'2009D'!$C8</f>
        <v>0</v>
      </c>
      <c r="CK8" s="72">
        <f>CK$6*'2009D'!$D8</f>
        <v>60.8768</v>
      </c>
      <c r="CL8" s="72">
        <f>CJ8+CK8</f>
        <v>60.8768</v>
      </c>
      <c r="CM8" s="72">
        <f>CK$6*'2009D'!$F8</f>
        <v>10.080864</v>
      </c>
      <c r="CN8" s="73">
        <f>CK$6*'2009D'!$G8</f>
        <v>3.615024</v>
      </c>
      <c r="CO8" s="75"/>
      <c r="CP8" s="72">
        <f>CQ$6*'2009D'!$C8</f>
        <v>0</v>
      </c>
      <c r="CQ8" s="72">
        <f>CQ$6*'2009D'!$D8</f>
        <v>1323.84736</v>
      </c>
      <c r="CR8" s="72">
        <f>CP8+CQ8</f>
        <v>1323.84736</v>
      </c>
      <c r="CS8" s="72">
        <f>CQ$6*'2009D'!$F8</f>
        <v>219.2218578</v>
      </c>
      <c r="CT8" s="73">
        <f>CQ$6*'2009D'!$G8</f>
        <v>78.6135273</v>
      </c>
      <c r="CU8" s="75"/>
      <c r="CV8" s="72">
        <f>CW$6*'2009D'!$C8</f>
        <v>0</v>
      </c>
      <c r="CW8" s="72">
        <f>CW$6*'2009D'!$D8</f>
        <v>826.14016</v>
      </c>
      <c r="CX8" s="72">
        <f>CV8+CW8</f>
        <v>826.14016</v>
      </c>
      <c r="CY8" s="72">
        <f>CW$6*'2009D'!$F8</f>
        <v>136.8042768</v>
      </c>
      <c r="CZ8" s="73">
        <f>CW$6*'2009D'!$G8</f>
        <v>49.0583688</v>
      </c>
      <c r="DA8" s="75"/>
      <c r="DB8" s="72">
        <f>DC$6*'2009D'!$C8</f>
        <v>0</v>
      </c>
      <c r="DC8" s="72">
        <f>DC$6*'2009D'!$D8</f>
        <v>26.108800000000002</v>
      </c>
      <c r="DD8" s="72">
        <f>DB8+DC8</f>
        <v>26.108800000000002</v>
      </c>
      <c r="DE8" s="72">
        <f>DC$6*'2009D'!$F8</f>
        <v>4.323474</v>
      </c>
      <c r="DF8" s="73">
        <f>DC$6*'2009D'!$G8</f>
        <v>1.5504090000000001</v>
      </c>
      <c r="DG8" s="75"/>
      <c r="DH8" s="72">
        <f>DI$6*'2009D'!$C8</f>
        <v>0</v>
      </c>
      <c r="DI8" s="72">
        <f>DI$6*'2009D'!$D8</f>
        <v>113.09440000000001</v>
      </c>
      <c r="DJ8" s="72">
        <f>DH8+DI8</f>
        <v>113.09440000000001</v>
      </c>
      <c r="DK8" s="72">
        <f>DI$6*'2009D'!$F8</f>
        <v>18.727812</v>
      </c>
      <c r="DL8" s="73">
        <f>DI$6*'2009D'!$G8</f>
        <v>6.715842</v>
      </c>
      <c r="DM8" s="75"/>
      <c r="DN8" s="72">
        <f>DO$6*'2009D'!$C8</f>
        <v>0</v>
      </c>
      <c r="DO8" s="72">
        <f>DO$6*'2009D'!$D8</f>
        <v>149.73856</v>
      </c>
      <c r="DP8" s="72">
        <f>DN8+DO8</f>
        <v>149.73856</v>
      </c>
      <c r="DQ8" s="72">
        <f>DO$6*'2009D'!$F8</f>
        <v>24.795883800000002</v>
      </c>
      <c r="DR8" s="73">
        <f>DO$6*'2009D'!$G8</f>
        <v>8.8918683</v>
      </c>
      <c r="DS8" s="75"/>
      <c r="DT8" s="72">
        <f>DU$6*'2009D'!$C8</f>
        <v>0</v>
      </c>
      <c r="DU8" s="72">
        <f>DU$6*'2009D'!$D8</f>
        <v>896.2927999999999</v>
      </c>
      <c r="DV8" s="72">
        <f>DT8+DU8</f>
        <v>896.2927999999999</v>
      </c>
      <c r="DW8" s="72">
        <f>DU$6*'2009D'!$F8</f>
        <v>148.421169</v>
      </c>
      <c r="DX8" s="73">
        <f>DU$6*'2009D'!$G8</f>
        <v>53.2242165</v>
      </c>
      <c r="DY8" s="75"/>
      <c r="DZ8" s="72">
        <f>EA$6*'2009D'!$C8</f>
        <v>0</v>
      </c>
      <c r="EA8" s="72">
        <f>EA$6*'2009D'!$D8</f>
        <v>224.94240000000002</v>
      </c>
      <c r="EB8" s="72">
        <f>DZ8+EA8</f>
        <v>224.94240000000002</v>
      </c>
      <c r="EC8" s="72">
        <f>EA$6*'2009D'!$F8</f>
        <v>37.249227000000005</v>
      </c>
      <c r="ED8" s="73">
        <f>EA$6*'2009D'!$G8</f>
        <v>13.3576695</v>
      </c>
      <c r="EE8" s="75"/>
      <c r="EF8" s="72">
        <f>EG$6*'2009D'!$C8</f>
        <v>0</v>
      </c>
      <c r="EG8" s="72">
        <f>EG$6*'2009D'!$D8</f>
        <v>596.44832</v>
      </c>
      <c r="EH8" s="72">
        <f>EF8+EG8</f>
        <v>596.44832</v>
      </c>
      <c r="EI8" s="72">
        <f>EG$6*'2009D'!$F8</f>
        <v>98.7685686</v>
      </c>
      <c r="EJ8" s="73">
        <f>EG$6*'2009D'!$G8</f>
        <v>35.4186651</v>
      </c>
      <c r="EK8" s="75"/>
      <c r="EL8" s="72">
        <f>EM$6*'2009D'!$C8</f>
        <v>0</v>
      </c>
      <c r="EM8" s="72">
        <f>EM$6*'2009D'!$D8</f>
        <v>11.755519999999999</v>
      </c>
      <c r="EN8" s="72">
        <f>EL8+EM8</f>
        <v>11.755519999999999</v>
      </c>
      <c r="EO8" s="72">
        <f>EM$6*'2009D'!$F8</f>
        <v>1.9466496</v>
      </c>
      <c r="EP8" s="73">
        <f>EM$6*'2009D'!$G8</f>
        <v>0.6980736</v>
      </c>
      <c r="EQ8" s="75"/>
      <c r="ER8" s="72">
        <f>ES$6*'2009D'!$C8</f>
        <v>0</v>
      </c>
      <c r="ES8" s="72">
        <f>ES$6*'2009D'!$D8</f>
        <v>352.80992</v>
      </c>
      <c r="ET8" s="72">
        <f>ER8+ES8</f>
        <v>352.80992</v>
      </c>
      <c r="EU8" s="72">
        <f>ES$6*'2009D'!$F8</f>
        <v>58.42338659999999</v>
      </c>
      <c r="EV8" s="73">
        <f>ES$6*'2009D'!$G8</f>
        <v>20.950778099999997</v>
      </c>
      <c r="EW8" s="75"/>
      <c r="EX8" s="72">
        <f>EY$6*'2009D'!$C8</f>
        <v>0</v>
      </c>
      <c r="EY8" s="72">
        <f>EY$6*'2009D'!$D8</f>
        <v>947.48704</v>
      </c>
      <c r="EZ8" s="72">
        <f>EX8+EY8</f>
        <v>947.48704</v>
      </c>
      <c r="FA8" s="72">
        <f>EY$6*'2009D'!$F8</f>
        <v>156.8986542</v>
      </c>
      <c r="FB8" s="73">
        <f>EY$6*'2009D'!$G8</f>
        <v>56.2642647</v>
      </c>
      <c r="FC8" s="75"/>
      <c r="FD8" s="72">
        <f>FE$6*'2009D'!$C8</f>
        <v>0</v>
      </c>
      <c r="FE8" s="72">
        <f>FE$6*'2009D'!$D8</f>
        <v>364.26368</v>
      </c>
      <c r="FF8" s="72">
        <f>FD8+FE8</f>
        <v>364.26368</v>
      </c>
      <c r="FG8" s="72">
        <f>FE$6*'2009D'!$F8</f>
        <v>60.3200664</v>
      </c>
      <c r="FH8" s="73">
        <f>FE$6*'2009D'!$G8</f>
        <v>21.6309324</v>
      </c>
      <c r="FI8" s="75"/>
      <c r="FJ8" s="72">
        <f>FK$6*'2009D'!$C8</f>
        <v>0</v>
      </c>
      <c r="FK8" s="72">
        <f>FK$6*'2009D'!$D8</f>
        <v>2576.54496</v>
      </c>
      <c r="FL8" s="72">
        <f>FJ8+FK8</f>
        <v>2576.54496</v>
      </c>
      <c r="FM8" s="72">
        <f>FK$6*'2009D'!$F8</f>
        <v>426.6617058</v>
      </c>
      <c r="FN8" s="73">
        <f>FK$6*'2009D'!$G8</f>
        <v>153.0019953</v>
      </c>
      <c r="FO8" s="75"/>
      <c r="FP8" s="72">
        <f>FQ$6*'2009D'!$C8</f>
        <v>0</v>
      </c>
      <c r="FQ8" s="72">
        <f>FQ$6*'2009D'!$D8</f>
        <v>872.6768000000001</v>
      </c>
      <c r="FR8" s="72">
        <f>FP8+FQ8</f>
        <v>872.6768000000001</v>
      </c>
      <c r="FS8" s="72">
        <f>FQ$6*'2009D'!$F8</f>
        <v>144.510489</v>
      </c>
      <c r="FT8" s="73">
        <f>FQ$6*'2009D'!$G8</f>
        <v>51.8218365</v>
      </c>
      <c r="FU8" s="75"/>
      <c r="FV8" s="72">
        <f>FW$6*'2009D'!$C8</f>
        <v>0</v>
      </c>
      <c r="FW8" s="72">
        <f>FW$6*'2009D'!$D8</f>
        <v>188.58687999999998</v>
      </c>
      <c r="FX8" s="72">
        <f>FV8+FW8</f>
        <v>188.58687999999998</v>
      </c>
      <c r="FY8" s="72">
        <f>FW$6*'2009D'!$F8</f>
        <v>31.228952399999997</v>
      </c>
      <c r="FZ8" s="73">
        <f>FW$6*'2009D'!$G8</f>
        <v>11.1987834</v>
      </c>
      <c r="GA8" s="75"/>
      <c r="GB8" s="72">
        <f>GC$6*'2009D'!$C8</f>
        <v>0</v>
      </c>
      <c r="GC8" s="72">
        <f>GC$6*'2009D'!$D8</f>
        <v>497.32671999999997</v>
      </c>
      <c r="GD8" s="72">
        <f>GB8+GC8</f>
        <v>497.32671999999997</v>
      </c>
      <c r="GE8" s="72">
        <f>GC$6*'2009D'!$F8</f>
        <v>82.3545756</v>
      </c>
      <c r="GF8" s="73">
        <f>GC$6*'2009D'!$G8</f>
        <v>29.5325646</v>
      </c>
      <c r="GG8" s="75"/>
      <c r="GH8" s="72">
        <f>GI$6*'2009D'!$C8</f>
        <v>0</v>
      </c>
      <c r="GI8" s="72">
        <f>GI$6*'2009D'!$D8</f>
        <v>2.7158399999999996</v>
      </c>
      <c r="GJ8" s="72">
        <f>GH8+GI8</f>
        <v>2.7158399999999996</v>
      </c>
      <c r="GK8" s="72">
        <f>GI$6*'2009D'!$F8</f>
        <v>0.44972819999999997</v>
      </c>
      <c r="GL8" s="73">
        <f>GI$6*'2009D'!$G8</f>
        <v>0.1612737</v>
      </c>
      <c r="GM8" s="75"/>
      <c r="GN8" s="75"/>
      <c r="GO8" s="75"/>
      <c r="GP8" s="75"/>
      <c r="GQ8" s="75"/>
      <c r="GR8" s="75"/>
      <c r="GS8" s="55"/>
      <c r="GT8" s="55"/>
      <c r="GU8" s="55"/>
      <c r="GV8" s="55"/>
      <c r="GW8" s="55"/>
      <c r="GX8" s="55"/>
      <c r="GY8" s="55"/>
      <c r="GZ8" s="55"/>
      <c r="HA8" s="55"/>
      <c r="HB8" s="55"/>
      <c r="HC8" s="55"/>
      <c r="HD8" s="55"/>
    </row>
    <row r="9" spans="1:212" s="57" customFormat="1" ht="12.75">
      <c r="A9" s="56">
        <v>43922</v>
      </c>
      <c r="C9" s="55"/>
      <c r="D9" s="72">
        <f>J9+P9+V9+AB9+AH9+AN9+AT9+AZ9+BF9+BL9+BR9+BX9+CD9+CJ9+CP9+CV9+DB9+DH9+DN9+DT9+DZ9+EF9+ER9+EX9+FD9+FJ9+FP9+FV9+GB9+GH9+EL9</f>
        <v>1163803.696</v>
      </c>
      <c r="E9" s="72">
        <f>K9+Q9+W9+AC9+AI9+AO9+AU9+BA9+BG9+BM9+BS9+BY9+CE9+CK9+CQ9+CW9+DC9+DI9+DO9+DU9+EA9+EG9+ES9+EY9+FE9+FK9+FQ9+FW9+GC9+GI9+EM9</f>
        <v>23276.073920000003</v>
      </c>
      <c r="F9" s="72">
        <f>D9+E9</f>
        <v>1187079.76992</v>
      </c>
      <c r="G9" s="72">
        <f>M9+S9+Y9+AE9+AK9+AQ9+AW9+BC9+BI9+BO9+BU9+CA9+CG9+CM9+CS9+CY9+DE9+DK9+DQ9+DW9+EC9+EI9+EU9+FA9+FG9+FM9+FS9+FY9+GE9+GK9+EO9</f>
        <v>3855.2771521</v>
      </c>
      <c r="H9" s="72">
        <f>N9+T9+Z9+AF9+AL9+AR9+AX9+BD9+BJ9+BP9+BV9+CB9+CH9+CN9+CT9+CZ9+DF9+DL9+DR9+DX9+ED9+EJ9+EV9+FB9+FH9+FN9+FT9+FZ9+GF9+GL9+EP9</f>
        <v>1382.5491162999997</v>
      </c>
      <c r="I9" s="75"/>
      <c r="J9" s="72">
        <f>K$6*'2009D'!$C9</f>
        <v>46768.208</v>
      </c>
      <c r="K9" s="72">
        <f>K$6*'2009D'!$D9</f>
        <v>935.36416</v>
      </c>
      <c r="L9" s="72">
        <f>J9+K9</f>
        <v>47703.572159999996</v>
      </c>
      <c r="M9" s="72">
        <f>K$6*'2009D'!$F9</f>
        <v>154.9268183</v>
      </c>
      <c r="N9" s="73">
        <f>K$6*'2009D'!$G9</f>
        <v>55.5586349</v>
      </c>
      <c r="O9" s="75"/>
      <c r="P9" s="72">
        <f>Q$6*'2009D'!$C9</f>
        <v>151459.90399999998</v>
      </c>
      <c r="Q9" s="72">
        <f>Q$6*'2009D'!$D9</f>
        <v>3029.1980799999997</v>
      </c>
      <c r="R9" s="72">
        <f>P9+Q9</f>
        <v>154489.10207999998</v>
      </c>
      <c r="S9" s="72">
        <f>Q$6*'2009D'!$F9</f>
        <v>501.73402039999996</v>
      </c>
      <c r="T9" s="73">
        <f>Q$6*'2009D'!$G9</f>
        <v>179.92790119999998</v>
      </c>
      <c r="U9" s="75"/>
      <c r="V9" s="72">
        <f>W$6*'2009D'!$C9</f>
        <v>8665.104000000001</v>
      </c>
      <c r="W9" s="72">
        <f>W$6*'2009D'!$D9</f>
        <v>173.30208000000002</v>
      </c>
      <c r="X9" s="72">
        <f>V9+W9</f>
        <v>8838.40608</v>
      </c>
      <c r="Y9" s="72">
        <f>W$6*'2009D'!$F9</f>
        <v>28.7044779</v>
      </c>
      <c r="Z9" s="73">
        <f>W$6*'2009D'!$G9</f>
        <v>10.293773700000001</v>
      </c>
      <c r="AA9" s="75"/>
      <c r="AB9" s="72">
        <f>AC$6*'2009D'!$C9</f>
        <v>33627.216</v>
      </c>
      <c r="AC9" s="72">
        <f>AC$6*'2009D'!$D9</f>
        <v>672.54432</v>
      </c>
      <c r="AD9" s="72">
        <f>AB9+AC9</f>
        <v>34299.76032</v>
      </c>
      <c r="AE9" s="72">
        <f>AC$6*'2009D'!$F9</f>
        <v>111.3952791</v>
      </c>
      <c r="AF9" s="73">
        <f>AC$6*'2009D'!$G9</f>
        <v>39.9476973</v>
      </c>
      <c r="AG9" s="75"/>
      <c r="AH9" s="72">
        <f>AI$6*'2009D'!$C9</f>
        <v>87143.696</v>
      </c>
      <c r="AI9" s="72">
        <f>AI$6*'2009D'!$D9</f>
        <v>1742.87392</v>
      </c>
      <c r="AJ9" s="72">
        <f>AH9+AI9</f>
        <v>88886.56992</v>
      </c>
      <c r="AK9" s="72">
        <f>AI$6*'2009D'!$F9</f>
        <v>288.6767771</v>
      </c>
      <c r="AL9" s="73">
        <f>AI$6*'2009D'!$G9</f>
        <v>103.5229913</v>
      </c>
      <c r="AM9" s="75"/>
      <c r="AN9" s="72">
        <f>AO$6*'2009D'!$C9</f>
        <v>19915.503999999997</v>
      </c>
      <c r="AO9" s="72">
        <f>AO$6*'2009D'!$D9</f>
        <v>398.31007999999997</v>
      </c>
      <c r="AP9" s="72">
        <f>AN9+AO9</f>
        <v>20313.814079999996</v>
      </c>
      <c r="AQ9" s="72">
        <f>AO$6*'2009D'!$F9</f>
        <v>65.9731429</v>
      </c>
      <c r="AR9" s="73">
        <f>AO$6*'2009D'!$G9</f>
        <v>23.6587687</v>
      </c>
      <c r="AS9" s="75"/>
      <c r="AT9" s="72">
        <f>AU$6*'2009D'!$C9</f>
        <v>259331.23200000002</v>
      </c>
      <c r="AU9" s="72">
        <f>AU$6*'2009D'!$D9</f>
        <v>5186.62464</v>
      </c>
      <c r="AV9" s="72">
        <f>AT9+AU9</f>
        <v>264517.85664</v>
      </c>
      <c r="AW9" s="72">
        <f>AU$6*'2009D'!$F9</f>
        <v>859.0742382000001</v>
      </c>
      <c r="AX9" s="73">
        <f>AU$6*'2009D'!$G9</f>
        <v>308.0744346</v>
      </c>
      <c r="AY9" s="75"/>
      <c r="AZ9" s="72">
        <f>BA$6*'2009D'!$C9</f>
        <v>8050.432</v>
      </c>
      <c r="BA9" s="72">
        <f>BA$6*'2009D'!$D9</f>
        <v>161.00863999999999</v>
      </c>
      <c r="BB9" s="72">
        <f>AZ9+BA9</f>
        <v>8211.440639999999</v>
      </c>
      <c r="BC9" s="72">
        <f>BA$6*'2009D'!$F9</f>
        <v>26.668283199999998</v>
      </c>
      <c r="BD9" s="73">
        <f>BA$6*'2009D'!$G9</f>
        <v>9.5635696</v>
      </c>
      <c r="BE9" s="75"/>
      <c r="BF9" s="72">
        <f>BG$6*'2009D'!$C9</f>
        <v>10454.672</v>
      </c>
      <c r="BG9" s="72">
        <f>BG$6*'2009D'!$D9</f>
        <v>209.09344</v>
      </c>
      <c r="BH9" s="72">
        <f>BF9+BG9</f>
        <v>10663.765440000001</v>
      </c>
      <c r="BI9" s="72">
        <f>BG$6*'2009D'!$F9</f>
        <v>34.6326947</v>
      </c>
      <c r="BJ9" s="73">
        <f>BG$6*'2009D'!$G9</f>
        <v>12.4197041</v>
      </c>
      <c r="BK9" s="75"/>
      <c r="BL9" s="72">
        <f>BM$6*'2009D'!$C9</f>
        <v>360.144</v>
      </c>
      <c r="BM9" s="72">
        <f>BM$6*'2009D'!$D9</f>
        <v>7.2028799999999995</v>
      </c>
      <c r="BN9" s="72">
        <f>BL9+BM9</f>
        <v>367.34688</v>
      </c>
      <c r="BO9" s="72">
        <f>BM$6*'2009D'!$F9</f>
        <v>1.1930319</v>
      </c>
      <c r="BP9" s="73">
        <f>BM$6*'2009D'!$G9</f>
        <v>0.4278357</v>
      </c>
      <c r="BQ9" s="75"/>
      <c r="BR9" s="72">
        <f>BS$6*'2009D'!$C9</f>
        <v>395.56800000000004</v>
      </c>
      <c r="BS9" s="72">
        <f>BS$6*'2009D'!$D9</f>
        <v>7.91136</v>
      </c>
      <c r="BT9" s="72">
        <f>BR9+BS9</f>
        <v>403.47936000000004</v>
      </c>
      <c r="BU9" s="72">
        <f>BS$6*'2009D'!$F9</f>
        <v>1.3103793000000001</v>
      </c>
      <c r="BV9" s="73">
        <f>BS$6*'2009D'!$G9</f>
        <v>0.4699179</v>
      </c>
      <c r="BW9" s="75"/>
      <c r="BX9" s="72">
        <f>BY$6*'2009D'!$C9</f>
        <v>33364.16</v>
      </c>
      <c r="BY9" s="72">
        <f>BY$6*'2009D'!$D9</f>
        <v>667.2832000000001</v>
      </c>
      <c r="BZ9" s="72">
        <f>BX9+BY9</f>
        <v>34031.4432</v>
      </c>
      <c r="CA9" s="72">
        <f>BY$6*'2009D'!$F9</f>
        <v>110.52386600000001</v>
      </c>
      <c r="CB9" s="73">
        <f>BY$6*'2009D'!$G9</f>
        <v>39.635198</v>
      </c>
      <c r="CC9" s="75"/>
      <c r="CD9" s="72">
        <f>CE$6*'2009D'!$C9</f>
        <v>2685.008</v>
      </c>
      <c r="CE9" s="72">
        <f>CE$6*'2009D'!$D9</f>
        <v>53.70016</v>
      </c>
      <c r="CF9" s="72">
        <f>CD9+CE9</f>
        <v>2738.7081599999997</v>
      </c>
      <c r="CG9" s="72">
        <f>CE$6*'2009D'!$F9</f>
        <v>8.894498299999999</v>
      </c>
      <c r="CH9" s="73">
        <f>CE$6*'2009D'!$G9</f>
        <v>3.1896749</v>
      </c>
      <c r="CI9" s="75"/>
      <c r="CJ9" s="72">
        <f>CK$6*'2009D'!$C9</f>
        <v>3043.84</v>
      </c>
      <c r="CK9" s="72">
        <f>CK$6*'2009D'!$D9</f>
        <v>60.8768</v>
      </c>
      <c r="CL9" s="72">
        <f>CJ9+CK9</f>
        <v>3104.7168</v>
      </c>
      <c r="CM9" s="72">
        <f>CK$6*'2009D'!$F9</f>
        <v>10.083184</v>
      </c>
      <c r="CN9" s="73">
        <f>CK$6*'2009D'!$G9</f>
        <v>3.615952</v>
      </c>
      <c r="CO9" s="75"/>
      <c r="CP9" s="72">
        <f>CQ$6*'2009D'!$C9</f>
        <v>66192.368</v>
      </c>
      <c r="CQ9" s="72">
        <f>CQ$6*'2009D'!$D9</f>
        <v>1323.84736</v>
      </c>
      <c r="CR9" s="72">
        <f>CP9+CQ9</f>
        <v>67516.21536</v>
      </c>
      <c r="CS9" s="72">
        <f>CQ$6*'2009D'!$F9</f>
        <v>219.2723093</v>
      </c>
      <c r="CT9" s="73">
        <f>CQ$6*'2009D'!$G9</f>
        <v>78.6337079</v>
      </c>
      <c r="CU9" s="75"/>
      <c r="CV9" s="72">
        <f>CW$6*'2009D'!$C9</f>
        <v>41307.008</v>
      </c>
      <c r="CW9" s="72">
        <f>CW$6*'2009D'!$D9</f>
        <v>826.14016</v>
      </c>
      <c r="CX9" s="72">
        <f>CV9+CW9</f>
        <v>42133.148160000004</v>
      </c>
      <c r="CY9" s="72">
        <f>CW$6*'2009D'!$F9</f>
        <v>136.8357608</v>
      </c>
      <c r="CZ9" s="73">
        <f>CW$6*'2009D'!$G9</f>
        <v>49.0709624</v>
      </c>
      <c r="DA9" s="75"/>
      <c r="DB9" s="72">
        <f>DC$6*'2009D'!$C9</f>
        <v>1305.44</v>
      </c>
      <c r="DC9" s="72">
        <f>DC$6*'2009D'!$D9</f>
        <v>26.108800000000002</v>
      </c>
      <c r="DD9" s="72">
        <f>DB9+DC9</f>
        <v>1331.5488</v>
      </c>
      <c r="DE9" s="72">
        <f>DC$6*'2009D'!$F9</f>
        <v>4.324469000000001</v>
      </c>
      <c r="DF9" s="73">
        <f>DC$6*'2009D'!$G9</f>
        <v>1.550807</v>
      </c>
      <c r="DG9" s="75"/>
      <c r="DH9" s="72">
        <f>DI$6*'2009D'!$C9</f>
        <v>5654.72</v>
      </c>
      <c r="DI9" s="72">
        <f>DI$6*'2009D'!$D9</f>
        <v>113.09440000000001</v>
      </c>
      <c r="DJ9" s="72">
        <f>DH9+DI9</f>
        <v>5767.8144</v>
      </c>
      <c r="DK9" s="72">
        <f>DI$6*'2009D'!$F9</f>
        <v>18.732122</v>
      </c>
      <c r="DL9" s="73">
        <f>DI$6*'2009D'!$G9</f>
        <v>6.717566000000001</v>
      </c>
      <c r="DM9" s="75"/>
      <c r="DN9" s="72">
        <f>DO$6*'2009D'!$C9</f>
        <v>7486.928</v>
      </c>
      <c r="DO9" s="72">
        <f>DO$6*'2009D'!$D9</f>
        <v>149.73856</v>
      </c>
      <c r="DP9" s="72">
        <f>DN9+DO9</f>
        <v>7636.66656</v>
      </c>
      <c r="DQ9" s="72">
        <f>DO$6*'2009D'!$F9</f>
        <v>24.8015903</v>
      </c>
      <c r="DR9" s="73">
        <f>DO$6*'2009D'!$G9</f>
        <v>8.8941509</v>
      </c>
      <c r="DS9" s="75"/>
      <c r="DT9" s="72">
        <f>DU$6*'2009D'!$C9</f>
        <v>44814.64</v>
      </c>
      <c r="DU9" s="72">
        <f>DU$6*'2009D'!$D9</f>
        <v>896.2927999999999</v>
      </c>
      <c r="DV9" s="72">
        <f>DT9+DU9</f>
        <v>45710.9328</v>
      </c>
      <c r="DW9" s="72">
        <f>DU$6*'2009D'!$F9</f>
        <v>148.45532649999998</v>
      </c>
      <c r="DX9" s="73">
        <f>DU$6*'2009D'!$G9</f>
        <v>53.2378795</v>
      </c>
      <c r="DY9" s="75"/>
      <c r="DZ9" s="72">
        <f>EA$6*'2009D'!$C9</f>
        <v>11247.12</v>
      </c>
      <c r="EA9" s="72">
        <f>EA$6*'2009D'!$D9</f>
        <v>224.94240000000002</v>
      </c>
      <c r="EB9" s="72">
        <f>DZ9+EA9</f>
        <v>11472.0624</v>
      </c>
      <c r="EC9" s="72">
        <f>EA$6*'2009D'!$F9</f>
        <v>37.257799500000004</v>
      </c>
      <c r="ED9" s="73">
        <f>EA$6*'2009D'!$G9</f>
        <v>13.3610985</v>
      </c>
      <c r="EE9" s="75"/>
      <c r="EF9" s="72">
        <f>EG$6*'2009D'!$C9</f>
        <v>29822.416</v>
      </c>
      <c r="EG9" s="72">
        <f>EG$6*'2009D'!$D9</f>
        <v>596.44832</v>
      </c>
      <c r="EH9" s="72">
        <f>EF9+EG9</f>
        <v>30418.86432</v>
      </c>
      <c r="EI9" s="72">
        <f>EG$6*'2009D'!$F9</f>
        <v>98.7912991</v>
      </c>
      <c r="EJ9" s="73">
        <f>EG$6*'2009D'!$G9</f>
        <v>35.4277573</v>
      </c>
      <c r="EK9" s="75"/>
      <c r="EL9" s="72">
        <f>EM$6*'2009D'!$C9</f>
        <v>587.776</v>
      </c>
      <c r="EM9" s="72">
        <f>EM$6*'2009D'!$D9</f>
        <v>11.755519999999999</v>
      </c>
      <c r="EN9" s="72">
        <f>EL9+EM9</f>
        <v>599.53152</v>
      </c>
      <c r="EO9" s="72">
        <f>EM$6*'2009D'!$F9</f>
        <v>1.9470976</v>
      </c>
      <c r="EP9" s="73">
        <f>EM$6*'2009D'!$G9</f>
        <v>0.6982528</v>
      </c>
      <c r="EQ9" s="75"/>
      <c r="ER9" s="72">
        <f>ES$6*'2009D'!$C9</f>
        <v>17640.496</v>
      </c>
      <c r="ES9" s="72">
        <f>ES$6*'2009D'!$D9</f>
        <v>352.80992</v>
      </c>
      <c r="ET9" s="72">
        <f>ER9+ES9</f>
        <v>17993.30592</v>
      </c>
      <c r="EU9" s="72">
        <f>ES$6*'2009D'!$F9</f>
        <v>58.4368321</v>
      </c>
      <c r="EV9" s="73">
        <f>ES$6*'2009D'!$G9</f>
        <v>20.9561563</v>
      </c>
      <c r="EW9" s="75"/>
      <c r="EX9" s="72">
        <f>EY$6*'2009D'!$C9</f>
        <v>47374.352</v>
      </c>
      <c r="EY9" s="72">
        <f>EY$6*'2009D'!$D9</f>
        <v>947.48704</v>
      </c>
      <c r="EZ9" s="72">
        <f>EX9+EY9</f>
        <v>48321.83904</v>
      </c>
      <c r="FA9" s="72">
        <f>EY$6*'2009D'!$F9</f>
        <v>156.9347627</v>
      </c>
      <c r="FB9" s="73">
        <f>EY$6*'2009D'!$G9</f>
        <v>56.2787081</v>
      </c>
      <c r="FC9" s="75"/>
      <c r="FD9" s="72">
        <f>FE$6*'2009D'!$C9</f>
        <v>18213.184</v>
      </c>
      <c r="FE9" s="72">
        <f>FE$6*'2009D'!$D9</f>
        <v>364.26368</v>
      </c>
      <c r="FF9" s="72">
        <f>FD9+FE9</f>
        <v>18577.44768</v>
      </c>
      <c r="FG9" s="72">
        <f>FE$6*'2009D'!$F9</f>
        <v>60.333948400000004</v>
      </c>
      <c r="FH9" s="73">
        <f>FE$6*'2009D'!$G9</f>
        <v>21.6364852</v>
      </c>
      <c r="FI9" s="75"/>
      <c r="FJ9" s="72">
        <f>FK$6*'2009D'!$C9</f>
        <v>128827.248</v>
      </c>
      <c r="FK9" s="72">
        <f>FK$6*'2009D'!$D9</f>
        <v>2576.54496</v>
      </c>
      <c r="FL9" s="72">
        <f>FJ9+FK9</f>
        <v>131403.79296000002</v>
      </c>
      <c r="FM9" s="72">
        <f>FK$6*'2009D'!$F9</f>
        <v>426.75989730000003</v>
      </c>
      <c r="FN9" s="73">
        <f>FK$6*'2009D'!$G9</f>
        <v>153.0412719</v>
      </c>
      <c r="FO9" s="75"/>
      <c r="FP9" s="72">
        <f>FQ$6*'2009D'!$C9</f>
        <v>43633.840000000004</v>
      </c>
      <c r="FQ9" s="72">
        <f>FQ$6*'2009D'!$D9</f>
        <v>872.6768000000001</v>
      </c>
      <c r="FR9" s="72">
        <f>FP9+FQ9</f>
        <v>44506.516800000005</v>
      </c>
      <c r="FS9" s="72">
        <f>FQ$6*'2009D'!$F9</f>
        <v>144.5437465</v>
      </c>
      <c r="FT9" s="73">
        <f>FQ$6*'2009D'!$G9</f>
        <v>51.835139500000004</v>
      </c>
      <c r="FU9" s="75"/>
      <c r="FV9" s="72">
        <f>FW$6*'2009D'!$C9</f>
        <v>9429.344</v>
      </c>
      <c r="FW9" s="72">
        <f>FW$6*'2009D'!$D9</f>
        <v>188.58687999999998</v>
      </c>
      <c r="FX9" s="72">
        <f>FV9+FW9</f>
        <v>9617.93088</v>
      </c>
      <c r="FY9" s="72">
        <f>FW$6*'2009D'!$F9</f>
        <v>31.2361394</v>
      </c>
      <c r="FZ9" s="73">
        <f>FW$6*'2009D'!$G9</f>
        <v>11.201658199999999</v>
      </c>
      <c r="GA9" s="75"/>
      <c r="GB9" s="72">
        <f>GC$6*'2009D'!$C9</f>
        <v>24866.336</v>
      </c>
      <c r="GC9" s="72">
        <f>GC$6*'2009D'!$D9</f>
        <v>497.32671999999997</v>
      </c>
      <c r="GD9" s="72">
        <f>GB9+GC9</f>
        <v>25363.66272</v>
      </c>
      <c r="GE9" s="72">
        <f>GC$6*'2009D'!$F9</f>
        <v>82.3735286</v>
      </c>
      <c r="GF9" s="73">
        <f>GC$6*'2009D'!$G9</f>
        <v>29.540145799999998</v>
      </c>
      <c r="GG9" s="75"/>
      <c r="GH9" s="72">
        <f>GI$6*'2009D'!$C9</f>
        <v>135.792</v>
      </c>
      <c r="GI9" s="72">
        <f>GI$6*'2009D'!$D9</f>
        <v>2.7158399999999996</v>
      </c>
      <c r="GJ9" s="72">
        <f>GH9+GI9</f>
        <v>138.50784</v>
      </c>
      <c r="GK9" s="72">
        <f>GI$6*'2009D'!$F9</f>
        <v>0.44983169999999995</v>
      </c>
      <c r="GL9" s="73">
        <f>GI$6*'2009D'!$G9</f>
        <v>0.1613151</v>
      </c>
      <c r="GM9" s="75"/>
      <c r="GN9" s="75"/>
      <c r="GO9" s="75"/>
      <c r="GP9" s="75"/>
      <c r="GQ9" s="75"/>
      <c r="GR9" s="75"/>
      <c r="GS9" s="55"/>
      <c r="GT9" s="55"/>
      <c r="GU9" s="55"/>
      <c r="GV9" s="55"/>
      <c r="GW9" s="55"/>
      <c r="GX9" s="55"/>
      <c r="GY9" s="55"/>
      <c r="GZ9" s="55"/>
      <c r="HA9" s="55"/>
      <c r="HB9" s="55"/>
      <c r="HC9" s="55"/>
      <c r="HD9" s="55"/>
    </row>
    <row r="10" spans="1:212" s="57" customFormat="1" ht="12.75" hidden="1">
      <c r="A10" s="56">
        <v>44105</v>
      </c>
      <c r="C10" s="55"/>
      <c r="D10" s="72"/>
      <c r="E10" s="74">
        <v>0</v>
      </c>
      <c r="F10" s="72">
        <v>0</v>
      </c>
      <c r="G10" s="72"/>
      <c r="H10" s="73"/>
      <c r="I10" s="75"/>
      <c r="J10" s="72"/>
      <c r="K10" s="72">
        <v>0</v>
      </c>
      <c r="L10" s="72">
        <v>0</v>
      </c>
      <c r="M10" s="72"/>
      <c r="N10" s="73"/>
      <c r="O10" s="75"/>
      <c r="P10" s="72"/>
      <c r="Q10" s="72">
        <v>0</v>
      </c>
      <c r="R10" s="72">
        <v>0</v>
      </c>
      <c r="S10" s="72"/>
      <c r="T10" s="73"/>
      <c r="U10" s="75"/>
      <c r="V10" s="72"/>
      <c r="W10" s="72">
        <v>0</v>
      </c>
      <c r="X10" s="72">
        <v>0</v>
      </c>
      <c r="Y10" s="72"/>
      <c r="Z10" s="73"/>
      <c r="AA10" s="75"/>
      <c r="AB10" s="72"/>
      <c r="AC10" s="72">
        <v>0</v>
      </c>
      <c r="AD10" s="72">
        <v>0</v>
      </c>
      <c r="AE10" s="72"/>
      <c r="AF10" s="73"/>
      <c r="AG10" s="75"/>
      <c r="AH10" s="72"/>
      <c r="AI10" s="72">
        <v>0</v>
      </c>
      <c r="AJ10" s="72">
        <v>0</v>
      </c>
      <c r="AK10" s="72"/>
      <c r="AL10" s="73"/>
      <c r="AM10" s="75"/>
      <c r="AN10" s="72"/>
      <c r="AO10" s="72">
        <v>0</v>
      </c>
      <c r="AP10" s="72">
        <v>0</v>
      </c>
      <c r="AQ10" s="72"/>
      <c r="AR10" s="73"/>
      <c r="AS10" s="75"/>
      <c r="AT10" s="72"/>
      <c r="AU10" s="72">
        <v>0</v>
      </c>
      <c r="AV10" s="72">
        <v>0</v>
      </c>
      <c r="AW10" s="72"/>
      <c r="AX10" s="73"/>
      <c r="AY10" s="75"/>
      <c r="AZ10" s="72"/>
      <c r="BA10" s="72">
        <v>0</v>
      </c>
      <c r="BB10" s="72">
        <v>0</v>
      </c>
      <c r="BC10" s="72"/>
      <c r="BD10" s="73"/>
      <c r="BE10" s="75"/>
      <c r="BF10" s="72"/>
      <c r="BG10" s="72">
        <v>0</v>
      </c>
      <c r="BH10" s="72">
        <v>0</v>
      </c>
      <c r="BI10" s="72"/>
      <c r="BJ10" s="73"/>
      <c r="BK10" s="75"/>
      <c r="BL10" s="72"/>
      <c r="BM10" s="72">
        <v>0</v>
      </c>
      <c r="BN10" s="72">
        <v>0</v>
      </c>
      <c r="BO10" s="72"/>
      <c r="BP10" s="73"/>
      <c r="BQ10" s="75"/>
      <c r="BR10" s="72"/>
      <c r="BS10" s="72">
        <v>0</v>
      </c>
      <c r="BT10" s="72">
        <v>0</v>
      </c>
      <c r="BU10" s="72"/>
      <c r="BV10" s="73"/>
      <c r="BW10" s="75"/>
      <c r="BX10" s="72"/>
      <c r="BY10" s="72">
        <v>0</v>
      </c>
      <c r="BZ10" s="72">
        <v>0</v>
      </c>
      <c r="CA10" s="72"/>
      <c r="CB10" s="73"/>
      <c r="CC10" s="75"/>
      <c r="CD10" s="72"/>
      <c r="CE10" s="72">
        <v>0</v>
      </c>
      <c r="CF10" s="72">
        <v>0</v>
      </c>
      <c r="CG10" s="72"/>
      <c r="CH10" s="73"/>
      <c r="CI10" s="75"/>
      <c r="CJ10" s="72"/>
      <c r="CK10" s="72">
        <v>0</v>
      </c>
      <c r="CL10" s="72">
        <v>0</v>
      </c>
      <c r="CM10" s="72"/>
      <c r="CN10" s="73"/>
      <c r="CO10" s="75"/>
      <c r="CP10" s="72"/>
      <c r="CQ10" s="72">
        <v>0</v>
      </c>
      <c r="CR10" s="72">
        <v>0</v>
      </c>
      <c r="CS10" s="72"/>
      <c r="CT10" s="73"/>
      <c r="CU10" s="75"/>
      <c r="CV10" s="72"/>
      <c r="CW10" s="72">
        <v>0</v>
      </c>
      <c r="CX10" s="72">
        <v>0</v>
      </c>
      <c r="CY10" s="72"/>
      <c r="CZ10" s="73"/>
      <c r="DA10" s="75"/>
      <c r="DB10" s="72"/>
      <c r="DC10" s="72">
        <v>0</v>
      </c>
      <c r="DD10" s="72">
        <v>0</v>
      </c>
      <c r="DE10" s="72"/>
      <c r="DF10" s="73"/>
      <c r="DG10" s="75"/>
      <c r="DH10" s="72"/>
      <c r="DI10" s="72">
        <v>0</v>
      </c>
      <c r="DJ10" s="72">
        <v>0</v>
      </c>
      <c r="DK10" s="72"/>
      <c r="DL10" s="73"/>
      <c r="DM10" s="75"/>
      <c r="DN10" s="72"/>
      <c r="DO10" s="72">
        <v>0</v>
      </c>
      <c r="DP10" s="72">
        <v>0</v>
      </c>
      <c r="DQ10" s="72"/>
      <c r="DR10" s="73"/>
      <c r="DS10" s="75"/>
      <c r="DT10" s="72"/>
      <c r="DU10" s="72">
        <v>0</v>
      </c>
      <c r="DV10" s="72">
        <v>0</v>
      </c>
      <c r="DW10" s="72"/>
      <c r="DX10" s="73"/>
      <c r="DY10" s="75"/>
      <c r="DZ10" s="72"/>
      <c r="EA10" s="72">
        <v>0</v>
      </c>
      <c r="EB10" s="72">
        <v>0</v>
      </c>
      <c r="EC10" s="72"/>
      <c r="ED10" s="73"/>
      <c r="EE10" s="75"/>
      <c r="EF10" s="72"/>
      <c r="EG10" s="72">
        <v>0</v>
      </c>
      <c r="EH10" s="72">
        <v>0</v>
      </c>
      <c r="EI10" s="72"/>
      <c r="EJ10" s="73"/>
      <c r="EK10" s="75"/>
      <c r="EL10" s="72"/>
      <c r="EM10" s="72">
        <v>0</v>
      </c>
      <c r="EN10" s="72">
        <v>0</v>
      </c>
      <c r="EO10" s="72"/>
      <c r="EP10" s="73"/>
      <c r="EQ10" s="75"/>
      <c r="ER10" s="72"/>
      <c r="ES10" s="72">
        <v>0</v>
      </c>
      <c r="ET10" s="72">
        <v>0</v>
      </c>
      <c r="EU10" s="72"/>
      <c r="EV10" s="73"/>
      <c r="EW10" s="75"/>
      <c r="EX10" s="72"/>
      <c r="EY10" s="72">
        <v>0</v>
      </c>
      <c r="EZ10" s="72">
        <v>0</v>
      </c>
      <c r="FA10" s="72"/>
      <c r="FB10" s="73"/>
      <c r="FC10" s="75"/>
      <c r="FD10" s="72"/>
      <c r="FE10" s="72">
        <v>0</v>
      </c>
      <c r="FF10" s="72">
        <v>0</v>
      </c>
      <c r="FG10" s="72"/>
      <c r="FH10" s="73"/>
      <c r="FI10" s="75"/>
      <c r="FJ10" s="72"/>
      <c r="FK10" s="72">
        <v>0</v>
      </c>
      <c r="FL10" s="72">
        <v>0</v>
      </c>
      <c r="FM10" s="72"/>
      <c r="FN10" s="73"/>
      <c r="FO10" s="75"/>
      <c r="FP10" s="72"/>
      <c r="FQ10" s="72">
        <v>0</v>
      </c>
      <c r="FR10" s="72">
        <v>0</v>
      </c>
      <c r="FS10" s="72"/>
      <c r="FT10" s="73"/>
      <c r="FU10" s="75"/>
      <c r="FV10" s="72"/>
      <c r="FW10" s="72">
        <v>0</v>
      </c>
      <c r="FX10" s="72">
        <v>0</v>
      </c>
      <c r="FY10" s="72"/>
      <c r="FZ10" s="73"/>
      <c r="GA10" s="75"/>
      <c r="GB10" s="72"/>
      <c r="GC10" s="72">
        <v>0</v>
      </c>
      <c r="GD10" s="72">
        <v>0</v>
      </c>
      <c r="GE10" s="72"/>
      <c r="GF10" s="73"/>
      <c r="GG10" s="75"/>
      <c r="GH10" s="72"/>
      <c r="GI10" s="72">
        <v>0</v>
      </c>
      <c r="GJ10" s="72">
        <v>0</v>
      </c>
      <c r="GK10" s="72"/>
      <c r="GL10" s="73"/>
      <c r="GM10" s="75"/>
      <c r="GN10" s="75"/>
      <c r="GO10" s="75"/>
      <c r="GP10" s="75"/>
      <c r="GQ10" s="75"/>
      <c r="GR10" s="75"/>
      <c r="GS10" s="55"/>
      <c r="GT10" s="55"/>
      <c r="GU10" s="55"/>
      <c r="GV10" s="55"/>
      <c r="GW10" s="55"/>
      <c r="GX10" s="55"/>
      <c r="GY10" s="55"/>
      <c r="GZ10" s="55"/>
      <c r="HA10" s="55"/>
      <c r="HB10" s="55"/>
      <c r="HC10" s="55"/>
      <c r="HD10" s="55"/>
    </row>
    <row r="11" spans="1:212" s="57" customFormat="1" ht="12.75" hidden="1">
      <c r="A11" s="56">
        <v>44287</v>
      </c>
      <c r="C11" s="55"/>
      <c r="D11" s="72">
        <v>0</v>
      </c>
      <c r="E11" s="74">
        <v>0</v>
      </c>
      <c r="F11" s="72">
        <v>0</v>
      </c>
      <c r="G11" s="72"/>
      <c r="H11" s="73"/>
      <c r="I11" s="75"/>
      <c r="J11" s="72">
        <v>0</v>
      </c>
      <c r="K11" s="72">
        <v>0</v>
      </c>
      <c r="L11" s="72">
        <v>0</v>
      </c>
      <c r="M11" s="72"/>
      <c r="N11" s="73"/>
      <c r="O11" s="75"/>
      <c r="P11" s="72">
        <v>0</v>
      </c>
      <c r="Q11" s="72">
        <v>0</v>
      </c>
      <c r="R11" s="72">
        <v>0</v>
      </c>
      <c r="S11" s="72"/>
      <c r="T11" s="73"/>
      <c r="U11" s="75"/>
      <c r="V11" s="72">
        <v>0</v>
      </c>
      <c r="W11" s="72">
        <v>0</v>
      </c>
      <c r="X11" s="72">
        <v>0</v>
      </c>
      <c r="Y11" s="72"/>
      <c r="Z11" s="73"/>
      <c r="AA11" s="75"/>
      <c r="AB11" s="72">
        <v>0</v>
      </c>
      <c r="AC11" s="72">
        <v>0</v>
      </c>
      <c r="AD11" s="72">
        <v>0</v>
      </c>
      <c r="AE11" s="72"/>
      <c r="AF11" s="73"/>
      <c r="AG11" s="75"/>
      <c r="AH11" s="72">
        <v>0</v>
      </c>
      <c r="AI11" s="72">
        <v>0</v>
      </c>
      <c r="AJ11" s="72">
        <v>0</v>
      </c>
      <c r="AK11" s="72"/>
      <c r="AL11" s="73"/>
      <c r="AM11" s="75"/>
      <c r="AN11" s="72">
        <v>0</v>
      </c>
      <c r="AO11" s="72">
        <v>0</v>
      </c>
      <c r="AP11" s="72">
        <v>0</v>
      </c>
      <c r="AQ11" s="72"/>
      <c r="AR11" s="73"/>
      <c r="AS11" s="75"/>
      <c r="AT11" s="72">
        <v>0</v>
      </c>
      <c r="AU11" s="72">
        <v>0</v>
      </c>
      <c r="AV11" s="72">
        <v>0</v>
      </c>
      <c r="AW11" s="72"/>
      <c r="AX11" s="73"/>
      <c r="AY11" s="75"/>
      <c r="AZ11" s="72">
        <v>0</v>
      </c>
      <c r="BA11" s="72">
        <v>0</v>
      </c>
      <c r="BB11" s="72">
        <v>0</v>
      </c>
      <c r="BC11" s="72"/>
      <c r="BD11" s="73"/>
      <c r="BE11" s="75"/>
      <c r="BF11" s="72">
        <v>0</v>
      </c>
      <c r="BG11" s="72">
        <v>0</v>
      </c>
      <c r="BH11" s="72">
        <v>0</v>
      </c>
      <c r="BI11" s="72"/>
      <c r="BJ11" s="73"/>
      <c r="BK11" s="75"/>
      <c r="BL11" s="72">
        <v>0</v>
      </c>
      <c r="BM11" s="72">
        <v>0</v>
      </c>
      <c r="BN11" s="72">
        <v>0</v>
      </c>
      <c r="BO11" s="72"/>
      <c r="BP11" s="73"/>
      <c r="BQ11" s="75"/>
      <c r="BR11" s="72">
        <v>0</v>
      </c>
      <c r="BS11" s="72">
        <v>0</v>
      </c>
      <c r="BT11" s="72">
        <v>0</v>
      </c>
      <c r="BU11" s="72"/>
      <c r="BV11" s="73"/>
      <c r="BW11" s="75"/>
      <c r="BX11" s="72">
        <v>0</v>
      </c>
      <c r="BY11" s="72">
        <v>0</v>
      </c>
      <c r="BZ11" s="72">
        <v>0</v>
      </c>
      <c r="CA11" s="72"/>
      <c r="CB11" s="73"/>
      <c r="CC11" s="75"/>
      <c r="CD11" s="72">
        <v>0</v>
      </c>
      <c r="CE11" s="72">
        <v>0</v>
      </c>
      <c r="CF11" s="72">
        <v>0</v>
      </c>
      <c r="CG11" s="72"/>
      <c r="CH11" s="73"/>
      <c r="CI11" s="75"/>
      <c r="CJ11" s="72">
        <v>0</v>
      </c>
      <c r="CK11" s="72">
        <v>0</v>
      </c>
      <c r="CL11" s="72">
        <v>0</v>
      </c>
      <c r="CM11" s="72"/>
      <c r="CN11" s="73"/>
      <c r="CO11" s="75"/>
      <c r="CP11" s="72">
        <v>0</v>
      </c>
      <c r="CQ11" s="72">
        <v>0</v>
      </c>
      <c r="CR11" s="72">
        <v>0</v>
      </c>
      <c r="CS11" s="72"/>
      <c r="CT11" s="73"/>
      <c r="CU11" s="75"/>
      <c r="CV11" s="72">
        <v>0</v>
      </c>
      <c r="CW11" s="72">
        <v>0</v>
      </c>
      <c r="CX11" s="72">
        <v>0</v>
      </c>
      <c r="CY11" s="72"/>
      <c r="CZ11" s="73"/>
      <c r="DA11" s="75"/>
      <c r="DB11" s="72">
        <v>0</v>
      </c>
      <c r="DC11" s="72">
        <v>0</v>
      </c>
      <c r="DD11" s="72">
        <v>0</v>
      </c>
      <c r="DE11" s="72"/>
      <c r="DF11" s="73"/>
      <c r="DG11" s="75"/>
      <c r="DH11" s="72">
        <v>0</v>
      </c>
      <c r="DI11" s="72">
        <v>0</v>
      </c>
      <c r="DJ11" s="72">
        <v>0</v>
      </c>
      <c r="DK11" s="72"/>
      <c r="DL11" s="73"/>
      <c r="DM11" s="75"/>
      <c r="DN11" s="72">
        <v>0</v>
      </c>
      <c r="DO11" s="72">
        <v>0</v>
      </c>
      <c r="DP11" s="72">
        <v>0</v>
      </c>
      <c r="DQ11" s="72"/>
      <c r="DR11" s="73"/>
      <c r="DS11" s="75"/>
      <c r="DT11" s="72">
        <v>0</v>
      </c>
      <c r="DU11" s="72">
        <v>0</v>
      </c>
      <c r="DV11" s="72">
        <v>0</v>
      </c>
      <c r="DW11" s="72"/>
      <c r="DX11" s="73"/>
      <c r="DY11" s="75"/>
      <c r="DZ11" s="72">
        <v>0</v>
      </c>
      <c r="EA11" s="72">
        <v>0</v>
      </c>
      <c r="EB11" s="72">
        <v>0</v>
      </c>
      <c r="EC11" s="72"/>
      <c r="ED11" s="73"/>
      <c r="EE11" s="75"/>
      <c r="EF11" s="72">
        <v>0</v>
      </c>
      <c r="EG11" s="72">
        <v>0</v>
      </c>
      <c r="EH11" s="72">
        <v>0</v>
      </c>
      <c r="EI11" s="72"/>
      <c r="EJ11" s="73"/>
      <c r="EK11" s="75"/>
      <c r="EL11" s="72">
        <v>0</v>
      </c>
      <c r="EM11" s="72">
        <v>0</v>
      </c>
      <c r="EN11" s="72">
        <v>0</v>
      </c>
      <c r="EO11" s="72"/>
      <c r="EP11" s="73"/>
      <c r="EQ11" s="75"/>
      <c r="ER11" s="72">
        <v>0</v>
      </c>
      <c r="ES11" s="72">
        <v>0</v>
      </c>
      <c r="ET11" s="72">
        <v>0</v>
      </c>
      <c r="EU11" s="72"/>
      <c r="EV11" s="73"/>
      <c r="EW11" s="75"/>
      <c r="EX11" s="72">
        <v>0</v>
      </c>
      <c r="EY11" s="72">
        <v>0</v>
      </c>
      <c r="EZ11" s="72">
        <v>0</v>
      </c>
      <c r="FA11" s="72"/>
      <c r="FB11" s="73"/>
      <c r="FC11" s="75"/>
      <c r="FD11" s="72">
        <v>0</v>
      </c>
      <c r="FE11" s="72">
        <v>0</v>
      </c>
      <c r="FF11" s="72">
        <v>0</v>
      </c>
      <c r="FG11" s="72"/>
      <c r="FH11" s="73"/>
      <c r="FI11" s="75"/>
      <c r="FJ11" s="72">
        <v>0</v>
      </c>
      <c r="FK11" s="72">
        <v>0</v>
      </c>
      <c r="FL11" s="72">
        <v>0</v>
      </c>
      <c r="FM11" s="72"/>
      <c r="FN11" s="73"/>
      <c r="FO11" s="75"/>
      <c r="FP11" s="72">
        <v>0</v>
      </c>
      <c r="FQ11" s="72">
        <v>0</v>
      </c>
      <c r="FR11" s="72">
        <v>0</v>
      </c>
      <c r="FS11" s="72"/>
      <c r="FT11" s="73"/>
      <c r="FU11" s="75"/>
      <c r="FV11" s="72">
        <v>0</v>
      </c>
      <c r="FW11" s="72">
        <v>0</v>
      </c>
      <c r="FX11" s="72">
        <v>0</v>
      </c>
      <c r="FY11" s="72"/>
      <c r="FZ11" s="73"/>
      <c r="GA11" s="75"/>
      <c r="GB11" s="72">
        <v>0</v>
      </c>
      <c r="GC11" s="72">
        <v>0</v>
      </c>
      <c r="GD11" s="72">
        <v>0</v>
      </c>
      <c r="GE11" s="72"/>
      <c r="GF11" s="73"/>
      <c r="GG11" s="75"/>
      <c r="GH11" s="72">
        <v>0</v>
      </c>
      <c r="GI11" s="72">
        <v>0</v>
      </c>
      <c r="GJ11" s="72">
        <v>0</v>
      </c>
      <c r="GK11" s="72"/>
      <c r="GL11" s="73"/>
      <c r="GM11" s="75"/>
      <c r="GN11" s="75"/>
      <c r="GO11" s="75"/>
      <c r="GP11" s="75"/>
      <c r="GQ11" s="75"/>
      <c r="GR11" s="75"/>
      <c r="GS11" s="55"/>
      <c r="GT11" s="55"/>
      <c r="GU11" s="55"/>
      <c r="GV11" s="55"/>
      <c r="GW11" s="55"/>
      <c r="GX11" s="55"/>
      <c r="GY11" s="55"/>
      <c r="GZ11" s="55"/>
      <c r="HA11" s="55"/>
      <c r="HB11" s="55"/>
      <c r="HC11" s="55"/>
      <c r="HD11" s="55"/>
    </row>
    <row r="12" spans="1:212" s="57" customFormat="1" ht="12.75" hidden="1">
      <c r="A12" s="56">
        <v>44470</v>
      </c>
      <c r="C12" s="55"/>
      <c r="D12" s="72"/>
      <c r="E12" s="74">
        <v>0</v>
      </c>
      <c r="F12" s="72">
        <v>0</v>
      </c>
      <c r="G12" s="72"/>
      <c r="H12" s="73"/>
      <c r="I12" s="75"/>
      <c r="J12" s="72"/>
      <c r="K12" s="72">
        <v>0</v>
      </c>
      <c r="L12" s="72">
        <v>0</v>
      </c>
      <c r="M12" s="72"/>
      <c r="N12" s="73"/>
      <c r="O12" s="75"/>
      <c r="P12" s="72"/>
      <c r="Q12" s="72">
        <v>0</v>
      </c>
      <c r="R12" s="72">
        <v>0</v>
      </c>
      <c r="S12" s="72"/>
      <c r="T12" s="73"/>
      <c r="U12" s="75"/>
      <c r="V12" s="72"/>
      <c r="W12" s="72">
        <v>0</v>
      </c>
      <c r="X12" s="72">
        <v>0</v>
      </c>
      <c r="Y12" s="72"/>
      <c r="Z12" s="73"/>
      <c r="AA12" s="75"/>
      <c r="AB12" s="72"/>
      <c r="AC12" s="72">
        <v>0</v>
      </c>
      <c r="AD12" s="72">
        <v>0</v>
      </c>
      <c r="AE12" s="72"/>
      <c r="AF12" s="73"/>
      <c r="AG12" s="75"/>
      <c r="AH12" s="72"/>
      <c r="AI12" s="72">
        <v>0</v>
      </c>
      <c r="AJ12" s="72">
        <v>0</v>
      </c>
      <c r="AK12" s="72"/>
      <c r="AL12" s="73"/>
      <c r="AM12" s="75"/>
      <c r="AN12" s="72"/>
      <c r="AO12" s="72">
        <v>0</v>
      </c>
      <c r="AP12" s="72">
        <v>0</v>
      </c>
      <c r="AQ12" s="72"/>
      <c r="AR12" s="73"/>
      <c r="AS12" s="75"/>
      <c r="AT12" s="72"/>
      <c r="AU12" s="72">
        <v>0</v>
      </c>
      <c r="AV12" s="72">
        <v>0</v>
      </c>
      <c r="AW12" s="72"/>
      <c r="AX12" s="73"/>
      <c r="AY12" s="75"/>
      <c r="AZ12" s="72"/>
      <c r="BA12" s="72">
        <v>0</v>
      </c>
      <c r="BB12" s="72">
        <v>0</v>
      </c>
      <c r="BC12" s="72"/>
      <c r="BD12" s="73"/>
      <c r="BE12" s="75"/>
      <c r="BF12" s="72"/>
      <c r="BG12" s="72">
        <v>0</v>
      </c>
      <c r="BH12" s="72">
        <v>0</v>
      </c>
      <c r="BI12" s="72"/>
      <c r="BJ12" s="73"/>
      <c r="BK12" s="75"/>
      <c r="BL12" s="72"/>
      <c r="BM12" s="72">
        <v>0</v>
      </c>
      <c r="BN12" s="72">
        <v>0</v>
      </c>
      <c r="BO12" s="72"/>
      <c r="BP12" s="73"/>
      <c r="BQ12" s="75"/>
      <c r="BR12" s="72"/>
      <c r="BS12" s="72">
        <v>0</v>
      </c>
      <c r="BT12" s="72">
        <v>0</v>
      </c>
      <c r="BU12" s="72"/>
      <c r="BV12" s="73"/>
      <c r="BW12" s="75"/>
      <c r="BX12" s="72"/>
      <c r="BY12" s="72">
        <v>0</v>
      </c>
      <c r="BZ12" s="72">
        <v>0</v>
      </c>
      <c r="CA12" s="72"/>
      <c r="CB12" s="73"/>
      <c r="CC12" s="75"/>
      <c r="CD12" s="72"/>
      <c r="CE12" s="72">
        <v>0</v>
      </c>
      <c r="CF12" s="72">
        <v>0</v>
      </c>
      <c r="CG12" s="72"/>
      <c r="CH12" s="73"/>
      <c r="CI12" s="75"/>
      <c r="CJ12" s="72"/>
      <c r="CK12" s="72">
        <v>0</v>
      </c>
      <c r="CL12" s="72">
        <v>0</v>
      </c>
      <c r="CM12" s="72"/>
      <c r="CN12" s="73"/>
      <c r="CO12" s="75"/>
      <c r="CP12" s="72"/>
      <c r="CQ12" s="72">
        <v>0</v>
      </c>
      <c r="CR12" s="72">
        <v>0</v>
      </c>
      <c r="CS12" s="72"/>
      <c r="CT12" s="73"/>
      <c r="CU12" s="75"/>
      <c r="CV12" s="72"/>
      <c r="CW12" s="72">
        <v>0</v>
      </c>
      <c r="CX12" s="72">
        <v>0</v>
      </c>
      <c r="CY12" s="72"/>
      <c r="CZ12" s="73"/>
      <c r="DA12" s="75"/>
      <c r="DB12" s="72"/>
      <c r="DC12" s="72">
        <v>0</v>
      </c>
      <c r="DD12" s="72">
        <v>0</v>
      </c>
      <c r="DE12" s="72"/>
      <c r="DF12" s="73"/>
      <c r="DG12" s="75"/>
      <c r="DH12" s="72"/>
      <c r="DI12" s="72">
        <v>0</v>
      </c>
      <c r="DJ12" s="72">
        <v>0</v>
      </c>
      <c r="DK12" s="72"/>
      <c r="DL12" s="73"/>
      <c r="DM12" s="75"/>
      <c r="DN12" s="72"/>
      <c r="DO12" s="72">
        <v>0</v>
      </c>
      <c r="DP12" s="72">
        <v>0</v>
      </c>
      <c r="DQ12" s="72"/>
      <c r="DR12" s="73"/>
      <c r="DS12" s="75"/>
      <c r="DT12" s="72"/>
      <c r="DU12" s="72">
        <v>0</v>
      </c>
      <c r="DV12" s="72">
        <v>0</v>
      </c>
      <c r="DW12" s="72"/>
      <c r="DX12" s="73"/>
      <c r="DY12" s="75"/>
      <c r="DZ12" s="72"/>
      <c r="EA12" s="72">
        <v>0</v>
      </c>
      <c r="EB12" s="72">
        <v>0</v>
      </c>
      <c r="EC12" s="72"/>
      <c r="ED12" s="73"/>
      <c r="EE12" s="75"/>
      <c r="EF12" s="72"/>
      <c r="EG12" s="72">
        <v>0</v>
      </c>
      <c r="EH12" s="72">
        <v>0</v>
      </c>
      <c r="EI12" s="72"/>
      <c r="EJ12" s="73"/>
      <c r="EK12" s="75"/>
      <c r="EL12" s="72"/>
      <c r="EM12" s="72">
        <v>0</v>
      </c>
      <c r="EN12" s="72">
        <v>0</v>
      </c>
      <c r="EO12" s="72"/>
      <c r="EP12" s="73"/>
      <c r="EQ12" s="75"/>
      <c r="ER12" s="72"/>
      <c r="ES12" s="72">
        <v>0</v>
      </c>
      <c r="ET12" s="72">
        <v>0</v>
      </c>
      <c r="EU12" s="72"/>
      <c r="EV12" s="73"/>
      <c r="EW12" s="75"/>
      <c r="EX12" s="72"/>
      <c r="EY12" s="72">
        <v>0</v>
      </c>
      <c r="EZ12" s="72">
        <v>0</v>
      </c>
      <c r="FA12" s="72"/>
      <c r="FB12" s="73"/>
      <c r="FC12" s="75"/>
      <c r="FD12" s="72"/>
      <c r="FE12" s="72">
        <v>0</v>
      </c>
      <c r="FF12" s="72">
        <v>0</v>
      </c>
      <c r="FG12" s="72"/>
      <c r="FH12" s="73"/>
      <c r="FI12" s="75"/>
      <c r="FJ12" s="72"/>
      <c r="FK12" s="72">
        <v>0</v>
      </c>
      <c r="FL12" s="72">
        <v>0</v>
      </c>
      <c r="FM12" s="72"/>
      <c r="FN12" s="73"/>
      <c r="FO12" s="75"/>
      <c r="FP12" s="72"/>
      <c r="FQ12" s="72">
        <v>0</v>
      </c>
      <c r="FR12" s="72">
        <v>0</v>
      </c>
      <c r="FS12" s="72"/>
      <c r="FT12" s="73"/>
      <c r="FU12" s="75"/>
      <c r="FV12" s="72"/>
      <c r="FW12" s="72">
        <v>0</v>
      </c>
      <c r="FX12" s="72">
        <v>0</v>
      </c>
      <c r="FY12" s="72"/>
      <c r="FZ12" s="73"/>
      <c r="GA12" s="75"/>
      <c r="GB12" s="72"/>
      <c r="GC12" s="72">
        <v>0</v>
      </c>
      <c r="GD12" s="72">
        <v>0</v>
      </c>
      <c r="GE12" s="72"/>
      <c r="GF12" s="73"/>
      <c r="GG12" s="75"/>
      <c r="GH12" s="72"/>
      <c r="GI12" s="72">
        <v>0</v>
      </c>
      <c r="GJ12" s="72">
        <v>0</v>
      </c>
      <c r="GK12" s="72"/>
      <c r="GL12" s="73"/>
      <c r="GM12" s="75"/>
      <c r="GN12" s="75"/>
      <c r="GO12" s="75"/>
      <c r="GP12" s="75"/>
      <c r="GQ12" s="75"/>
      <c r="GR12" s="75"/>
      <c r="GS12" s="55"/>
      <c r="GT12" s="55"/>
      <c r="GU12" s="55"/>
      <c r="GV12" s="55"/>
      <c r="GW12" s="55"/>
      <c r="GX12" s="55"/>
      <c r="GY12" s="55"/>
      <c r="GZ12" s="55"/>
      <c r="HA12" s="55"/>
      <c r="HB12" s="55"/>
      <c r="HC12" s="55"/>
      <c r="HD12" s="55"/>
    </row>
    <row r="13" spans="1:212" s="57" customFormat="1" ht="12.75" hidden="1">
      <c r="A13" s="56">
        <v>44652</v>
      </c>
      <c r="C13" s="55"/>
      <c r="D13" s="72">
        <v>0</v>
      </c>
      <c r="E13" s="74">
        <v>0</v>
      </c>
      <c r="F13" s="72">
        <v>0</v>
      </c>
      <c r="G13" s="72"/>
      <c r="H13" s="73"/>
      <c r="I13" s="75"/>
      <c r="J13" s="72">
        <v>0</v>
      </c>
      <c r="K13" s="72">
        <v>0</v>
      </c>
      <c r="L13" s="72">
        <v>0</v>
      </c>
      <c r="M13" s="72"/>
      <c r="N13" s="73"/>
      <c r="O13" s="75"/>
      <c r="P13" s="72">
        <v>0</v>
      </c>
      <c r="Q13" s="72">
        <v>0</v>
      </c>
      <c r="R13" s="72">
        <v>0</v>
      </c>
      <c r="S13" s="72"/>
      <c r="T13" s="73"/>
      <c r="U13" s="75"/>
      <c r="V13" s="72">
        <v>0</v>
      </c>
      <c r="W13" s="72">
        <v>0</v>
      </c>
      <c r="X13" s="72">
        <v>0</v>
      </c>
      <c r="Y13" s="72"/>
      <c r="Z13" s="73"/>
      <c r="AA13" s="75"/>
      <c r="AB13" s="72">
        <v>0</v>
      </c>
      <c r="AC13" s="72">
        <v>0</v>
      </c>
      <c r="AD13" s="72">
        <v>0</v>
      </c>
      <c r="AE13" s="72"/>
      <c r="AF13" s="73"/>
      <c r="AG13" s="75"/>
      <c r="AH13" s="72">
        <v>0</v>
      </c>
      <c r="AI13" s="72">
        <v>0</v>
      </c>
      <c r="AJ13" s="72">
        <v>0</v>
      </c>
      <c r="AK13" s="72"/>
      <c r="AL13" s="73"/>
      <c r="AM13" s="75"/>
      <c r="AN13" s="72">
        <v>0</v>
      </c>
      <c r="AO13" s="72">
        <v>0</v>
      </c>
      <c r="AP13" s="72">
        <v>0</v>
      </c>
      <c r="AQ13" s="72"/>
      <c r="AR13" s="73"/>
      <c r="AS13" s="75"/>
      <c r="AT13" s="72">
        <v>0</v>
      </c>
      <c r="AU13" s="72">
        <v>0</v>
      </c>
      <c r="AV13" s="72">
        <v>0</v>
      </c>
      <c r="AW13" s="72"/>
      <c r="AX13" s="73"/>
      <c r="AY13" s="75"/>
      <c r="AZ13" s="72">
        <v>0</v>
      </c>
      <c r="BA13" s="72">
        <v>0</v>
      </c>
      <c r="BB13" s="72">
        <v>0</v>
      </c>
      <c r="BC13" s="72"/>
      <c r="BD13" s="73"/>
      <c r="BE13" s="75"/>
      <c r="BF13" s="72">
        <v>0</v>
      </c>
      <c r="BG13" s="72">
        <v>0</v>
      </c>
      <c r="BH13" s="72">
        <v>0</v>
      </c>
      <c r="BI13" s="72"/>
      <c r="BJ13" s="73"/>
      <c r="BK13" s="75"/>
      <c r="BL13" s="72">
        <v>0</v>
      </c>
      <c r="BM13" s="72">
        <v>0</v>
      </c>
      <c r="BN13" s="72">
        <v>0</v>
      </c>
      <c r="BO13" s="72"/>
      <c r="BP13" s="73"/>
      <c r="BQ13" s="75"/>
      <c r="BR13" s="72">
        <v>0</v>
      </c>
      <c r="BS13" s="72">
        <v>0</v>
      </c>
      <c r="BT13" s="72">
        <v>0</v>
      </c>
      <c r="BU13" s="72"/>
      <c r="BV13" s="73"/>
      <c r="BW13" s="75"/>
      <c r="BX13" s="72">
        <v>0</v>
      </c>
      <c r="BY13" s="72">
        <v>0</v>
      </c>
      <c r="BZ13" s="72">
        <v>0</v>
      </c>
      <c r="CA13" s="72"/>
      <c r="CB13" s="73"/>
      <c r="CC13" s="75"/>
      <c r="CD13" s="72">
        <v>0</v>
      </c>
      <c r="CE13" s="72">
        <v>0</v>
      </c>
      <c r="CF13" s="72">
        <v>0</v>
      </c>
      <c r="CG13" s="72"/>
      <c r="CH13" s="73"/>
      <c r="CI13" s="75"/>
      <c r="CJ13" s="72">
        <v>0</v>
      </c>
      <c r="CK13" s="72">
        <v>0</v>
      </c>
      <c r="CL13" s="72">
        <v>0</v>
      </c>
      <c r="CM13" s="72"/>
      <c r="CN13" s="73"/>
      <c r="CO13" s="75"/>
      <c r="CP13" s="72">
        <v>0</v>
      </c>
      <c r="CQ13" s="72">
        <v>0</v>
      </c>
      <c r="CR13" s="72">
        <v>0</v>
      </c>
      <c r="CS13" s="72"/>
      <c r="CT13" s="73"/>
      <c r="CU13" s="75"/>
      <c r="CV13" s="72">
        <v>0</v>
      </c>
      <c r="CW13" s="72">
        <v>0</v>
      </c>
      <c r="CX13" s="72">
        <v>0</v>
      </c>
      <c r="CY13" s="72"/>
      <c r="CZ13" s="73"/>
      <c r="DA13" s="75"/>
      <c r="DB13" s="72">
        <v>0</v>
      </c>
      <c r="DC13" s="72">
        <v>0</v>
      </c>
      <c r="DD13" s="72">
        <v>0</v>
      </c>
      <c r="DE13" s="72"/>
      <c r="DF13" s="73"/>
      <c r="DG13" s="75"/>
      <c r="DH13" s="72">
        <v>0</v>
      </c>
      <c r="DI13" s="72">
        <v>0</v>
      </c>
      <c r="DJ13" s="72">
        <v>0</v>
      </c>
      <c r="DK13" s="72"/>
      <c r="DL13" s="73"/>
      <c r="DM13" s="75"/>
      <c r="DN13" s="72">
        <v>0</v>
      </c>
      <c r="DO13" s="72">
        <v>0</v>
      </c>
      <c r="DP13" s="72">
        <v>0</v>
      </c>
      <c r="DQ13" s="72"/>
      <c r="DR13" s="73"/>
      <c r="DS13" s="75"/>
      <c r="DT13" s="72">
        <v>0</v>
      </c>
      <c r="DU13" s="72">
        <v>0</v>
      </c>
      <c r="DV13" s="72">
        <v>0</v>
      </c>
      <c r="DW13" s="72"/>
      <c r="DX13" s="73"/>
      <c r="DY13" s="75"/>
      <c r="DZ13" s="72">
        <v>0</v>
      </c>
      <c r="EA13" s="72">
        <v>0</v>
      </c>
      <c r="EB13" s="72">
        <v>0</v>
      </c>
      <c r="EC13" s="72"/>
      <c r="ED13" s="73"/>
      <c r="EE13" s="75"/>
      <c r="EF13" s="72">
        <v>0</v>
      </c>
      <c r="EG13" s="72">
        <v>0</v>
      </c>
      <c r="EH13" s="72">
        <v>0</v>
      </c>
      <c r="EI13" s="72"/>
      <c r="EJ13" s="73"/>
      <c r="EK13" s="75"/>
      <c r="EL13" s="72">
        <v>0</v>
      </c>
      <c r="EM13" s="72">
        <v>0</v>
      </c>
      <c r="EN13" s="72">
        <v>0</v>
      </c>
      <c r="EO13" s="72"/>
      <c r="EP13" s="73"/>
      <c r="EQ13" s="75"/>
      <c r="ER13" s="72">
        <v>0</v>
      </c>
      <c r="ES13" s="72">
        <v>0</v>
      </c>
      <c r="ET13" s="72">
        <v>0</v>
      </c>
      <c r="EU13" s="72"/>
      <c r="EV13" s="73"/>
      <c r="EW13" s="75"/>
      <c r="EX13" s="72">
        <v>0</v>
      </c>
      <c r="EY13" s="72">
        <v>0</v>
      </c>
      <c r="EZ13" s="72">
        <v>0</v>
      </c>
      <c r="FA13" s="72"/>
      <c r="FB13" s="73"/>
      <c r="FC13" s="75"/>
      <c r="FD13" s="72">
        <v>0</v>
      </c>
      <c r="FE13" s="72">
        <v>0</v>
      </c>
      <c r="FF13" s="72">
        <v>0</v>
      </c>
      <c r="FG13" s="72"/>
      <c r="FH13" s="73"/>
      <c r="FI13" s="75"/>
      <c r="FJ13" s="72">
        <v>0</v>
      </c>
      <c r="FK13" s="72">
        <v>0</v>
      </c>
      <c r="FL13" s="72">
        <v>0</v>
      </c>
      <c r="FM13" s="72"/>
      <c r="FN13" s="73"/>
      <c r="FO13" s="75"/>
      <c r="FP13" s="72">
        <v>0</v>
      </c>
      <c r="FQ13" s="72">
        <v>0</v>
      </c>
      <c r="FR13" s="72">
        <v>0</v>
      </c>
      <c r="FS13" s="72"/>
      <c r="FT13" s="73"/>
      <c r="FU13" s="75"/>
      <c r="FV13" s="72">
        <v>0</v>
      </c>
      <c r="FW13" s="72">
        <v>0</v>
      </c>
      <c r="FX13" s="72">
        <v>0</v>
      </c>
      <c r="FY13" s="72"/>
      <c r="FZ13" s="73"/>
      <c r="GA13" s="75"/>
      <c r="GB13" s="72">
        <v>0</v>
      </c>
      <c r="GC13" s="72">
        <v>0</v>
      </c>
      <c r="GD13" s="72">
        <v>0</v>
      </c>
      <c r="GE13" s="72"/>
      <c r="GF13" s="73"/>
      <c r="GG13" s="75"/>
      <c r="GH13" s="72">
        <v>0</v>
      </c>
      <c r="GI13" s="72">
        <v>0</v>
      </c>
      <c r="GJ13" s="72">
        <v>0</v>
      </c>
      <c r="GK13" s="72"/>
      <c r="GL13" s="73"/>
      <c r="GM13" s="75"/>
      <c r="GN13" s="75"/>
      <c r="GO13" s="75"/>
      <c r="GP13" s="75"/>
      <c r="GQ13" s="75"/>
      <c r="GR13" s="75"/>
      <c r="GS13" s="55"/>
      <c r="GT13" s="55"/>
      <c r="GU13" s="55"/>
      <c r="GV13" s="55"/>
      <c r="GW13" s="55"/>
      <c r="GX13" s="55"/>
      <c r="GY13" s="55"/>
      <c r="GZ13" s="55"/>
      <c r="HA13" s="55"/>
      <c r="HB13" s="55"/>
      <c r="HC13" s="55"/>
      <c r="HD13" s="55"/>
    </row>
    <row r="14" spans="1:212" s="57" customFormat="1" ht="12.75" hidden="1">
      <c r="A14" s="56">
        <v>44856</v>
      </c>
      <c r="C14" s="55"/>
      <c r="D14" s="72"/>
      <c r="E14" s="74">
        <v>0</v>
      </c>
      <c r="F14" s="72">
        <v>0</v>
      </c>
      <c r="G14" s="72"/>
      <c r="H14" s="73"/>
      <c r="I14" s="75"/>
      <c r="J14" s="72"/>
      <c r="K14" s="72">
        <v>0</v>
      </c>
      <c r="L14" s="72">
        <v>0</v>
      </c>
      <c r="M14" s="72"/>
      <c r="N14" s="73"/>
      <c r="O14" s="75"/>
      <c r="P14" s="72"/>
      <c r="Q14" s="72">
        <v>0</v>
      </c>
      <c r="R14" s="72">
        <v>0</v>
      </c>
      <c r="S14" s="72"/>
      <c r="T14" s="73"/>
      <c r="U14" s="75"/>
      <c r="V14" s="72"/>
      <c r="W14" s="72">
        <v>0</v>
      </c>
      <c r="X14" s="72">
        <v>0</v>
      </c>
      <c r="Y14" s="72"/>
      <c r="Z14" s="73"/>
      <c r="AA14" s="75"/>
      <c r="AB14" s="72"/>
      <c r="AC14" s="72">
        <v>0</v>
      </c>
      <c r="AD14" s="72">
        <v>0</v>
      </c>
      <c r="AE14" s="72"/>
      <c r="AF14" s="73"/>
      <c r="AG14" s="75"/>
      <c r="AH14" s="72"/>
      <c r="AI14" s="72">
        <v>0</v>
      </c>
      <c r="AJ14" s="72">
        <v>0</v>
      </c>
      <c r="AK14" s="72"/>
      <c r="AL14" s="73"/>
      <c r="AM14" s="75"/>
      <c r="AN14" s="72"/>
      <c r="AO14" s="72">
        <v>0</v>
      </c>
      <c r="AP14" s="72">
        <v>0</v>
      </c>
      <c r="AQ14" s="72"/>
      <c r="AR14" s="73"/>
      <c r="AS14" s="75"/>
      <c r="AT14" s="72"/>
      <c r="AU14" s="72">
        <v>0</v>
      </c>
      <c r="AV14" s="72">
        <v>0</v>
      </c>
      <c r="AW14" s="72"/>
      <c r="AX14" s="73"/>
      <c r="AY14" s="75"/>
      <c r="AZ14" s="72"/>
      <c r="BA14" s="72">
        <v>0</v>
      </c>
      <c r="BB14" s="72">
        <v>0</v>
      </c>
      <c r="BC14" s="72"/>
      <c r="BD14" s="73"/>
      <c r="BE14" s="75"/>
      <c r="BF14" s="72"/>
      <c r="BG14" s="72">
        <v>0</v>
      </c>
      <c r="BH14" s="72">
        <v>0</v>
      </c>
      <c r="BI14" s="72"/>
      <c r="BJ14" s="73"/>
      <c r="BK14" s="75"/>
      <c r="BL14" s="72"/>
      <c r="BM14" s="72">
        <v>0</v>
      </c>
      <c r="BN14" s="72">
        <v>0</v>
      </c>
      <c r="BO14" s="72"/>
      <c r="BP14" s="73"/>
      <c r="BQ14" s="75"/>
      <c r="BR14" s="72"/>
      <c r="BS14" s="72">
        <v>0</v>
      </c>
      <c r="BT14" s="72">
        <v>0</v>
      </c>
      <c r="BU14" s="72"/>
      <c r="BV14" s="73"/>
      <c r="BW14" s="75"/>
      <c r="BX14" s="72"/>
      <c r="BY14" s="72">
        <v>0</v>
      </c>
      <c r="BZ14" s="72">
        <v>0</v>
      </c>
      <c r="CA14" s="72"/>
      <c r="CB14" s="73"/>
      <c r="CC14" s="75"/>
      <c r="CD14" s="72"/>
      <c r="CE14" s="72">
        <v>0</v>
      </c>
      <c r="CF14" s="72">
        <v>0</v>
      </c>
      <c r="CG14" s="72"/>
      <c r="CH14" s="73"/>
      <c r="CI14" s="75"/>
      <c r="CJ14" s="72"/>
      <c r="CK14" s="72">
        <v>0</v>
      </c>
      <c r="CL14" s="72">
        <v>0</v>
      </c>
      <c r="CM14" s="72"/>
      <c r="CN14" s="73"/>
      <c r="CO14" s="75"/>
      <c r="CP14" s="72"/>
      <c r="CQ14" s="72">
        <v>0</v>
      </c>
      <c r="CR14" s="72">
        <v>0</v>
      </c>
      <c r="CS14" s="72"/>
      <c r="CT14" s="73"/>
      <c r="CU14" s="75"/>
      <c r="CV14" s="72"/>
      <c r="CW14" s="72">
        <v>0</v>
      </c>
      <c r="CX14" s="72">
        <v>0</v>
      </c>
      <c r="CY14" s="72"/>
      <c r="CZ14" s="73"/>
      <c r="DA14" s="75"/>
      <c r="DB14" s="72"/>
      <c r="DC14" s="72">
        <v>0</v>
      </c>
      <c r="DD14" s="72">
        <v>0</v>
      </c>
      <c r="DE14" s="72"/>
      <c r="DF14" s="73"/>
      <c r="DG14" s="75"/>
      <c r="DH14" s="72"/>
      <c r="DI14" s="72">
        <v>0</v>
      </c>
      <c r="DJ14" s="72">
        <v>0</v>
      </c>
      <c r="DK14" s="72"/>
      <c r="DL14" s="73"/>
      <c r="DM14" s="75"/>
      <c r="DN14" s="72"/>
      <c r="DO14" s="72">
        <v>0</v>
      </c>
      <c r="DP14" s="72">
        <v>0</v>
      </c>
      <c r="DQ14" s="72"/>
      <c r="DR14" s="73"/>
      <c r="DS14" s="75"/>
      <c r="DT14" s="72"/>
      <c r="DU14" s="72">
        <v>0</v>
      </c>
      <c r="DV14" s="72">
        <v>0</v>
      </c>
      <c r="DW14" s="72"/>
      <c r="DX14" s="73"/>
      <c r="DY14" s="75"/>
      <c r="DZ14" s="72"/>
      <c r="EA14" s="72">
        <v>0</v>
      </c>
      <c r="EB14" s="72">
        <v>0</v>
      </c>
      <c r="EC14" s="72"/>
      <c r="ED14" s="73"/>
      <c r="EE14" s="75"/>
      <c r="EF14" s="72"/>
      <c r="EG14" s="72">
        <v>0</v>
      </c>
      <c r="EH14" s="72">
        <v>0</v>
      </c>
      <c r="EI14" s="72"/>
      <c r="EJ14" s="73"/>
      <c r="EK14" s="75"/>
      <c r="EL14" s="72"/>
      <c r="EM14" s="72">
        <v>0</v>
      </c>
      <c r="EN14" s="72">
        <v>0</v>
      </c>
      <c r="EO14" s="72"/>
      <c r="EP14" s="73"/>
      <c r="EQ14" s="75"/>
      <c r="ER14" s="72"/>
      <c r="ES14" s="72">
        <v>0</v>
      </c>
      <c r="ET14" s="72">
        <v>0</v>
      </c>
      <c r="EU14" s="72"/>
      <c r="EV14" s="73"/>
      <c r="EW14" s="75"/>
      <c r="EX14" s="72"/>
      <c r="EY14" s="72">
        <v>0</v>
      </c>
      <c r="EZ14" s="72">
        <v>0</v>
      </c>
      <c r="FA14" s="72"/>
      <c r="FB14" s="73"/>
      <c r="FC14" s="75"/>
      <c r="FD14" s="72"/>
      <c r="FE14" s="72">
        <v>0</v>
      </c>
      <c r="FF14" s="72">
        <v>0</v>
      </c>
      <c r="FG14" s="72"/>
      <c r="FH14" s="73"/>
      <c r="FI14" s="75"/>
      <c r="FJ14" s="72"/>
      <c r="FK14" s="72">
        <v>0</v>
      </c>
      <c r="FL14" s="72">
        <v>0</v>
      </c>
      <c r="FM14" s="72"/>
      <c r="FN14" s="73"/>
      <c r="FO14" s="75"/>
      <c r="FP14" s="72"/>
      <c r="FQ14" s="72">
        <v>0</v>
      </c>
      <c r="FR14" s="72">
        <v>0</v>
      </c>
      <c r="FS14" s="72"/>
      <c r="FT14" s="73"/>
      <c r="FU14" s="75"/>
      <c r="FV14" s="72"/>
      <c r="FW14" s="72">
        <v>0</v>
      </c>
      <c r="FX14" s="72">
        <v>0</v>
      </c>
      <c r="FY14" s="72"/>
      <c r="FZ14" s="73"/>
      <c r="GA14" s="75"/>
      <c r="GB14" s="72"/>
      <c r="GC14" s="72">
        <v>0</v>
      </c>
      <c r="GD14" s="72">
        <v>0</v>
      </c>
      <c r="GE14" s="72"/>
      <c r="GF14" s="73"/>
      <c r="GG14" s="75"/>
      <c r="GH14" s="72"/>
      <c r="GI14" s="72">
        <v>0</v>
      </c>
      <c r="GJ14" s="72">
        <v>0</v>
      </c>
      <c r="GK14" s="72"/>
      <c r="GL14" s="73"/>
      <c r="GM14" s="75"/>
      <c r="GN14" s="75"/>
      <c r="GO14" s="75"/>
      <c r="GP14" s="75"/>
      <c r="GQ14" s="75"/>
      <c r="GR14" s="75"/>
      <c r="GS14" s="55"/>
      <c r="GT14" s="55"/>
      <c r="GU14" s="55"/>
      <c r="GV14" s="55"/>
      <c r="GW14" s="55"/>
      <c r="GX14" s="55"/>
      <c r="GY14" s="55"/>
      <c r="GZ14" s="55"/>
      <c r="HA14" s="55"/>
      <c r="HB14" s="55"/>
      <c r="HC14" s="55"/>
      <c r="HD14" s="55"/>
    </row>
    <row r="15" spans="1:212" s="57" customFormat="1" ht="12.75" hidden="1">
      <c r="A15" s="56">
        <v>45017</v>
      </c>
      <c r="C15" s="55"/>
      <c r="D15" s="72">
        <v>0</v>
      </c>
      <c r="E15" s="74">
        <v>0</v>
      </c>
      <c r="F15" s="72">
        <v>0</v>
      </c>
      <c r="G15" s="72"/>
      <c r="H15" s="73"/>
      <c r="I15" s="75"/>
      <c r="J15" s="72">
        <v>0</v>
      </c>
      <c r="K15" s="72">
        <v>0</v>
      </c>
      <c r="L15" s="72">
        <v>0</v>
      </c>
      <c r="M15" s="72"/>
      <c r="N15" s="73"/>
      <c r="O15" s="75"/>
      <c r="P15" s="72">
        <v>0</v>
      </c>
      <c r="Q15" s="72">
        <v>0</v>
      </c>
      <c r="R15" s="72">
        <v>0</v>
      </c>
      <c r="S15" s="72"/>
      <c r="T15" s="73"/>
      <c r="U15" s="75"/>
      <c r="V15" s="72">
        <v>0</v>
      </c>
      <c r="W15" s="72">
        <v>0</v>
      </c>
      <c r="X15" s="72">
        <v>0</v>
      </c>
      <c r="Y15" s="72"/>
      <c r="Z15" s="73"/>
      <c r="AA15" s="75"/>
      <c r="AB15" s="72">
        <v>0</v>
      </c>
      <c r="AC15" s="72">
        <v>0</v>
      </c>
      <c r="AD15" s="72">
        <v>0</v>
      </c>
      <c r="AE15" s="72"/>
      <c r="AF15" s="73"/>
      <c r="AG15" s="75"/>
      <c r="AH15" s="72">
        <v>0</v>
      </c>
      <c r="AI15" s="72">
        <v>0</v>
      </c>
      <c r="AJ15" s="72">
        <v>0</v>
      </c>
      <c r="AK15" s="72"/>
      <c r="AL15" s="73"/>
      <c r="AM15" s="75"/>
      <c r="AN15" s="72">
        <v>0</v>
      </c>
      <c r="AO15" s="72">
        <v>0</v>
      </c>
      <c r="AP15" s="72">
        <v>0</v>
      </c>
      <c r="AQ15" s="72"/>
      <c r="AR15" s="73"/>
      <c r="AS15" s="75"/>
      <c r="AT15" s="72">
        <v>0</v>
      </c>
      <c r="AU15" s="72">
        <v>0</v>
      </c>
      <c r="AV15" s="72">
        <v>0</v>
      </c>
      <c r="AW15" s="72"/>
      <c r="AX15" s="73"/>
      <c r="AY15" s="75"/>
      <c r="AZ15" s="72">
        <v>0</v>
      </c>
      <c r="BA15" s="72">
        <v>0</v>
      </c>
      <c r="BB15" s="72">
        <v>0</v>
      </c>
      <c r="BC15" s="72"/>
      <c r="BD15" s="73"/>
      <c r="BE15" s="75"/>
      <c r="BF15" s="72">
        <v>0</v>
      </c>
      <c r="BG15" s="72">
        <v>0</v>
      </c>
      <c r="BH15" s="72">
        <v>0</v>
      </c>
      <c r="BI15" s="72"/>
      <c r="BJ15" s="73"/>
      <c r="BK15" s="75"/>
      <c r="BL15" s="72">
        <v>0</v>
      </c>
      <c r="BM15" s="72">
        <v>0</v>
      </c>
      <c r="BN15" s="72">
        <v>0</v>
      </c>
      <c r="BO15" s="72"/>
      <c r="BP15" s="73"/>
      <c r="BQ15" s="75"/>
      <c r="BR15" s="72">
        <v>0</v>
      </c>
      <c r="BS15" s="72">
        <v>0</v>
      </c>
      <c r="BT15" s="72">
        <v>0</v>
      </c>
      <c r="BU15" s="72"/>
      <c r="BV15" s="73"/>
      <c r="BW15" s="75"/>
      <c r="BX15" s="72">
        <v>0</v>
      </c>
      <c r="BY15" s="72">
        <v>0</v>
      </c>
      <c r="BZ15" s="72">
        <v>0</v>
      </c>
      <c r="CA15" s="72"/>
      <c r="CB15" s="73"/>
      <c r="CC15" s="75"/>
      <c r="CD15" s="72">
        <v>0</v>
      </c>
      <c r="CE15" s="72">
        <v>0</v>
      </c>
      <c r="CF15" s="72">
        <v>0</v>
      </c>
      <c r="CG15" s="72"/>
      <c r="CH15" s="73"/>
      <c r="CI15" s="75"/>
      <c r="CJ15" s="72">
        <v>0</v>
      </c>
      <c r="CK15" s="72">
        <v>0</v>
      </c>
      <c r="CL15" s="72">
        <v>0</v>
      </c>
      <c r="CM15" s="72"/>
      <c r="CN15" s="73"/>
      <c r="CO15" s="75"/>
      <c r="CP15" s="72">
        <v>0</v>
      </c>
      <c r="CQ15" s="72">
        <v>0</v>
      </c>
      <c r="CR15" s="72">
        <v>0</v>
      </c>
      <c r="CS15" s="72"/>
      <c r="CT15" s="73"/>
      <c r="CU15" s="75"/>
      <c r="CV15" s="72">
        <v>0</v>
      </c>
      <c r="CW15" s="72">
        <v>0</v>
      </c>
      <c r="CX15" s="72">
        <v>0</v>
      </c>
      <c r="CY15" s="72"/>
      <c r="CZ15" s="73"/>
      <c r="DA15" s="75"/>
      <c r="DB15" s="72">
        <v>0</v>
      </c>
      <c r="DC15" s="72">
        <v>0</v>
      </c>
      <c r="DD15" s="72">
        <v>0</v>
      </c>
      <c r="DE15" s="72"/>
      <c r="DF15" s="73"/>
      <c r="DG15" s="75"/>
      <c r="DH15" s="72">
        <v>0</v>
      </c>
      <c r="DI15" s="72">
        <v>0</v>
      </c>
      <c r="DJ15" s="72">
        <v>0</v>
      </c>
      <c r="DK15" s="72"/>
      <c r="DL15" s="73"/>
      <c r="DM15" s="75"/>
      <c r="DN15" s="72">
        <v>0</v>
      </c>
      <c r="DO15" s="72">
        <v>0</v>
      </c>
      <c r="DP15" s="72">
        <v>0</v>
      </c>
      <c r="DQ15" s="72"/>
      <c r="DR15" s="73"/>
      <c r="DS15" s="75"/>
      <c r="DT15" s="72">
        <v>0</v>
      </c>
      <c r="DU15" s="72">
        <v>0</v>
      </c>
      <c r="DV15" s="72">
        <v>0</v>
      </c>
      <c r="DW15" s="72"/>
      <c r="DX15" s="73"/>
      <c r="DY15" s="75"/>
      <c r="DZ15" s="72">
        <v>0</v>
      </c>
      <c r="EA15" s="72">
        <v>0</v>
      </c>
      <c r="EB15" s="72">
        <v>0</v>
      </c>
      <c r="EC15" s="72"/>
      <c r="ED15" s="73"/>
      <c r="EE15" s="75"/>
      <c r="EF15" s="72">
        <v>0</v>
      </c>
      <c r="EG15" s="72">
        <v>0</v>
      </c>
      <c r="EH15" s="72">
        <v>0</v>
      </c>
      <c r="EI15" s="72"/>
      <c r="EJ15" s="73"/>
      <c r="EK15" s="75"/>
      <c r="EL15" s="72">
        <v>0</v>
      </c>
      <c r="EM15" s="72">
        <v>0</v>
      </c>
      <c r="EN15" s="72">
        <v>0</v>
      </c>
      <c r="EO15" s="72"/>
      <c r="EP15" s="73"/>
      <c r="EQ15" s="75"/>
      <c r="ER15" s="72">
        <v>0</v>
      </c>
      <c r="ES15" s="72">
        <v>0</v>
      </c>
      <c r="ET15" s="72">
        <v>0</v>
      </c>
      <c r="EU15" s="72"/>
      <c r="EV15" s="73"/>
      <c r="EW15" s="75"/>
      <c r="EX15" s="72">
        <v>0</v>
      </c>
      <c r="EY15" s="72">
        <v>0</v>
      </c>
      <c r="EZ15" s="72">
        <v>0</v>
      </c>
      <c r="FA15" s="72"/>
      <c r="FB15" s="73"/>
      <c r="FC15" s="75"/>
      <c r="FD15" s="72">
        <v>0</v>
      </c>
      <c r="FE15" s="72">
        <v>0</v>
      </c>
      <c r="FF15" s="72">
        <v>0</v>
      </c>
      <c r="FG15" s="72"/>
      <c r="FH15" s="73"/>
      <c r="FI15" s="75"/>
      <c r="FJ15" s="72">
        <v>0</v>
      </c>
      <c r="FK15" s="72">
        <v>0</v>
      </c>
      <c r="FL15" s="72">
        <v>0</v>
      </c>
      <c r="FM15" s="72"/>
      <c r="FN15" s="73"/>
      <c r="FO15" s="75"/>
      <c r="FP15" s="72">
        <v>0</v>
      </c>
      <c r="FQ15" s="72">
        <v>0</v>
      </c>
      <c r="FR15" s="72">
        <v>0</v>
      </c>
      <c r="FS15" s="72"/>
      <c r="FT15" s="73"/>
      <c r="FU15" s="75"/>
      <c r="FV15" s="72">
        <v>0</v>
      </c>
      <c r="FW15" s="72">
        <v>0</v>
      </c>
      <c r="FX15" s="72">
        <v>0</v>
      </c>
      <c r="FY15" s="72"/>
      <c r="FZ15" s="73"/>
      <c r="GA15" s="75"/>
      <c r="GB15" s="72">
        <v>0</v>
      </c>
      <c r="GC15" s="72">
        <v>0</v>
      </c>
      <c r="GD15" s="72">
        <v>0</v>
      </c>
      <c r="GE15" s="72"/>
      <c r="GF15" s="73"/>
      <c r="GG15" s="75"/>
      <c r="GH15" s="72">
        <v>0</v>
      </c>
      <c r="GI15" s="72">
        <v>0</v>
      </c>
      <c r="GJ15" s="72">
        <v>0</v>
      </c>
      <c r="GK15" s="72"/>
      <c r="GL15" s="73"/>
      <c r="GM15" s="75"/>
      <c r="GN15" s="75"/>
      <c r="GO15" s="75"/>
      <c r="GP15" s="75"/>
      <c r="GQ15" s="75"/>
      <c r="GR15" s="75"/>
      <c r="GS15" s="55"/>
      <c r="GT15" s="55"/>
      <c r="GU15" s="55"/>
      <c r="GV15" s="55"/>
      <c r="GW15" s="55"/>
      <c r="GX15" s="55"/>
      <c r="GY15" s="55"/>
      <c r="GZ15" s="55"/>
      <c r="HA15" s="55"/>
      <c r="HB15" s="55"/>
      <c r="HC15" s="55"/>
      <c r="HD15" s="55"/>
    </row>
    <row r="16" spans="4:212" ht="12.75">
      <c r="D16" s="72"/>
      <c r="E16" s="72"/>
      <c r="F16" s="72"/>
      <c r="G16" s="72"/>
      <c r="H16" s="74"/>
      <c r="I16" s="72"/>
      <c r="J16" s="72"/>
      <c r="K16" s="72"/>
      <c r="L16" s="72"/>
      <c r="M16" s="72"/>
      <c r="N16" s="74"/>
      <c r="O16" s="72"/>
      <c r="P16" s="75"/>
      <c r="Q16" s="75"/>
      <c r="R16" s="75"/>
      <c r="S16" s="75"/>
      <c r="T16" s="74"/>
      <c r="U16" s="72"/>
      <c r="V16" s="75"/>
      <c r="W16" s="75"/>
      <c r="X16" s="75"/>
      <c r="Y16" s="75"/>
      <c r="Z16" s="74"/>
      <c r="AA16" s="72"/>
      <c r="AB16" s="75"/>
      <c r="AC16" s="72"/>
      <c r="AD16" s="75"/>
      <c r="AE16" s="75"/>
      <c r="AF16" s="74"/>
      <c r="AG16" s="72"/>
      <c r="AH16" s="75"/>
      <c r="AI16" s="75"/>
      <c r="AJ16" s="75"/>
      <c r="AK16" s="75"/>
      <c r="AL16" s="74"/>
      <c r="AM16" s="72"/>
      <c r="AN16" s="72"/>
      <c r="AO16" s="72"/>
      <c r="AP16" s="72"/>
      <c r="AQ16" s="72"/>
      <c r="AR16" s="74"/>
      <c r="AS16" s="72"/>
      <c r="AT16" s="75"/>
      <c r="AU16" s="75"/>
      <c r="AV16" s="75"/>
      <c r="AW16" s="75"/>
      <c r="AX16" s="74"/>
      <c r="AY16" s="72"/>
      <c r="AZ16" s="72"/>
      <c r="BA16" s="72"/>
      <c r="BB16" s="75"/>
      <c r="BC16" s="75"/>
      <c r="BD16" s="74"/>
      <c r="BE16" s="72"/>
      <c r="BF16" s="72"/>
      <c r="BG16" s="72"/>
      <c r="BH16" s="72"/>
      <c r="BI16" s="72"/>
      <c r="BJ16" s="74"/>
      <c r="BK16" s="72"/>
      <c r="BL16" s="75"/>
      <c r="BM16" s="75"/>
      <c r="BN16" s="75"/>
      <c r="BO16" s="75"/>
      <c r="BP16" s="74"/>
      <c r="BQ16" s="72"/>
      <c r="BR16" s="72"/>
      <c r="BS16" s="72"/>
      <c r="BT16" s="72"/>
      <c r="BU16" s="72"/>
      <c r="BV16" s="74"/>
      <c r="BW16" s="72"/>
      <c r="BX16" s="72"/>
      <c r="BY16" s="72"/>
      <c r="BZ16" s="72"/>
      <c r="CA16" s="72"/>
      <c r="CB16" s="74"/>
      <c r="CC16" s="72"/>
      <c r="CD16" s="72"/>
      <c r="CE16" s="72"/>
      <c r="CF16" s="72"/>
      <c r="CG16" s="72"/>
      <c r="CH16" s="74"/>
      <c r="CI16" s="72"/>
      <c r="CJ16" s="72"/>
      <c r="CK16" s="72"/>
      <c r="CL16" s="72"/>
      <c r="CM16" s="72"/>
      <c r="CN16" s="74"/>
      <c r="CO16" s="72"/>
      <c r="CP16" s="72"/>
      <c r="CQ16" s="72"/>
      <c r="CR16" s="72"/>
      <c r="CS16" s="72"/>
      <c r="CT16" s="74"/>
      <c r="CU16" s="72"/>
      <c r="CV16" s="72"/>
      <c r="CW16" s="72"/>
      <c r="CX16" s="72"/>
      <c r="CY16" s="72"/>
      <c r="CZ16" s="74"/>
      <c r="DA16" s="72"/>
      <c r="DB16" s="72"/>
      <c r="DC16" s="72"/>
      <c r="DD16" s="72"/>
      <c r="DE16" s="72"/>
      <c r="DF16" s="74"/>
      <c r="DG16" s="72"/>
      <c r="DH16" s="72"/>
      <c r="DI16" s="72"/>
      <c r="DJ16" s="72"/>
      <c r="DK16" s="72"/>
      <c r="DL16" s="74"/>
      <c r="DM16" s="72"/>
      <c r="DN16" s="75"/>
      <c r="DO16" s="75"/>
      <c r="DP16" s="75"/>
      <c r="DQ16" s="75"/>
      <c r="DR16" s="74"/>
      <c r="DS16" s="75"/>
      <c r="DT16" s="72"/>
      <c r="DU16" s="72"/>
      <c r="DV16" s="72"/>
      <c r="DW16" s="72"/>
      <c r="DX16" s="74"/>
      <c r="DY16" s="72"/>
      <c r="DZ16" s="72"/>
      <c r="EA16" s="72"/>
      <c r="EB16" s="72"/>
      <c r="EC16" s="72"/>
      <c r="ED16" s="74"/>
      <c r="EE16" s="72"/>
      <c r="EF16" s="75"/>
      <c r="EG16" s="72"/>
      <c r="EH16" s="75"/>
      <c r="EI16" s="75"/>
      <c r="EJ16" s="74"/>
      <c r="EK16" s="72"/>
      <c r="EL16" s="72"/>
      <c r="EM16" s="72"/>
      <c r="EN16" s="72"/>
      <c r="EO16" s="72"/>
      <c r="EP16" s="74"/>
      <c r="EQ16" s="72"/>
      <c r="ER16" s="75"/>
      <c r="ES16" s="75"/>
      <c r="ET16" s="75"/>
      <c r="EU16" s="75"/>
      <c r="EV16" s="74"/>
      <c r="EW16" s="72"/>
      <c r="EX16" s="72"/>
      <c r="EY16" s="72"/>
      <c r="EZ16" s="72"/>
      <c r="FA16" s="72"/>
      <c r="FB16" s="74"/>
      <c r="FC16" s="72"/>
      <c r="FD16" s="72"/>
      <c r="FE16" s="72"/>
      <c r="FF16" s="72"/>
      <c r="FG16" s="72"/>
      <c r="FH16" s="74"/>
      <c r="FI16" s="72"/>
      <c r="FJ16" s="72"/>
      <c r="FK16" s="72"/>
      <c r="FL16" s="72"/>
      <c r="FM16" s="72"/>
      <c r="FN16" s="74"/>
      <c r="FO16" s="72"/>
      <c r="FP16" s="72"/>
      <c r="FQ16" s="72"/>
      <c r="FR16" s="72"/>
      <c r="FS16" s="72"/>
      <c r="FT16" s="74"/>
      <c r="FU16" s="72"/>
      <c r="FV16" s="72"/>
      <c r="FW16" s="72"/>
      <c r="FX16" s="72"/>
      <c r="FY16" s="72"/>
      <c r="FZ16" s="74"/>
      <c r="GA16" s="72"/>
      <c r="GB16" s="72"/>
      <c r="GC16" s="72"/>
      <c r="GD16" s="72"/>
      <c r="GE16" s="72"/>
      <c r="GF16" s="74"/>
      <c r="GG16" s="72"/>
      <c r="GH16" s="72"/>
      <c r="GI16" s="72"/>
      <c r="GJ16" s="72"/>
      <c r="GK16" s="72"/>
      <c r="GL16" s="74"/>
      <c r="GM16" s="72"/>
      <c r="GN16" s="72"/>
      <c r="GO16" s="72"/>
      <c r="GP16" s="72"/>
      <c r="GQ16" s="72"/>
      <c r="GR16" s="72"/>
      <c r="GS16" s="38"/>
      <c r="GT16" s="38"/>
      <c r="GU16" s="38"/>
      <c r="GV16" s="38"/>
      <c r="GW16" s="38"/>
      <c r="GX16" s="38"/>
      <c r="GY16" s="38"/>
      <c r="GZ16" s="38"/>
      <c r="HA16" s="38"/>
      <c r="HB16" s="38"/>
      <c r="HC16" s="38"/>
      <c r="HD16" s="38"/>
    </row>
    <row r="17" spans="1:212" ht="13.5" thickBot="1">
      <c r="A17" s="36" t="s">
        <v>4</v>
      </c>
      <c r="D17" s="76">
        <f>SUM(D8:D16)</f>
        <v>1163803.696</v>
      </c>
      <c r="E17" s="76">
        <f>SUM(E8:E16)</f>
        <v>46552.147840000005</v>
      </c>
      <c r="F17" s="76">
        <f>SUM(F8:F16)</f>
        <v>1210355.8438400002</v>
      </c>
      <c r="G17" s="76">
        <f>SUM(G8:G16)</f>
        <v>7709.667258699999</v>
      </c>
      <c r="H17" s="76">
        <f>SUM(H8:H16)</f>
        <v>2764.7434144</v>
      </c>
      <c r="I17" s="76">
        <f>SUM(I8:I16)</f>
        <v>0</v>
      </c>
      <c r="J17" s="76">
        <f>SUM(J8:J16)</f>
        <v>46768.208</v>
      </c>
      <c r="K17" s="76">
        <f>SUM(K8:K16)</f>
        <v>1870.72832</v>
      </c>
      <c r="L17" s="76">
        <f>SUM(L8:L16)</f>
        <v>48638.93631999999</v>
      </c>
      <c r="M17" s="76">
        <f>SUM(M8:M16)</f>
        <v>309.8179901</v>
      </c>
      <c r="N17" s="76">
        <f>SUM(N8:N16)</f>
        <v>111.1030112</v>
      </c>
      <c r="O17" s="76">
        <f>SUM(O8:O16)</f>
        <v>0</v>
      </c>
      <c r="P17" s="76">
        <f>SUM(P8:P16)</f>
        <v>151459.90399999998</v>
      </c>
      <c r="Q17" s="76">
        <f>SUM(Q8:Q16)</f>
        <v>6058.396159999999</v>
      </c>
      <c r="R17" s="76">
        <f>SUM(R8:R16)</f>
        <v>157518.30015999998</v>
      </c>
      <c r="S17" s="76">
        <f>SUM(S8:S16)</f>
        <v>1003.3525987999999</v>
      </c>
      <c r="T17" s="76">
        <f>SUM(T8:T16)</f>
        <v>359.8096256</v>
      </c>
      <c r="U17" s="76">
        <f>SUM(U8:U16)</f>
        <v>0</v>
      </c>
      <c r="V17" s="76">
        <f>SUM(V8:V16)</f>
        <v>8665.104000000001</v>
      </c>
      <c r="W17" s="76">
        <f>SUM(W8:W16)</f>
        <v>346.60416000000004</v>
      </c>
      <c r="X17" s="76">
        <f>SUM(X8:X16)</f>
        <v>9011.70816</v>
      </c>
      <c r="Y17" s="76">
        <f>SUM(Y8:Y16)</f>
        <v>57.40235130000001</v>
      </c>
      <c r="Z17" s="76">
        <f>SUM(Z8:Z16)</f>
        <v>20.5849056</v>
      </c>
      <c r="AA17" s="76">
        <f>SUM(AA8:AA16)</f>
        <v>0</v>
      </c>
      <c r="AB17" s="76">
        <f>SUM(AB8:AB16)</f>
        <v>33627.216</v>
      </c>
      <c r="AC17" s="76">
        <f>SUM(AC8:AC16)</f>
        <v>1345.08864</v>
      </c>
      <c r="AD17" s="76">
        <f>SUM(AD8:AD16)</f>
        <v>34972.30464</v>
      </c>
      <c r="AE17" s="76">
        <f>SUM(AE8:AE16)</f>
        <v>222.7649277</v>
      </c>
      <c r="AF17" s="76">
        <f>SUM(AF8:AF16)</f>
        <v>79.8851424</v>
      </c>
      <c r="AG17" s="76">
        <f>SUM(AG8:AG16)</f>
        <v>0</v>
      </c>
      <c r="AH17" s="76">
        <f>SUM(AH8:AH16)</f>
        <v>87143.696</v>
      </c>
      <c r="AI17" s="76">
        <f>SUM(AI8:AI16)</f>
        <v>3485.74784</v>
      </c>
      <c r="AJ17" s="76">
        <f>SUM(AJ8:AJ16)</f>
        <v>90629.44383999999</v>
      </c>
      <c r="AK17" s="76">
        <f>SUM(AK8:AK16)</f>
        <v>577.2871336999999</v>
      </c>
      <c r="AL17" s="76">
        <f>SUM(AL8:AL16)</f>
        <v>207.01941440000002</v>
      </c>
      <c r="AM17" s="76">
        <f>SUM(AM8:AM16)</f>
        <v>0</v>
      </c>
      <c r="AN17" s="76">
        <f>SUM(AN8:AN16)</f>
        <v>19915.503999999997</v>
      </c>
      <c r="AO17" s="76">
        <f>SUM(AO8:AO16)</f>
        <v>796.6201599999999</v>
      </c>
      <c r="AP17" s="76">
        <f>SUM(AP8:AP16)</f>
        <v>20712.124159999996</v>
      </c>
      <c r="AQ17" s="76">
        <f>SUM(AQ8:AQ16)</f>
        <v>131.9311063</v>
      </c>
      <c r="AR17" s="76">
        <f>SUM(AR8:AR16)</f>
        <v>47.3114656</v>
      </c>
      <c r="AS17" s="76">
        <f>SUM(AS8:AS16)</f>
        <v>0</v>
      </c>
      <c r="AT17" s="76">
        <f>SUM(AT8:AT16)</f>
        <v>259331.23200000002</v>
      </c>
      <c r="AU17" s="76">
        <f>SUM(AU8:AU16)</f>
        <v>10373.24928</v>
      </c>
      <c r="AV17" s="76">
        <f>SUM(AV8:AV16)</f>
        <v>269704.48128</v>
      </c>
      <c r="AW17" s="76">
        <f>SUM(AW8:AW16)</f>
        <v>1717.9508154</v>
      </c>
      <c r="AX17" s="76">
        <f>SUM(AX8:AX16)</f>
        <v>616.0698048</v>
      </c>
      <c r="AY17" s="76">
        <f>SUM(AY8:AY16)</f>
        <v>0</v>
      </c>
      <c r="AZ17" s="76">
        <f>SUM(AZ8:AZ16)</f>
        <v>8050.432</v>
      </c>
      <c r="BA17" s="76">
        <f>SUM(BA8:BA16)</f>
        <v>322.01727999999997</v>
      </c>
      <c r="BB17" s="76">
        <f>SUM(BB8:BB16)</f>
        <v>8372.449279999999</v>
      </c>
      <c r="BC17" s="76">
        <f>SUM(BC8:BC16)</f>
        <v>53.3304304</v>
      </c>
      <c r="BD17" s="76">
        <f>SUM(BD8:BD16)</f>
        <v>19.124684799999997</v>
      </c>
      <c r="BE17" s="76">
        <f>SUM(BE8:BE16)</f>
        <v>0</v>
      </c>
      <c r="BF17" s="76">
        <f>SUM(BF8:BF16)</f>
        <v>10454.672</v>
      </c>
      <c r="BG17" s="76">
        <f>SUM(BG8:BG16)</f>
        <v>418.18688</v>
      </c>
      <c r="BH17" s="76">
        <f>SUM(BH8:BH16)</f>
        <v>10872.858880000002</v>
      </c>
      <c r="BI17" s="76">
        <f>SUM(BI8:BI16)</f>
        <v>69.2574209</v>
      </c>
      <c r="BJ17" s="76">
        <f>SUM(BJ8:BJ16)</f>
        <v>24.8362208</v>
      </c>
      <c r="BK17" s="76">
        <f>SUM(BK8:BK16)</f>
        <v>0</v>
      </c>
      <c r="BL17" s="76">
        <f>SUM(BL8:BL16)</f>
        <v>360.144</v>
      </c>
      <c r="BM17" s="76">
        <f>SUM(BM8:BM16)</f>
        <v>14.405759999999999</v>
      </c>
      <c r="BN17" s="76">
        <f>SUM(BN8:BN16)</f>
        <v>374.54976</v>
      </c>
      <c r="BO17" s="76">
        <f>SUM(BO8:BO16)</f>
        <v>2.3857893</v>
      </c>
      <c r="BP17" s="76">
        <f>SUM(BP8:BP16)</f>
        <v>0.8555615999999999</v>
      </c>
      <c r="BQ17" s="76">
        <f>SUM(BQ8:BQ16)</f>
        <v>0</v>
      </c>
      <c r="BR17" s="76">
        <f>SUM(BR8:BR16)</f>
        <v>395.56800000000004</v>
      </c>
      <c r="BS17" s="76">
        <f>SUM(BS8:BS16)</f>
        <v>15.82272</v>
      </c>
      <c r="BT17" s="76">
        <f>SUM(BT8:BT16)</f>
        <v>411.39072000000004</v>
      </c>
      <c r="BU17" s="76">
        <f>SUM(BU8:BU16)</f>
        <v>2.6204571000000003</v>
      </c>
      <c r="BV17" s="76">
        <f>SUM(BV8:BV16)</f>
        <v>0.9397152</v>
      </c>
      <c r="BW17" s="76">
        <f>SUM(BW8:BW16)</f>
        <v>0</v>
      </c>
      <c r="BX17" s="76">
        <f>SUM(BX8:BX16)</f>
        <v>33364.16</v>
      </c>
      <c r="BY17" s="76">
        <f>SUM(BY8:BY16)</f>
        <v>1334.5664000000002</v>
      </c>
      <c r="BZ17" s="76">
        <f>SUM(BZ8:BZ16)</f>
        <v>34698.7264</v>
      </c>
      <c r="CA17" s="76">
        <f>SUM(CA8:CA16)</f>
        <v>221.02230200000002</v>
      </c>
      <c r="CB17" s="76">
        <f>SUM(CB8:CB16)</f>
        <v>79.26022400000001</v>
      </c>
      <c r="CC17" s="76">
        <f>SUM(CC8:CC16)</f>
        <v>0</v>
      </c>
      <c r="CD17" s="76">
        <f>SUM(CD8:CD16)</f>
        <v>2685.008</v>
      </c>
      <c r="CE17" s="76">
        <f>SUM(CE8:CE16)</f>
        <v>107.40032</v>
      </c>
      <c r="CF17" s="76">
        <f>SUM(CF8:CF16)</f>
        <v>2792.4083199999995</v>
      </c>
      <c r="CG17" s="76">
        <f>SUM(CG8:CG16)</f>
        <v>17.7869501</v>
      </c>
      <c r="CH17" s="76">
        <f>SUM(CH8:CH16)</f>
        <v>6.378531199999999</v>
      </c>
      <c r="CI17" s="76">
        <f>SUM(CI8:CI16)</f>
        <v>0</v>
      </c>
      <c r="CJ17" s="76">
        <f>SUM(CJ8:CJ16)</f>
        <v>3043.84</v>
      </c>
      <c r="CK17" s="76">
        <f>SUM(CK8:CK16)</f>
        <v>121.7536</v>
      </c>
      <c r="CL17" s="76">
        <f>SUM(CL8:CL16)</f>
        <v>3165.5936</v>
      </c>
      <c r="CM17" s="76">
        <f>SUM(CM8:CM16)</f>
        <v>20.164048</v>
      </c>
      <c r="CN17" s="76">
        <f>SUM(CN8:CN16)</f>
        <v>7.230976</v>
      </c>
      <c r="CO17" s="76">
        <f>SUM(CO8:CO16)</f>
        <v>0</v>
      </c>
      <c r="CP17" s="76">
        <f>SUM(CP8:CP16)</f>
        <v>66192.368</v>
      </c>
      <c r="CQ17" s="76">
        <f>SUM(CQ8:CQ16)</f>
        <v>2647.69472</v>
      </c>
      <c r="CR17" s="76">
        <f>SUM(CR8:CR16)</f>
        <v>68840.06272</v>
      </c>
      <c r="CS17" s="76">
        <f>SUM(CS8:CS16)</f>
        <v>438.4941671</v>
      </c>
      <c r="CT17" s="76">
        <f>SUM(CT8:CT16)</f>
        <v>157.2472352</v>
      </c>
      <c r="CU17" s="76">
        <f>SUM(CU8:CU16)</f>
        <v>0</v>
      </c>
      <c r="CV17" s="76">
        <f>SUM(CV8:CV16)</f>
        <v>41307.008</v>
      </c>
      <c r="CW17" s="76">
        <f>SUM(CW8:CW16)</f>
        <v>1652.28032</v>
      </c>
      <c r="CX17" s="76">
        <f>SUM(CX8:CX16)</f>
        <v>42959.28832000001</v>
      </c>
      <c r="CY17" s="76">
        <f>SUM(CY8:CY16)</f>
        <v>273.6400376</v>
      </c>
      <c r="CZ17" s="76">
        <f>SUM(CZ8:CZ16)</f>
        <v>98.1293312</v>
      </c>
      <c r="DA17" s="76">
        <f>SUM(DA8:DA16)</f>
        <v>0</v>
      </c>
      <c r="DB17" s="76">
        <f>SUM(DB8:DB16)</f>
        <v>1305.44</v>
      </c>
      <c r="DC17" s="76">
        <f>SUM(DC8:DC16)</f>
        <v>52.217600000000004</v>
      </c>
      <c r="DD17" s="76">
        <f>SUM(DD8:DD16)</f>
        <v>1357.6576</v>
      </c>
      <c r="DE17" s="76">
        <f>SUM(DE8:DE16)</f>
        <v>8.647943000000001</v>
      </c>
      <c r="DF17" s="76">
        <f>SUM(DF8:DF16)</f>
        <v>3.101216</v>
      </c>
      <c r="DG17" s="76">
        <f>SUM(DG8:DG16)</f>
        <v>0</v>
      </c>
      <c r="DH17" s="76">
        <f>SUM(DH8:DH16)</f>
        <v>5654.72</v>
      </c>
      <c r="DI17" s="76">
        <f>SUM(DI8:DI16)</f>
        <v>226.18880000000001</v>
      </c>
      <c r="DJ17" s="76">
        <f>SUM(DJ8:DJ16)</f>
        <v>5880.9088</v>
      </c>
      <c r="DK17" s="76">
        <f>SUM(DK8:DK16)</f>
        <v>37.459934000000004</v>
      </c>
      <c r="DL17" s="76">
        <f>SUM(DL8:DL16)</f>
        <v>13.433408</v>
      </c>
      <c r="DM17" s="76">
        <f>SUM(DM8:DM16)</f>
        <v>0</v>
      </c>
      <c r="DN17" s="76">
        <f>SUM(DN8:DN16)</f>
        <v>7486.928</v>
      </c>
      <c r="DO17" s="76">
        <f>SUM(DO8:DO16)</f>
        <v>299.47712</v>
      </c>
      <c r="DP17" s="76">
        <f>SUM(DP8:DP16)</f>
        <v>7786.405119999999</v>
      </c>
      <c r="DQ17" s="76">
        <f>SUM(DQ8:DQ16)</f>
        <v>49.5974741</v>
      </c>
      <c r="DR17" s="76">
        <f>SUM(DR8:DR16)</f>
        <v>17.7860192</v>
      </c>
      <c r="DS17" s="76">
        <f>SUM(DS8:DS16)</f>
        <v>0</v>
      </c>
      <c r="DT17" s="76">
        <f>SUM(DT8:DT16)</f>
        <v>44814.64</v>
      </c>
      <c r="DU17" s="76">
        <f>SUM(DU8:DU16)</f>
        <v>1792.5855999999999</v>
      </c>
      <c r="DV17" s="76">
        <f>SUM(DV8:DV16)</f>
        <v>46607.225600000005</v>
      </c>
      <c r="DW17" s="76">
        <f>SUM(DW8:DW16)</f>
        <v>296.8764955</v>
      </c>
      <c r="DX17" s="76">
        <f>SUM(DX8:DX16)</f>
        <v>106.462096</v>
      </c>
      <c r="DY17" s="76">
        <f>SUM(DY8:DY16)</f>
        <v>0</v>
      </c>
      <c r="DZ17" s="76">
        <f>SUM(DZ8:DZ16)</f>
        <v>11247.12</v>
      </c>
      <c r="EA17" s="76">
        <f>SUM(EA8:EA16)</f>
        <v>449.88480000000004</v>
      </c>
      <c r="EB17" s="76">
        <f>SUM(EB8:EB16)</f>
        <v>11697.0048</v>
      </c>
      <c r="EC17" s="76">
        <f>SUM(EC8:EC16)</f>
        <v>74.50702650000001</v>
      </c>
      <c r="ED17" s="76">
        <f>SUM(ED8:ED16)</f>
        <v>26.718768</v>
      </c>
      <c r="EE17" s="76">
        <f>SUM(EE8:EE16)</f>
        <v>0</v>
      </c>
      <c r="EF17" s="76">
        <f>SUM(EF8:EF16)</f>
        <v>29822.416</v>
      </c>
      <c r="EG17" s="76">
        <f>SUM(EG8:EG16)</f>
        <v>1192.89664</v>
      </c>
      <c r="EH17" s="76">
        <f>SUM(EH8:EH16)</f>
        <v>31015.31264</v>
      </c>
      <c r="EI17" s="76">
        <f>SUM(EI8:EI16)</f>
        <v>197.55986769999998</v>
      </c>
      <c r="EJ17" s="76">
        <f>SUM(EJ8:EJ16)</f>
        <v>70.8464224</v>
      </c>
      <c r="EK17" s="76">
        <f>SUM(EK8:EK16)</f>
        <v>0</v>
      </c>
      <c r="EL17" s="76">
        <f>SUM(EL8:EL16)</f>
        <v>587.776</v>
      </c>
      <c r="EM17" s="76">
        <f>SUM(EM8:EM16)</f>
        <v>23.511039999999998</v>
      </c>
      <c r="EN17" s="76">
        <f>SUM(EN8:EN16)</f>
        <v>611.28704</v>
      </c>
      <c r="EO17" s="76">
        <f>SUM(EO8:EO16)</f>
        <v>3.8937472</v>
      </c>
      <c r="EP17" s="76">
        <f>SUM(EP8:EP16)</f>
        <v>1.3963264</v>
      </c>
      <c r="EQ17" s="76">
        <f>SUM(EQ8:EQ16)</f>
        <v>0</v>
      </c>
      <c r="ER17" s="76">
        <f>SUM(ER8:ER16)</f>
        <v>17640.496</v>
      </c>
      <c r="ES17" s="76">
        <f>SUM(ES8:ES16)</f>
        <v>705.61984</v>
      </c>
      <c r="ET17" s="76">
        <f>SUM(ET8:ET16)</f>
        <v>18346.11584</v>
      </c>
      <c r="EU17" s="76">
        <f>SUM(EU8:EU16)</f>
        <v>116.86021869999999</v>
      </c>
      <c r="EV17" s="76">
        <f>SUM(EV8:EV16)</f>
        <v>41.9069344</v>
      </c>
      <c r="EW17" s="76">
        <f>SUM(EW8:EW16)</f>
        <v>0</v>
      </c>
      <c r="EX17" s="76">
        <f>SUM(EX8:EX16)</f>
        <v>47374.352</v>
      </c>
      <c r="EY17" s="76">
        <f>SUM(EY8:EY16)</f>
        <v>1894.97408</v>
      </c>
      <c r="EZ17" s="76">
        <f>SUM(EZ8:EZ16)</f>
        <v>49269.32608</v>
      </c>
      <c r="FA17" s="76">
        <f>SUM(FA8:FA16)</f>
        <v>313.8334169</v>
      </c>
      <c r="FB17" s="76">
        <f>SUM(FB8:FB16)</f>
        <v>112.5429728</v>
      </c>
      <c r="FC17" s="76">
        <f>SUM(FC8:FC16)</f>
        <v>0</v>
      </c>
      <c r="FD17" s="76">
        <f>SUM(FD8:FD16)</f>
        <v>18213.184</v>
      </c>
      <c r="FE17" s="76">
        <f>SUM(FE8:FE16)</f>
        <v>728.52736</v>
      </c>
      <c r="FF17" s="76">
        <f>SUM(FF8:FF16)</f>
        <v>18941.71136</v>
      </c>
      <c r="FG17" s="76">
        <f>SUM(FG8:FG16)</f>
        <v>120.6540148</v>
      </c>
      <c r="FH17" s="76">
        <f>SUM(FH8:FH16)</f>
        <v>43.2674176</v>
      </c>
      <c r="FI17" s="76">
        <f>SUM(FI8:FI16)</f>
        <v>0</v>
      </c>
      <c r="FJ17" s="76">
        <f>SUM(FJ8:FJ16)</f>
        <v>128827.248</v>
      </c>
      <c r="FK17" s="76">
        <f>SUM(FK8:FK16)</f>
        <v>5153.08992</v>
      </c>
      <c r="FL17" s="76">
        <f>SUM(FL8:FL16)</f>
        <v>133980.33792000002</v>
      </c>
      <c r="FM17" s="76">
        <f>SUM(FM8:FM16)</f>
        <v>853.4216031000001</v>
      </c>
      <c r="FN17" s="76">
        <f>SUM(FN8:FN16)</f>
        <v>306.0432672</v>
      </c>
      <c r="FO17" s="76">
        <f>SUM(FO8:FO16)</f>
        <v>0</v>
      </c>
      <c r="FP17" s="76">
        <f>SUM(FP8:FP16)</f>
        <v>43633.840000000004</v>
      </c>
      <c r="FQ17" s="76">
        <f>SUM(FQ8:FQ16)</f>
        <v>1745.3536000000001</v>
      </c>
      <c r="FR17" s="76">
        <f>SUM(FR8:FR16)</f>
        <v>45379.193600000006</v>
      </c>
      <c r="FS17" s="76">
        <f>SUM(FS8:FS16)</f>
        <v>289.0542355</v>
      </c>
      <c r="FT17" s="76">
        <f>SUM(FT8:FT16)</f>
        <v>103.65697600000001</v>
      </c>
      <c r="FU17" s="76">
        <f>SUM(FU8:FU16)</f>
        <v>0</v>
      </c>
      <c r="FV17" s="76">
        <f>SUM(FV8:FV16)</f>
        <v>9429.344</v>
      </c>
      <c r="FW17" s="76">
        <f>SUM(FW8:FW16)</f>
        <v>377.17375999999996</v>
      </c>
      <c r="FX17" s="76">
        <f>SUM(FX8:FX16)</f>
        <v>9806.51776</v>
      </c>
      <c r="FY17" s="76">
        <f>SUM(FY8:FY16)</f>
        <v>62.465091799999996</v>
      </c>
      <c r="FZ17" s="76">
        <f>SUM(FZ8:FZ16)</f>
        <v>22.4004416</v>
      </c>
      <c r="GA17" s="76">
        <f>SUM(GA8:GA16)</f>
        <v>0</v>
      </c>
      <c r="GB17" s="76">
        <f>SUM(GB8:GB16)</f>
        <v>24866.336</v>
      </c>
      <c r="GC17" s="76">
        <f>SUM(GC8:GC16)</f>
        <v>994.6534399999999</v>
      </c>
      <c r="GD17" s="76">
        <f>SUM(GD8:GD16)</f>
        <v>25860.98944</v>
      </c>
      <c r="GE17" s="76">
        <f>SUM(GE8:GE16)</f>
        <v>164.72810420000002</v>
      </c>
      <c r="GF17" s="76">
        <f>SUM(GF8:GF16)</f>
        <v>59.0727104</v>
      </c>
      <c r="GG17" s="76">
        <f>SUM(GG8:GG16)</f>
        <v>0</v>
      </c>
      <c r="GH17" s="76">
        <f>SUM(GH8:GH16)</f>
        <v>135.792</v>
      </c>
      <c r="GI17" s="76">
        <f>SUM(GI8:GI16)</f>
        <v>5.431679999999999</v>
      </c>
      <c r="GJ17" s="76">
        <f>SUM(GJ8:GJ16)</f>
        <v>141.22367999999997</v>
      </c>
      <c r="GK17" s="76">
        <f>SUM(GK8:GK16)</f>
        <v>0.8995598999999999</v>
      </c>
      <c r="GL17" s="76">
        <f>SUM(GL8:GL16)</f>
        <v>0.3225888</v>
      </c>
      <c r="GM17" s="72"/>
      <c r="GN17" s="72"/>
      <c r="GO17" s="72"/>
      <c r="GP17" s="72"/>
      <c r="GQ17" s="72"/>
      <c r="GR17" s="72"/>
      <c r="GS17" s="38"/>
      <c r="GT17" s="38"/>
      <c r="GU17" s="38"/>
      <c r="GV17" s="38"/>
      <c r="GW17" s="38"/>
      <c r="GX17" s="38"/>
      <c r="GY17" s="38"/>
      <c r="GZ17" s="38"/>
      <c r="HA17" s="38"/>
      <c r="HB17" s="38"/>
      <c r="HC17" s="38"/>
      <c r="HD17" s="38"/>
    </row>
    <row r="18" spans="193:195" ht="13.5" thickTop="1">
      <c r="GK18" s="72"/>
      <c r="GL18" s="72"/>
      <c r="GM18" s="72"/>
    </row>
    <row r="19" spans="193:195" ht="12.75">
      <c r="GK19" s="72"/>
      <c r="GL19" s="72"/>
      <c r="GM19" s="72"/>
    </row>
  </sheetData>
  <sheetProtection/>
  <printOptions/>
  <pageMargins left="0.75" right="0.75" top="1" bottom="1" header="0.3" footer="0.3"/>
  <pageSetup horizontalDpi="600" verticalDpi="600" orientation="landscape" scale="71"/>
  <colBreaks count="1" manualBreakCount="1">
    <brk id="14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HU19"/>
  <sheetViews>
    <sheetView zoomScale="153" zoomScaleNormal="153" zoomScalePageLayoutView="0" workbookViewId="0" topLeftCell="A1">
      <selection activeCell="C11" sqref="C11"/>
    </sheetView>
  </sheetViews>
  <sheetFormatPr defaultColWidth="8.8515625" defaultRowHeight="12.75"/>
  <cols>
    <col min="1" max="1" width="9.7109375" style="22" customWidth="1"/>
    <col min="2" max="2" width="3.7109375" style="38" customWidth="1"/>
    <col min="3" max="6" width="13.7109375" style="38" customWidth="1"/>
    <col min="7" max="7" width="16.28125" style="38" customWidth="1"/>
    <col min="8" max="8" width="3.7109375" style="38" customWidth="1"/>
    <col min="9" max="12" width="13.7109375" style="38" customWidth="1"/>
    <col min="13" max="13" width="16.7109375" style="38" customWidth="1"/>
    <col min="14" max="14" width="3.7109375" style="0" customWidth="1"/>
    <col min="15" max="18" width="13.7109375" style="0" customWidth="1"/>
    <col min="19" max="19" width="15.7109375" style="0" customWidth="1"/>
    <col min="20" max="20" width="3.7109375" style="0" customWidth="1"/>
    <col min="21" max="24" width="13.7109375" style="0" customWidth="1"/>
    <col min="25" max="25" width="16.140625" style="0" customWidth="1"/>
    <col min="26" max="26" width="3.7109375" style="0" customWidth="1"/>
    <col min="27" max="30" width="13.7109375" style="23" customWidth="1"/>
    <col min="31" max="31" width="17.00390625" style="23" customWidth="1"/>
    <col min="32" max="32" width="3.7109375" style="23" customWidth="1"/>
    <col min="33" max="36" width="13.7109375" style="23" customWidth="1"/>
    <col min="37" max="37" width="15.8515625" style="23" customWidth="1"/>
    <col min="38" max="38" width="3.7109375" style="23" customWidth="1"/>
    <col min="39" max="42" width="13.7109375" style="23" customWidth="1"/>
    <col min="43" max="43" width="16.421875" style="23" customWidth="1"/>
    <col min="44" max="44" width="3.7109375" style="23" customWidth="1"/>
    <col min="45" max="48" width="13.7109375" style="23" customWidth="1"/>
    <col min="49" max="49" width="16.140625" style="23" customWidth="1"/>
    <col min="50" max="50" width="3.7109375" style="23" customWidth="1"/>
    <col min="51" max="54" width="13.7109375" style="23" customWidth="1"/>
    <col min="55" max="55" width="16.00390625" style="23" customWidth="1"/>
    <col min="56" max="56" width="3.7109375" style="23" customWidth="1"/>
    <col min="57" max="60" width="13.7109375" style="23" customWidth="1"/>
    <col min="61" max="61" width="16.7109375" style="23" customWidth="1"/>
    <col min="62" max="62" width="3.7109375" style="23" customWidth="1"/>
    <col min="63" max="66" width="13.7109375" style="23" customWidth="1"/>
    <col min="67" max="67" width="16.28125" style="23" customWidth="1"/>
    <col min="68" max="68" width="3.7109375" style="23" customWidth="1"/>
    <col min="69" max="72" width="13.7109375" style="23" customWidth="1"/>
    <col min="73" max="73" width="15.421875" style="23" customWidth="1"/>
    <col min="74" max="74" width="3.7109375" style="23" customWidth="1"/>
    <col min="75" max="78" width="13.7109375" style="23" customWidth="1"/>
    <col min="79" max="79" width="17.00390625" style="23" customWidth="1"/>
    <col min="80" max="80" width="3.7109375" style="23" customWidth="1"/>
    <col min="81" max="84" width="13.7109375" style="23" customWidth="1"/>
    <col min="85" max="85" width="16.140625" style="23" customWidth="1"/>
    <col min="86" max="86" width="3.7109375" style="23" customWidth="1"/>
    <col min="87" max="90" width="13.7109375" style="23" customWidth="1"/>
    <col min="91" max="91" width="15.8515625" style="23" customWidth="1"/>
    <col min="92" max="92" width="3.7109375" style="23" customWidth="1"/>
    <col min="93" max="96" width="13.7109375" style="23" customWidth="1"/>
    <col min="97" max="97" width="16.00390625" style="23" customWidth="1"/>
    <col min="98" max="98" width="3.7109375" style="23" customWidth="1"/>
    <col min="99" max="102" width="13.7109375" style="23" customWidth="1"/>
    <col min="103" max="103" width="16.00390625" style="23" customWidth="1"/>
    <col min="104" max="104" width="3.7109375" style="23" customWidth="1"/>
    <col min="105" max="108" width="13.7109375" style="23" customWidth="1"/>
    <col min="109" max="109" width="16.421875" style="23" customWidth="1"/>
    <col min="110" max="110" width="3.7109375" style="23" customWidth="1"/>
    <col min="111" max="114" width="13.7109375" style="23" customWidth="1"/>
    <col min="115" max="115" width="16.8515625" style="23" customWidth="1"/>
    <col min="116" max="116" width="3.7109375" style="23" customWidth="1"/>
    <col min="117" max="120" width="13.7109375" style="23" customWidth="1"/>
    <col min="121" max="121" width="16.28125" style="23" customWidth="1"/>
    <col min="122" max="122" width="3.7109375" style="23" customWidth="1"/>
    <col min="123" max="126" width="13.7109375" style="23" customWidth="1"/>
    <col min="127" max="127" width="16.421875" style="23" customWidth="1"/>
    <col min="128" max="128" width="3.7109375" style="23" customWidth="1"/>
    <col min="129" max="132" width="13.7109375" style="23" customWidth="1"/>
    <col min="133" max="133" width="16.421875" style="23" customWidth="1"/>
    <col min="134" max="134" width="3.7109375" style="23" customWidth="1"/>
    <col min="135" max="138" width="13.7109375" style="23" customWidth="1"/>
    <col min="139" max="139" width="16.7109375" style="23" customWidth="1"/>
    <col min="140" max="140" width="3.7109375" style="23" customWidth="1"/>
    <col min="141" max="144" width="13.7109375" style="23" customWidth="1"/>
    <col min="145" max="145" width="17.8515625" style="23" customWidth="1"/>
    <col min="146" max="146" width="3.7109375" style="23" customWidth="1"/>
    <col min="147" max="150" width="13.7109375" style="23" customWidth="1"/>
    <col min="151" max="151" width="17.00390625" style="23" customWidth="1"/>
    <col min="152" max="152" width="3.7109375" style="23" customWidth="1"/>
    <col min="153" max="156" width="13.7109375" style="23" customWidth="1"/>
    <col min="157" max="157" width="16.421875" style="23" customWidth="1"/>
    <col min="158" max="158" width="3.7109375" style="23" customWidth="1"/>
    <col min="159" max="162" width="13.7109375" style="23" customWidth="1"/>
    <col min="163" max="163" width="17.421875" style="23" customWidth="1"/>
    <col min="164" max="164" width="3.7109375" style="23" customWidth="1"/>
    <col min="165" max="168" width="13.7109375" style="23" customWidth="1"/>
    <col min="169" max="169" width="16.421875" style="23" customWidth="1"/>
    <col min="170" max="170" width="3.7109375" style="23" customWidth="1"/>
    <col min="171" max="174" width="13.7109375" style="23" customWidth="1"/>
    <col min="175" max="175" width="16.421875" style="23" customWidth="1"/>
    <col min="176" max="176" width="3.7109375" style="23" customWidth="1"/>
    <col min="177" max="180" width="13.7109375" style="23" customWidth="1"/>
    <col min="181" max="181" width="15.8515625" style="23" customWidth="1"/>
    <col min="182" max="182" width="3.7109375" style="23" customWidth="1"/>
    <col min="183" max="186" width="13.7109375" style="23" customWidth="1"/>
    <col min="187" max="187" width="16.140625" style="23" customWidth="1"/>
    <col min="188" max="188" width="3.7109375" style="23" customWidth="1"/>
    <col min="189" max="192" width="13.7109375" style="23" customWidth="1"/>
    <col min="193" max="193" width="16.8515625" style="23" customWidth="1"/>
    <col min="194" max="194" width="3.7109375" style="23" customWidth="1"/>
    <col min="195" max="198" width="13.7109375" style="23" customWidth="1"/>
    <col min="199" max="199" width="16.28125" style="23" customWidth="1"/>
    <col min="200" max="200" width="3.7109375" style="23" customWidth="1"/>
    <col min="201" max="204" width="13.7109375" style="23" customWidth="1"/>
    <col min="205" max="205" width="16.00390625" style="23" customWidth="1"/>
    <col min="206" max="206" width="3.7109375" style="23" customWidth="1"/>
    <col min="207" max="211" width="13.7109375" style="23" customWidth="1"/>
    <col min="212" max="212" width="3.7109375" style="0" customWidth="1"/>
  </cols>
  <sheetData>
    <row r="1" spans="1:211" ht="12.75">
      <c r="A1" s="49"/>
      <c r="B1" s="33"/>
      <c r="C1" s="48"/>
      <c r="D1" s="50"/>
      <c r="E1" s="41"/>
      <c r="G1" s="50"/>
      <c r="K1" s="48"/>
      <c r="L1" s="50" t="s">
        <v>24</v>
      </c>
      <c r="M1" s="41"/>
      <c r="N1" s="38"/>
      <c r="O1" s="50"/>
      <c r="P1" s="38"/>
      <c r="Q1" s="38"/>
      <c r="R1" s="38"/>
      <c r="S1" s="50"/>
      <c r="T1" s="50"/>
      <c r="U1" s="41"/>
      <c r="V1" s="38"/>
      <c r="W1" s="48"/>
      <c r="X1" s="50" t="s">
        <v>24</v>
      </c>
      <c r="Z1" s="38"/>
      <c r="AA1"/>
      <c r="AB1"/>
      <c r="AC1"/>
      <c r="AD1" s="38"/>
      <c r="AE1" s="50"/>
      <c r="AF1" s="24"/>
      <c r="AH1" s="38"/>
      <c r="AI1" s="48"/>
      <c r="AJ1" s="50" t="s">
        <v>24</v>
      </c>
      <c r="AL1" s="38"/>
      <c r="AP1" s="38"/>
      <c r="AQ1" s="50"/>
      <c r="AR1" s="24"/>
      <c r="AT1" s="38"/>
      <c r="AU1" s="48"/>
      <c r="AV1" s="50" t="s">
        <v>24</v>
      </c>
      <c r="AX1" s="38"/>
      <c r="BB1" s="38"/>
      <c r="BC1" s="50"/>
      <c r="BD1" s="24"/>
      <c r="BF1" s="38"/>
      <c r="BG1" s="48"/>
      <c r="BH1" s="50" t="s">
        <v>24</v>
      </c>
      <c r="BJ1" s="38"/>
      <c r="BK1" s="50"/>
      <c r="BN1" s="38"/>
      <c r="BO1" s="50"/>
      <c r="BR1" s="38"/>
      <c r="BS1" s="48"/>
      <c r="BT1" s="50" t="s">
        <v>24</v>
      </c>
      <c r="BV1" s="38"/>
      <c r="BZ1" s="38"/>
      <c r="CA1" s="50"/>
      <c r="CD1" s="38"/>
      <c r="CE1" s="48"/>
      <c r="CF1" s="50" t="s">
        <v>24</v>
      </c>
      <c r="CH1" s="38"/>
      <c r="CL1" s="38"/>
      <c r="CM1" s="50"/>
      <c r="CP1" s="38"/>
      <c r="CQ1" s="48"/>
      <c r="CR1" s="50" t="s">
        <v>24</v>
      </c>
      <c r="CT1" s="38"/>
      <c r="CV1" s="24"/>
      <c r="CX1" s="38"/>
      <c r="CY1" s="50"/>
      <c r="DB1" s="38"/>
      <c r="DC1" s="48"/>
      <c r="DD1" s="50" t="s">
        <v>24</v>
      </c>
      <c r="DF1" s="38"/>
      <c r="DG1" s="50"/>
      <c r="DJ1" s="38"/>
      <c r="DK1" s="50"/>
      <c r="DN1" s="38"/>
      <c r="DO1" s="48"/>
      <c r="DP1" s="50" t="s">
        <v>24</v>
      </c>
      <c r="DR1" s="38"/>
      <c r="DS1" s="50"/>
      <c r="DV1" s="38"/>
      <c r="DW1" s="50"/>
      <c r="DZ1" s="38"/>
      <c r="EA1" s="48"/>
      <c r="EB1" s="50" t="s">
        <v>24</v>
      </c>
      <c r="ED1" s="38"/>
      <c r="EH1" s="38"/>
      <c r="EI1" s="50"/>
      <c r="EL1" s="38"/>
      <c r="EM1" s="48"/>
      <c r="EN1" s="50" t="s">
        <v>24</v>
      </c>
      <c r="EP1" s="38"/>
      <c r="ET1" s="38"/>
      <c r="EU1" s="50"/>
      <c r="EX1"/>
      <c r="EY1" s="48"/>
      <c r="EZ1" s="50" t="s">
        <v>24</v>
      </c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</row>
    <row r="2" spans="1:211" ht="12.75">
      <c r="A2" s="49"/>
      <c r="B2" s="33"/>
      <c r="C2" s="48"/>
      <c r="D2" s="50"/>
      <c r="E2" s="41"/>
      <c r="G2" s="50"/>
      <c r="K2" s="50" t="s">
        <v>194</v>
      </c>
      <c r="M2" s="41"/>
      <c r="N2" s="38"/>
      <c r="O2" s="50"/>
      <c r="P2" s="38"/>
      <c r="Q2" s="38"/>
      <c r="R2" s="38"/>
      <c r="S2" s="50"/>
      <c r="T2" s="50"/>
      <c r="U2" s="41"/>
      <c r="V2" s="38"/>
      <c r="W2" s="50" t="str">
        <f>K2</f>
        <v>         Distribution of Debt Services after 2017B Bond Issue</v>
      </c>
      <c r="X2" s="38"/>
      <c r="Z2" s="38"/>
      <c r="AA2"/>
      <c r="AB2"/>
      <c r="AC2"/>
      <c r="AD2" s="38"/>
      <c r="AE2" s="50"/>
      <c r="AF2" s="24"/>
      <c r="AH2" s="38"/>
      <c r="AI2" s="50" t="str">
        <f>W2</f>
        <v>         Distribution of Debt Services after 2017B Bond Issue</v>
      </c>
      <c r="AJ2" s="38"/>
      <c r="AL2" s="38"/>
      <c r="AP2" s="38"/>
      <c r="AQ2" s="50"/>
      <c r="AR2" s="24"/>
      <c r="AT2" s="38"/>
      <c r="AU2" s="50" t="str">
        <f>AI2</f>
        <v>         Distribution of Debt Services after 2017B Bond Issue</v>
      </c>
      <c r="AV2" s="38"/>
      <c r="AX2" s="38"/>
      <c r="BB2" s="38"/>
      <c r="BC2" s="50"/>
      <c r="BD2" s="24"/>
      <c r="BF2" s="38"/>
      <c r="BG2" s="50" t="str">
        <f>AU2</f>
        <v>         Distribution of Debt Services after 2017B Bond Issue</v>
      </c>
      <c r="BH2" s="38"/>
      <c r="BJ2" s="38"/>
      <c r="BK2" s="50"/>
      <c r="BN2" s="38"/>
      <c r="BO2" s="50"/>
      <c r="BR2" s="38"/>
      <c r="BS2" s="50" t="str">
        <f>BG2</f>
        <v>         Distribution of Debt Services after 2017B Bond Issue</v>
      </c>
      <c r="BT2" s="38"/>
      <c r="BV2" s="38"/>
      <c r="BZ2" s="38"/>
      <c r="CA2" s="50"/>
      <c r="CD2" s="38"/>
      <c r="CE2" s="50" t="str">
        <f>BS2</f>
        <v>         Distribution of Debt Services after 2017B Bond Issue</v>
      </c>
      <c r="CF2" s="38"/>
      <c r="CH2" s="38"/>
      <c r="CL2" s="38"/>
      <c r="CM2" s="50"/>
      <c r="CP2" s="38"/>
      <c r="CQ2" s="50" t="str">
        <f>CE2</f>
        <v>         Distribution of Debt Services after 2017B Bond Issue</v>
      </c>
      <c r="CR2" s="38"/>
      <c r="CT2" s="38"/>
      <c r="CV2" s="24"/>
      <c r="CX2" s="38"/>
      <c r="CY2" s="50"/>
      <c r="DB2" s="38"/>
      <c r="DC2" s="50" t="str">
        <f>CQ2</f>
        <v>         Distribution of Debt Services after 2017B Bond Issue</v>
      </c>
      <c r="DD2" s="38"/>
      <c r="DF2" s="38"/>
      <c r="DG2" s="50"/>
      <c r="DJ2" s="38"/>
      <c r="DK2" s="50"/>
      <c r="DN2" s="38"/>
      <c r="DO2" s="50" t="str">
        <f>DC2</f>
        <v>         Distribution of Debt Services after 2017B Bond Issue</v>
      </c>
      <c r="DP2" s="38"/>
      <c r="DR2" s="38"/>
      <c r="DS2" s="50"/>
      <c r="DV2" s="38"/>
      <c r="DW2" s="50"/>
      <c r="DZ2" s="38"/>
      <c r="EA2" s="50" t="str">
        <f>DO2</f>
        <v>         Distribution of Debt Services after 2017B Bond Issue</v>
      </c>
      <c r="EB2" s="38"/>
      <c r="ED2" s="38"/>
      <c r="EH2" s="38"/>
      <c r="EI2" s="50"/>
      <c r="EL2" s="38"/>
      <c r="EM2" s="50" t="str">
        <f>EA2</f>
        <v>         Distribution of Debt Services after 2017B Bond Issue</v>
      </c>
      <c r="EN2" s="38"/>
      <c r="EP2" s="38"/>
      <c r="ET2" s="38"/>
      <c r="EU2" s="50"/>
      <c r="EX2"/>
      <c r="EY2" s="50" t="str">
        <f>EM2</f>
        <v>         Distribution of Debt Services after 2017B Bond Issue</v>
      </c>
      <c r="EZ2" s="38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</row>
    <row r="3" spans="1:211" ht="12.75">
      <c r="A3" s="49"/>
      <c r="B3" s="33"/>
      <c r="C3" s="48"/>
      <c r="D3" s="48"/>
      <c r="E3" s="41"/>
      <c r="G3" s="50"/>
      <c r="K3" s="48"/>
      <c r="L3" s="50" t="s">
        <v>85</v>
      </c>
      <c r="M3" s="41"/>
      <c r="N3" s="38"/>
      <c r="O3" s="50"/>
      <c r="P3" s="38"/>
      <c r="Q3" s="38"/>
      <c r="R3" s="38"/>
      <c r="S3" s="50"/>
      <c r="T3" s="48"/>
      <c r="U3" s="41"/>
      <c r="V3" s="38"/>
      <c r="W3" s="48"/>
      <c r="X3" s="50" t="s">
        <v>85</v>
      </c>
      <c r="Z3" s="38"/>
      <c r="AA3"/>
      <c r="AB3"/>
      <c r="AC3"/>
      <c r="AD3" s="38"/>
      <c r="AE3" s="50"/>
      <c r="AH3" s="38"/>
      <c r="AI3" s="48"/>
      <c r="AJ3" s="50" t="s">
        <v>85</v>
      </c>
      <c r="AL3" s="38"/>
      <c r="AP3" s="38"/>
      <c r="AQ3" s="50"/>
      <c r="AT3" s="38"/>
      <c r="AU3" s="48"/>
      <c r="AV3" s="50" t="s">
        <v>85</v>
      </c>
      <c r="AX3" s="38"/>
      <c r="BB3" s="38"/>
      <c r="BC3" s="50"/>
      <c r="BF3" s="38"/>
      <c r="BG3" s="48"/>
      <c r="BH3" s="50" t="s">
        <v>85</v>
      </c>
      <c r="BJ3" s="38"/>
      <c r="BK3" s="50"/>
      <c r="BN3" s="38"/>
      <c r="BO3" s="50"/>
      <c r="BR3" s="38"/>
      <c r="BS3" s="48"/>
      <c r="BT3" s="50" t="s">
        <v>85</v>
      </c>
      <c r="BV3" s="38"/>
      <c r="BZ3" s="38"/>
      <c r="CA3" s="50"/>
      <c r="CD3" s="38"/>
      <c r="CE3" s="48"/>
      <c r="CF3" s="50" t="s">
        <v>85</v>
      </c>
      <c r="CH3" s="38"/>
      <c r="CL3" s="38"/>
      <c r="CM3" s="50"/>
      <c r="CP3" s="38"/>
      <c r="CQ3" s="48"/>
      <c r="CR3" s="50" t="s">
        <v>85</v>
      </c>
      <c r="CT3" s="38"/>
      <c r="CX3" s="38"/>
      <c r="CY3" s="50"/>
      <c r="DB3" s="38"/>
      <c r="DC3" s="48"/>
      <c r="DD3" s="50" t="s">
        <v>85</v>
      </c>
      <c r="DF3" s="38"/>
      <c r="DG3" s="50"/>
      <c r="DJ3" s="38"/>
      <c r="DK3" s="50"/>
      <c r="DN3" s="38"/>
      <c r="DO3" s="48"/>
      <c r="DP3" s="50" t="s">
        <v>85</v>
      </c>
      <c r="DR3" s="38"/>
      <c r="DS3" s="50"/>
      <c r="DV3" s="38"/>
      <c r="DW3" s="50"/>
      <c r="DZ3" s="38"/>
      <c r="EA3" s="48"/>
      <c r="EB3" s="50" t="s">
        <v>85</v>
      </c>
      <c r="ED3" s="38"/>
      <c r="EH3" s="38"/>
      <c r="EI3" s="50"/>
      <c r="EL3" s="38"/>
      <c r="EM3" s="48"/>
      <c r="EN3" s="50" t="s">
        <v>85</v>
      </c>
      <c r="EP3" s="38"/>
      <c r="ET3" s="38"/>
      <c r="EU3" s="50"/>
      <c r="EX3"/>
      <c r="EY3" s="48"/>
      <c r="EZ3" s="50" t="s">
        <v>85</v>
      </c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</row>
    <row r="4" spans="1:207" ht="12.75">
      <c r="A4" s="49"/>
      <c r="J4" s="50"/>
      <c r="K4" s="41"/>
      <c r="L4" s="41"/>
      <c r="M4" s="41"/>
      <c r="AB4" s="24"/>
      <c r="AH4" s="24"/>
      <c r="AT4" s="24"/>
      <c r="BL4" s="24"/>
      <c r="DZ4" s="24"/>
      <c r="FD4" s="24"/>
      <c r="GY4" s="24"/>
    </row>
    <row r="5" spans="1:211" ht="12.75">
      <c r="A5" s="25" t="s">
        <v>13</v>
      </c>
      <c r="C5" s="62" t="s">
        <v>193</v>
      </c>
      <c r="D5" s="62"/>
      <c r="E5" s="62"/>
      <c r="F5" s="46"/>
      <c r="G5" s="46"/>
      <c r="I5" s="42" t="s">
        <v>86</v>
      </c>
      <c r="J5" s="43"/>
      <c r="K5" s="44"/>
      <c r="L5" s="46"/>
      <c r="M5" s="46"/>
      <c r="O5" s="42" t="s">
        <v>84</v>
      </c>
      <c r="P5" s="43"/>
      <c r="Q5" s="44"/>
      <c r="R5" s="46"/>
      <c r="S5" s="46"/>
      <c r="U5" s="26" t="s">
        <v>131</v>
      </c>
      <c r="V5" s="27"/>
      <c r="W5" s="28"/>
      <c r="X5" s="46"/>
      <c r="Y5" s="46"/>
      <c r="AA5" s="26" t="s">
        <v>75</v>
      </c>
      <c r="AB5" s="27"/>
      <c r="AC5" s="28"/>
      <c r="AD5" s="46"/>
      <c r="AE5" s="46"/>
      <c r="AG5" s="26" t="s">
        <v>64</v>
      </c>
      <c r="AH5" s="27"/>
      <c r="AI5" s="28"/>
      <c r="AJ5" s="46"/>
      <c r="AK5" s="46"/>
      <c r="AM5" s="26" t="s">
        <v>65</v>
      </c>
      <c r="AN5" s="27"/>
      <c r="AO5" s="28"/>
      <c r="AP5" s="46"/>
      <c r="AQ5" s="46"/>
      <c r="AS5" s="26" t="s">
        <v>74</v>
      </c>
      <c r="AT5" s="27"/>
      <c r="AU5" s="28"/>
      <c r="AV5" s="46"/>
      <c r="AW5" s="46"/>
      <c r="AX5" s="34"/>
      <c r="AY5" s="26" t="s">
        <v>132</v>
      </c>
      <c r="AZ5" s="27"/>
      <c r="BA5" s="28"/>
      <c r="BB5" s="46"/>
      <c r="BC5" s="46"/>
      <c r="BD5" s="34"/>
      <c r="BE5" s="26" t="s">
        <v>73</v>
      </c>
      <c r="BF5" s="27"/>
      <c r="BG5" s="28"/>
      <c r="BH5" s="46"/>
      <c r="BI5" s="46"/>
      <c r="BJ5" s="34"/>
      <c r="BK5" s="26" t="s">
        <v>133</v>
      </c>
      <c r="BL5" s="27"/>
      <c r="BM5" s="28"/>
      <c r="BN5" s="46"/>
      <c r="BO5" s="46"/>
      <c r="BP5" s="34"/>
      <c r="BQ5" s="26" t="s">
        <v>134</v>
      </c>
      <c r="BR5" s="27"/>
      <c r="BS5" s="28"/>
      <c r="BT5" s="46"/>
      <c r="BU5" s="46"/>
      <c r="BV5" s="34"/>
      <c r="BW5" s="26" t="s">
        <v>72</v>
      </c>
      <c r="BX5" s="27"/>
      <c r="BY5" s="28"/>
      <c r="BZ5" s="46"/>
      <c r="CA5" s="46"/>
      <c r="CC5" s="26" t="s">
        <v>66</v>
      </c>
      <c r="CD5" s="27"/>
      <c r="CE5" s="28"/>
      <c r="CF5" s="46"/>
      <c r="CG5" s="46"/>
      <c r="CI5" s="26" t="s">
        <v>135</v>
      </c>
      <c r="CJ5" s="27"/>
      <c r="CK5" s="28"/>
      <c r="CL5" s="46"/>
      <c r="CM5" s="46"/>
      <c r="CO5" s="26" t="s">
        <v>136</v>
      </c>
      <c r="CP5" s="27"/>
      <c r="CQ5" s="28"/>
      <c r="CR5" s="46"/>
      <c r="CS5" s="46"/>
      <c r="CU5" s="26" t="s">
        <v>67</v>
      </c>
      <c r="CV5" s="27"/>
      <c r="CW5" s="28"/>
      <c r="CX5" s="46"/>
      <c r="CY5" s="46"/>
      <c r="DA5" s="26" t="s">
        <v>68</v>
      </c>
      <c r="DB5" s="27"/>
      <c r="DC5" s="28"/>
      <c r="DD5" s="46"/>
      <c r="DE5" s="46"/>
      <c r="DG5" s="26" t="s">
        <v>69</v>
      </c>
      <c r="DH5" s="27"/>
      <c r="DI5" s="28"/>
      <c r="DJ5" s="46"/>
      <c r="DK5" s="46"/>
      <c r="DM5" s="26" t="s">
        <v>137</v>
      </c>
      <c r="DN5" s="27"/>
      <c r="DO5" s="28"/>
      <c r="DP5" s="46"/>
      <c r="DQ5" s="46"/>
      <c r="DS5" s="26" t="s">
        <v>138</v>
      </c>
      <c r="DT5" s="27"/>
      <c r="DU5" s="28"/>
      <c r="DV5" s="46"/>
      <c r="DW5" s="46"/>
      <c r="DY5" s="26" t="s">
        <v>70</v>
      </c>
      <c r="DZ5" s="27"/>
      <c r="EA5" s="28"/>
      <c r="EB5" s="46"/>
      <c r="EC5" s="46"/>
      <c r="ED5" s="34"/>
      <c r="EE5" s="26" t="s">
        <v>71</v>
      </c>
      <c r="EF5" s="27"/>
      <c r="EG5" s="28"/>
      <c r="EH5" s="46"/>
      <c r="EI5" s="46"/>
      <c r="EK5" s="77" t="s">
        <v>192</v>
      </c>
      <c r="EL5" s="78"/>
      <c r="EM5" s="79"/>
      <c r="EN5" s="80"/>
      <c r="EO5" s="80"/>
      <c r="EQ5" s="26" t="s">
        <v>76</v>
      </c>
      <c r="ER5" s="27"/>
      <c r="ES5" s="28"/>
      <c r="ET5" s="46"/>
      <c r="EU5" s="46"/>
      <c r="EV5" s="34"/>
      <c r="EW5" s="26" t="s">
        <v>146</v>
      </c>
      <c r="EX5" s="27"/>
      <c r="EY5" s="28"/>
      <c r="EZ5" s="46"/>
      <c r="FA5" s="46"/>
      <c r="FB5" s="34"/>
      <c r="FC5" s="26" t="s">
        <v>77</v>
      </c>
      <c r="FD5" s="27"/>
      <c r="FE5" s="28"/>
      <c r="FF5" s="46"/>
      <c r="FG5" s="46"/>
      <c r="FH5" s="34"/>
      <c r="FI5" s="26" t="s">
        <v>78</v>
      </c>
      <c r="FJ5" s="27"/>
      <c r="FK5" s="28"/>
      <c r="FL5" s="46"/>
      <c r="FM5" s="46"/>
      <c r="FN5" s="34"/>
      <c r="FO5" s="26" t="s">
        <v>79</v>
      </c>
      <c r="FP5" s="27"/>
      <c r="FQ5" s="28"/>
      <c r="FR5" s="46"/>
      <c r="FS5" s="46"/>
      <c r="FT5" s="34"/>
      <c r="FU5" s="26" t="s">
        <v>80</v>
      </c>
      <c r="FV5" s="27"/>
      <c r="FW5" s="28"/>
      <c r="FX5" s="46"/>
      <c r="FY5" s="46"/>
      <c r="FZ5" s="34"/>
      <c r="GA5" s="26" t="s">
        <v>139</v>
      </c>
      <c r="GB5" s="27"/>
      <c r="GC5" s="28"/>
      <c r="GD5" s="46"/>
      <c r="GE5" s="46"/>
      <c r="GF5" s="34"/>
      <c r="GG5" s="26" t="s">
        <v>81</v>
      </c>
      <c r="GH5" s="27"/>
      <c r="GI5" s="28"/>
      <c r="GJ5" s="46"/>
      <c r="GK5" s="46"/>
      <c r="GL5" s="34"/>
      <c r="GM5" s="26" t="s">
        <v>82</v>
      </c>
      <c r="GN5" s="27"/>
      <c r="GO5" s="28"/>
      <c r="GP5" s="46"/>
      <c r="GQ5" s="46"/>
      <c r="GR5" s="34"/>
      <c r="GS5" s="26" t="s">
        <v>140</v>
      </c>
      <c r="GT5" s="27"/>
      <c r="GU5" s="28"/>
      <c r="GV5" s="46"/>
      <c r="GW5" s="46"/>
      <c r="GX5" s="34"/>
      <c r="GY5" s="61" t="s">
        <v>145</v>
      </c>
      <c r="GZ5" s="27"/>
      <c r="HA5" s="28"/>
      <c r="HB5" s="46"/>
      <c r="HC5" s="46"/>
    </row>
    <row r="6" spans="1:211" s="13" customFormat="1" ht="12.75">
      <c r="A6" s="51" t="s">
        <v>14</v>
      </c>
      <c r="B6" s="38"/>
      <c r="C6" s="65" t="s">
        <v>195</v>
      </c>
      <c r="D6" s="64"/>
      <c r="E6" s="63"/>
      <c r="F6" s="46" t="s">
        <v>182</v>
      </c>
      <c r="G6" s="46" t="s">
        <v>182</v>
      </c>
      <c r="H6" s="38"/>
      <c r="I6" s="45"/>
      <c r="J6" s="58">
        <v>0.1774091</v>
      </c>
      <c r="K6" s="44"/>
      <c r="L6" s="46" t="s">
        <v>182</v>
      </c>
      <c r="M6" s="46" t="s">
        <v>182</v>
      </c>
      <c r="O6" s="45"/>
      <c r="P6" s="58">
        <f>V6+AB6+AH6+AN6+AT6+AZ6+BF6+BL6+BR6+BX6+CD6+CJ6+CP6+CV6+DB6+DH6+DN6+DT6+DZ6+EF6+EL6+ER6+EX6+FD6+FJ6+FP6+FV6+GB6+GH6+GN6+GT6</f>
        <v>0.8225908999999999</v>
      </c>
      <c r="Q6" s="44"/>
      <c r="R6" s="46" t="s">
        <v>182</v>
      </c>
      <c r="S6" s="46" t="s">
        <v>182</v>
      </c>
      <c r="U6" s="52"/>
      <c r="V6" s="37">
        <v>0.0001736</v>
      </c>
      <c r="W6" s="53"/>
      <c r="X6" s="46" t="s">
        <v>182</v>
      </c>
      <c r="Y6" s="46" t="s">
        <v>182</v>
      </c>
      <c r="AA6" s="52"/>
      <c r="AB6" s="37">
        <v>0.0224825</v>
      </c>
      <c r="AC6" s="53"/>
      <c r="AD6" s="46" t="s">
        <v>182</v>
      </c>
      <c r="AE6" s="46" t="s">
        <v>182</v>
      </c>
      <c r="AG6" s="52"/>
      <c r="AH6" s="37">
        <v>0.1389587</v>
      </c>
      <c r="AI6" s="53"/>
      <c r="AJ6" s="46" t="s">
        <v>182</v>
      </c>
      <c r="AK6" s="46" t="s">
        <v>182</v>
      </c>
      <c r="AM6" s="52"/>
      <c r="AN6" s="37">
        <v>0.0014088</v>
      </c>
      <c r="AO6" s="53"/>
      <c r="AP6" s="46" t="s">
        <v>182</v>
      </c>
      <c r="AQ6" s="46" t="s">
        <v>182</v>
      </c>
      <c r="AS6" s="52"/>
      <c r="AT6" s="37">
        <v>0.0392527</v>
      </c>
      <c r="AU6" s="53"/>
      <c r="AV6" s="46" t="s">
        <v>182</v>
      </c>
      <c r="AW6" s="46" t="s">
        <v>182</v>
      </c>
      <c r="AX6" s="31"/>
      <c r="AY6" s="52"/>
      <c r="AZ6" s="37">
        <v>0.0027645</v>
      </c>
      <c r="BA6" s="53"/>
      <c r="BB6" s="46" t="s">
        <v>182</v>
      </c>
      <c r="BC6" s="46" t="s">
        <v>182</v>
      </c>
      <c r="BD6" s="31"/>
      <c r="BE6" s="52"/>
      <c r="BF6" s="37">
        <v>0.063907</v>
      </c>
      <c r="BG6" s="53"/>
      <c r="BH6" s="46" t="s">
        <v>182</v>
      </c>
      <c r="BI6" s="46" t="s">
        <v>182</v>
      </c>
      <c r="BJ6" s="31"/>
      <c r="BK6" s="52"/>
      <c r="BL6" s="37">
        <v>0.0021962</v>
      </c>
      <c r="BM6" s="53"/>
      <c r="BN6" s="46" t="s">
        <v>182</v>
      </c>
      <c r="BO6" s="46" t="s">
        <v>182</v>
      </c>
      <c r="BP6" s="31"/>
      <c r="BQ6" s="52"/>
      <c r="BR6" s="37">
        <v>0.0023679</v>
      </c>
      <c r="BS6" s="53"/>
      <c r="BT6" s="46" t="s">
        <v>182</v>
      </c>
      <c r="BU6" s="46" t="s">
        <v>182</v>
      </c>
      <c r="BV6" s="31"/>
      <c r="BW6" s="52"/>
      <c r="BX6" s="37">
        <v>0.0006255</v>
      </c>
      <c r="BY6" s="53"/>
      <c r="BZ6" s="46" t="s">
        <v>182</v>
      </c>
      <c r="CA6" s="46" t="s">
        <v>182</v>
      </c>
      <c r="CC6" s="52"/>
      <c r="CD6" s="37">
        <v>0.1389834</v>
      </c>
      <c r="CE6" s="53"/>
      <c r="CF6" s="46" t="s">
        <v>182</v>
      </c>
      <c r="CG6" s="46" t="s">
        <v>182</v>
      </c>
      <c r="CI6" s="52"/>
      <c r="CJ6" s="37">
        <v>0.0019064</v>
      </c>
      <c r="CK6" s="53"/>
      <c r="CL6" s="46" t="s">
        <v>182</v>
      </c>
      <c r="CM6" s="46" t="s">
        <v>182</v>
      </c>
      <c r="CO6" s="52"/>
      <c r="CP6" s="37">
        <v>0.0022587</v>
      </c>
      <c r="CQ6" s="53"/>
      <c r="CR6" s="46" t="s">
        <v>182</v>
      </c>
      <c r="CS6" s="46" t="s">
        <v>182</v>
      </c>
      <c r="CU6" s="52"/>
      <c r="CV6" s="37">
        <v>0.0269452</v>
      </c>
      <c r="CW6" s="53"/>
      <c r="CX6" s="46" t="s">
        <v>182</v>
      </c>
      <c r="CY6" s="46" t="s">
        <v>182</v>
      </c>
      <c r="DA6" s="52"/>
      <c r="DB6" s="37">
        <v>0.0024417</v>
      </c>
      <c r="DC6" s="53"/>
      <c r="DD6" s="46" t="s">
        <v>182</v>
      </c>
      <c r="DE6" s="46" t="s">
        <v>182</v>
      </c>
      <c r="DG6" s="52"/>
      <c r="DH6" s="37">
        <v>0.0092028</v>
      </c>
      <c r="DI6" s="53"/>
      <c r="DJ6" s="46" t="s">
        <v>182</v>
      </c>
      <c r="DK6" s="46" t="s">
        <v>182</v>
      </c>
      <c r="DM6" s="52"/>
      <c r="DN6" s="37">
        <v>0.0214249</v>
      </c>
      <c r="DO6" s="53"/>
      <c r="DP6" s="46" t="s">
        <v>182</v>
      </c>
      <c r="DQ6" s="46" t="s">
        <v>182</v>
      </c>
      <c r="DS6" s="52"/>
      <c r="DT6" s="37">
        <v>0.0104086</v>
      </c>
      <c r="DU6" s="53"/>
      <c r="DV6" s="46" t="s">
        <v>182</v>
      </c>
      <c r="DW6" s="46" t="s">
        <v>182</v>
      </c>
      <c r="DY6" s="52"/>
      <c r="DZ6" s="37">
        <v>0.0017922</v>
      </c>
      <c r="EA6" s="53"/>
      <c r="EB6" s="46" t="s">
        <v>182</v>
      </c>
      <c r="EC6" s="46" t="s">
        <v>182</v>
      </c>
      <c r="ED6" s="31"/>
      <c r="EE6" s="52"/>
      <c r="EF6" s="37">
        <v>0.0023104</v>
      </c>
      <c r="EG6" s="53"/>
      <c r="EH6" s="46" t="s">
        <v>182</v>
      </c>
      <c r="EI6" s="46" t="s">
        <v>182</v>
      </c>
      <c r="EK6" s="81"/>
      <c r="EL6" s="82">
        <v>0.0605401</v>
      </c>
      <c r="EM6" s="83"/>
      <c r="EN6" s="80" t="s">
        <v>182</v>
      </c>
      <c r="EO6" s="80" t="s">
        <v>182</v>
      </c>
      <c r="EQ6" s="52"/>
      <c r="ER6" s="37">
        <v>0.0151927</v>
      </c>
      <c r="ES6" s="53"/>
      <c r="ET6" s="46" t="s">
        <v>182</v>
      </c>
      <c r="EU6" s="46" t="s">
        <v>182</v>
      </c>
      <c r="EV6" s="31"/>
      <c r="EW6" s="52"/>
      <c r="EX6" s="37">
        <v>0.0221555</v>
      </c>
      <c r="EY6" s="53"/>
      <c r="EZ6" s="46" t="s">
        <v>182</v>
      </c>
      <c r="FA6" s="46" t="s">
        <v>182</v>
      </c>
      <c r="FB6" s="31"/>
      <c r="FC6" s="52"/>
      <c r="FD6" s="37">
        <v>6.8E-06</v>
      </c>
      <c r="FE6" s="53"/>
      <c r="FF6" s="46" t="s">
        <v>182</v>
      </c>
      <c r="FG6" s="46" t="s">
        <v>182</v>
      </c>
      <c r="FH6" s="31"/>
      <c r="FI6" s="52"/>
      <c r="FJ6" s="37">
        <v>0.0145821</v>
      </c>
      <c r="FK6" s="53"/>
      <c r="FL6" s="46" t="s">
        <v>182</v>
      </c>
      <c r="FM6" s="46" t="s">
        <v>182</v>
      </c>
      <c r="FN6" s="31"/>
      <c r="FO6" s="52"/>
      <c r="FP6" s="37">
        <v>0.018151</v>
      </c>
      <c r="FQ6" s="53"/>
      <c r="FR6" s="46" t="s">
        <v>182</v>
      </c>
      <c r="FS6" s="46" t="s">
        <v>182</v>
      </c>
      <c r="FT6" s="31"/>
      <c r="FU6" s="52"/>
      <c r="FV6" s="37">
        <v>0.0212676</v>
      </c>
      <c r="FW6" s="53"/>
      <c r="FX6" s="46" t="s">
        <v>182</v>
      </c>
      <c r="FY6" s="46" t="s">
        <v>182</v>
      </c>
      <c r="FZ6" s="31"/>
      <c r="GA6" s="52"/>
      <c r="GB6" s="37">
        <v>0.0678414</v>
      </c>
      <c r="GC6" s="53"/>
      <c r="GD6" s="46" t="s">
        <v>182</v>
      </c>
      <c r="GE6" s="46" t="s">
        <v>182</v>
      </c>
      <c r="GF6" s="31"/>
      <c r="GG6" s="52"/>
      <c r="GH6" s="37">
        <v>0.1089131</v>
      </c>
      <c r="GI6" s="53"/>
      <c r="GJ6" s="46" t="s">
        <v>182</v>
      </c>
      <c r="GK6" s="46" t="s">
        <v>182</v>
      </c>
      <c r="GL6" s="31"/>
      <c r="GM6" s="52"/>
      <c r="GN6" s="37">
        <v>0.0003264</v>
      </c>
      <c r="GO6" s="53"/>
      <c r="GP6" s="46" t="s">
        <v>182</v>
      </c>
      <c r="GQ6" s="46" t="s">
        <v>182</v>
      </c>
      <c r="GR6" s="31"/>
      <c r="GS6" s="52"/>
      <c r="GT6" s="37">
        <v>0.0018025</v>
      </c>
      <c r="GU6" s="53"/>
      <c r="GV6" s="46" t="s">
        <v>182</v>
      </c>
      <c r="GW6" s="46" t="s">
        <v>182</v>
      </c>
      <c r="GX6" s="31"/>
      <c r="GY6" s="52"/>
      <c r="GZ6" s="37"/>
      <c r="HA6" s="53"/>
      <c r="HB6" s="46" t="s">
        <v>182</v>
      </c>
      <c r="HC6" s="46" t="s">
        <v>182</v>
      </c>
    </row>
    <row r="7" spans="1:211" ht="12.75">
      <c r="A7" s="29"/>
      <c r="C7" s="46" t="s">
        <v>15</v>
      </c>
      <c r="D7" s="46" t="s">
        <v>16</v>
      </c>
      <c r="E7" s="46" t="s">
        <v>4</v>
      </c>
      <c r="F7" s="46" t="s">
        <v>183</v>
      </c>
      <c r="G7" s="46" t="s">
        <v>184</v>
      </c>
      <c r="I7" s="46" t="s">
        <v>15</v>
      </c>
      <c r="J7" s="46" t="s">
        <v>16</v>
      </c>
      <c r="K7" s="46" t="s">
        <v>4</v>
      </c>
      <c r="L7" s="46" t="s">
        <v>183</v>
      </c>
      <c r="M7" s="46" t="s">
        <v>184</v>
      </c>
      <c r="O7" s="46" t="s">
        <v>15</v>
      </c>
      <c r="P7" s="46" t="s">
        <v>16</v>
      </c>
      <c r="Q7" s="46" t="s">
        <v>4</v>
      </c>
      <c r="R7" s="46" t="s">
        <v>183</v>
      </c>
      <c r="S7" s="46" t="s">
        <v>184</v>
      </c>
      <c r="U7" s="30" t="s">
        <v>15</v>
      </c>
      <c r="V7" s="30" t="s">
        <v>16</v>
      </c>
      <c r="W7" s="30" t="s">
        <v>4</v>
      </c>
      <c r="X7" s="46" t="s">
        <v>183</v>
      </c>
      <c r="Y7" s="46" t="s">
        <v>184</v>
      </c>
      <c r="AA7" s="30" t="s">
        <v>15</v>
      </c>
      <c r="AB7" s="30" t="s">
        <v>16</v>
      </c>
      <c r="AC7" s="30" t="s">
        <v>4</v>
      </c>
      <c r="AD7" s="46" t="s">
        <v>183</v>
      </c>
      <c r="AE7" s="46" t="s">
        <v>184</v>
      </c>
      <c r="AG7" s="30" t="s">
        <v>15</v>
      </c>
      <c r="AH7" s="30" t="s">
        <v>16</v>
      </c>
      <c r="AI7" s="30" t="s">
        <v>4</v>
      </c>
      <c r="AJ7" s="46" t="s">
        <v>183</v>
      </c>
      <c r="AK7" s="46" t="s">
        <v>184</v>
      </c>
      <c r="AM7" s="30" t="s">
        <v>15</v>
      </c>
      <c r="AN7" s="30" t="s">
        <v>16</v>
      </c>
      <c r="AO7" s="30" t="s">
        <v>4</v>
      </c>
      <c r="AP7" s="46" t="s">
        <v>183</v>
      </c>
      <c r="AQ7" s="46" t="s">
        <v>184</v>
      </c>
      <c r="AS7" s="30" t="s">
        <v>15</v>
      </c>
      <c r="AT7" s="30" t="s">
        <v>16</v>
      </c>
      <c r="AU7" s="30" t="s">
        <v>4</v>
      </c>
      <c r="AV7" s="46" t="s">
        <v>183</v>
      </c>
      <c r="AW7" s="46" t="s">
        <v>184</v>
      </c>
      <c r="AX7" s="35"/>
      <c r="AY7" s="30" t="s">
        <v>15</v>
      </c>
      <c r="AZ7" s="30" t="s">
        <v>16</v>
      </c>
      <c r="BA7" s="30" t="s">
        <v>4</v>
      </c>
      <c r="BB7" s="46" t="s">
        <v>183</v>
      </c>
      <c r="BC7" s="46" t="s">
        <v>184</v>
      </c>
      <c r="BD7" s="35"/>
      <c r="BE7" s="30" t="s">
        <v>15</v>
      </c>
      <c r="BF7" s="30" t="s">
        <v>16</v>
      </c>
      <c r="BG7" s="30" t="s">
        <v>4</v>
      </c>
      <c r="BH7" s="46" t="s">
        <v>183</v>
      </c>
      <c r="BI7" s="46" t="s">
        <v>184</v>
      </c>
      <c r="BJ7" s="35"/>
      <c r="BK7" s="30" t="s">
        <v>15</v>
      </c>
      <c r="BL7" s="30" t="s">
        <v>16</v>
      </c>
      <c r="BM7" s="30" t="s">
        <v>4</v>
      </c>
      <c r="BN7" s="46" t="s">
        <v>183</v>
      </c>
      <c r="BO7" s="46" t="s">
        <v>184</v>
      </c>
      <c r="BP7" s="35"/>
      <c r="BQ7" s="30" t="s">
        <v>15</v>
      </c>
      <c r="BR7" s="30" t="s">
        <v>16</v>
      </c>
      <c r="BS7" s="30" t="s">
        <v>4</v>
      </c>
      <c r="BT7" s="46" t="s">
        <v>183</v>
      </c>
      <c r="BU7" s="46" t="s">
        <v>184</v>
      </c>
      <c r="BV7" s="35"/>
      <c r="BW7" s="30" t="s">
        <v>15</v>
      </c>
      <c r="BX7" s="30" t="s">
        <v>16</v>
      </c>
      <c r="BY7" s="30" t="s">
        <v>4</v>
      </c>
      <c r="BZ7" s="46" t="s">
        <v>183</v>
      </c>
      <c r="CA7" s="46" t="s">
        <v>184</v>
      </c>
      <c r="CC7" s="30" t="s">
        <v>15</v>
      </c>
      <c r="CD7" s="30" t="s">
        <v>16</v>
      </c>
      <c r="CE7" s="30" t="s">
        <v>4</v>
      </c>
      <c r="CF7" s="46" t="s">
        <v>183</v>
      </c>
      <c r="CG7" s="46" t="s">
        <v>184</v>
      </c>
      <c r="CI7" s="30" t="s">
        <v>15</v>
      </c>
      <c r="CJ7" s="30" t="s">
        <v>16</v>
      </c>
      <c r="CK7" s="30" t="s">
        <v>4</v>
      </c>
      <c r="CL7" s="46" t="s">
        <v>183</v>
      </c>
      <c r="CM7" s="46" t="s">
        <v>184</v>
      </c>
      <c r="CO7" s="30" t="s">
        <v>15</v>
      </c>
      <c r="CP7" s="30" t="s">
        <v>16</v>
      </c>
      <c r="CQ7" s="30" t="s">
        <v>4</v>
      </c>
      <c r="CR7" s="46" t="s">
        <v>183</v>
      </c>
      <c r="CS7" s="46" t="s">
        <v>184</v>
      </c>
      <c r="CU7" s="30" t="s">
        <v>15</v>
      </c>
      <c r="CV7" s="30" t="s">
        <v>16</v>
      </c>
      <c r="CW7" s="30" t="s">
        <v>4</v>
      </c>
      <c r="CX7" s="46" t="s">
        <v>183</v>
      </c>
      <c r="CY7" s="46" t="s">
        <v>184</v>
      </c>
      <c r="DA7" s="30" t="s">
        <v>15</v>
      </c>
      <c r="DB7" s="30" t="s">
        <v>16</v>
      </c>
      <c r="DC7" s="30" t="s">
        <v>4</v>
      </c>
      <c r="DD7" s="46" t="s">
        <v>183</v>
      </c>
      <c r="DE7" s="46" t="s">
        <v>184</v>
      </c>
      <c r="DG7" s="30" t="s">
        <v>15</v>
      </c>
      <c r="DH7" s="30" t="s">
        <v>16</v>
      </c>
      <c r="DI7" s="30" t="s">
        <v>4</v>
      </c>
      <c r="DJ7" s="46" t="s">
        <v>183</v>
      </c>
      <c r="DK7" s="46" t="s">
        <v>184</v>
      </c>
      <c r="DM7" s="30" t="s">
        <v>15</v>
      </c>
      <c r="DN7" s="30" t="s">
        <v>16</v>
      </c>
      <c r="DO7" s="30" t="s">
        <v>4</v>
      </c>
      <c r="DP7" s="46" t="s">
        <v>183</v>
      </c>
      <c r="DQ7" s="46" t="s">
        <v>184</v>
      </c>
      <c r="DS7" s="30" t="s">
        <v>15</v>
      </c>
      <c r="DT7" s="30" t="s">
        <v>16</v>
      </c>
      <c r="DU7" s="30" t="s">
        <v>4</v>
      </c>
      <c r="DV7" s="46" t="s">
        <v>183</v>
      </c>
      <c r="DW7" s="46" t="s">
        <v>184</v>
      </c>
      <c r="DY7" s="30" t="s">
        <v>15</v>
      </c>
      <c r="DZ7" s="30" t="s">
        <v>16</v>
      </c>
      <c r="EA7" s="30" t="s">
        <v>4</v>
      </c>
      <c r="EB7" s="46" t="s">
        <v>183</v>
      </c>
      <c r="EC7" s="46" t="s">
        <v>184</v>
      </c>
      <c r="ED7" s="35"/>
      <c r="EE7" s="30" t="s">
        <v>15</v>
      </c>
      <c r="EF7" s="30" t="s">
        <v>16</v>
      </c>
      <c r="EG7" s="30" t="s">
        <v>4</v>
      </c>
      <c r="EH7" s="46" t="s">
        <v>183</v>
      </c>
      <c r="EI7" s="46" t="s">
        <v>184</v>
      </c>
      <c r="EK7" s="84" t="s">
        <v>15</v>
      </c>
      <c r="EL7" s="84" t="s">
        <v>16</v>
      </c>
      <c r="EM7" s="84" t="s">
        <v>4</v>
      </c>
      <c r="EN7" s="80" t="s">
        <v>183</v>
      </c>
      <c r="EO7" s="80" t="s">
        <v>184</v>
      </c>
      <c r="EQ7" s="30" t="s">
        <v>15</v>
      </c>
      <c r="ER7" s="30" t="s">
        <v>16</v>
      </c>
      <c r="ES7" s="30" t="s">
        <v>4</v>
      </c>
      <c r="ET7" s="46" t="s">
        <v>183</v>
      </c>
      <c r="EU7" s="46" t="s">
        <v>184</v>
      </c>
      <c r="EV7" s="35"/>
      <c r="EW7" s="30" t="s">
        <v>15</v>
      </c>
      <c r="EX7" s="30" t="s">
        <v>16</v>
      </c>
      <c r="EY7" s="30" t="s">
        <v>4</v>
      </c>
      <c r="EZ7" s="46" t="s">
        <v>183</v>
      </c>
      <c r="FA7" s="46" t="s">
        <v>184</v>
      </c>
      <c r="FB7" s="35"/>
      <c r="FC7" s="30" t="s">
        <v>15</v>
      </c>
      <c r="FD7" s="30" t="s">
        <v>16</v>
      </c>
      <c r="FE7" s="30" t="s">
        <v>4</v>
      </c>
      <c r="FF7" s="46" t="s">
        <v>183</v>
      </c>
      <c r="FG7" s="46" t="s">
        <v>184</v>
      </c>
      <c r="FH7" s="35"/>
      <c r="FI7" s="30" t="s">
        <v>15</v>
      </c>
      <c r="FJ7" s="30" t="s">
        <v>16</v>
      </c>
      <c r="FK7" s="30" t="s">
        <v>4</v>
      </c>
      <c r="FL7" s="46" t="s">
        <v>183</v>
      </c>
      <c r="FM7" s="46" t="s">
        <v>184</v>
      </c>
      <c r="FN7" s="35"/>
      <c r="FO7" s="30" t="s">
        <v>15</v>
      </c>
      <c r="FP7" s="30" t="s">
        <v>16</v>
      </c>
      <c r="FQ7" s="30" t="s">
        <v>4</v>
      </c>
      <c r="FR7" s="46" t="s">
        <v>183</v>
      </c>
      <c r="FS7" s="46" t="s">
        <v>184</v>
      </c>
      <c r="FT7" s="35"/>
      <c r="FU7" s="30" t="s">
        <v>15</v>
      </c>
      <c r="FV7" s="30" t="s">
        <v>16</v>
      </c>
      <c r="FW7" s="30" t="s">
        <v>4</v>
      </c>
      <c r="FX7" s="46" t="s">
        <v>183</v>
      </c>
      <c r="FY7" s="46" t="s">
        <v>184</v>
      </c>
      <c r="FZ7" s="35"/>
      <c r="GA7" s="30" t="s">
        <v>15</v>
      </c>
      <c r="GB7" s="30" t="s">
        <v>16</v>
      </c>
      <c r="GC7" s="30" t="s">
        <v>4</v>
      </c>
      <c r="GD7" s="46" t="s">
        <v>183</v>
      </c>
      <c r="GE7" s="46" t="s">
        <v>184</v>
      </c>
      <c r="GF7" s="35"/>
      <c r="GG7" s="30" t="s">
        <v>15</v>
      </c>
      <c r="GH7" s="30" t="s">
        <v>16</v>
      </c>
      <c r="GI7" s="30" t="s">
        <v>4</v>
      </c>
      <c r="GJ7" s="46" t="s">
        <v>183</v>
      </c>
      <c r="GK7" s="46" t="s">
        <v>184</v>
      </c>
      <c r="GL7" s="35"/>
      <c r="GM7" s="30" t="s">
        <v>15</v>
      </c>
      <c r="GN7" s="30" t="s">
        <v>16</v>
      </c>
      <c r="GO7" s="30" t="s">
        <v>4</v>
      </c>
      <c r="GP7" s="46" t="s">
        <v>183</v>
      </c>
      <c r="GQ7" s="46" t="s">
        <v>184</v>
      </c>
      <c r="GR7" s="35"/>
      <c r="GS7" s="30" t="s">
        <v>15</v>
      </c>
      <c r="GT7" s="30" t="s">
        <v>16</v>
      </c>
      <c r="GU7" s="30" t="s">
        <v>4</v>
      </c>
      <c r="GV7" s="46" t="s">
        <v>183</v>
      </c>
      <c r="GW7" s="46" t="s">
        <v>184</v>
      </c>
      <c r="GX7" s="35"/>
      <c r="GY7" s="30" t="s">
        <v>15</v>
      </c>
      <c r="GZ7" s="30" t="s">
        <v>16</v>
      </c>
      <c r="HA7" s="30" t="s">
        <v>4</v>
      </c>
      <c r="HB7" s="46" t="s">
        <v>183</v>
      </c>
      <c r="HC7" s="46" t="s">
        <v>184</v>
      </c>
    </row>
    <row r="8" spans="1:229" s="57" customFormat="1" ht="12.75">
      <c r="A8" s="56">
        <v>43739</v>
      </c>
      <c r="B8" s="55"/>
      <c r="C8" s="55"/>
      <c r="D8" s="55">
        <v>497875</v>
      </c>
      <c r="E8" s="41">
        <f aca="true" t="shared" si="0" ref="E8:E15">C8+D8</f>
        <v>497875</v>
      </c>
      <c r="F8" s="41">
        <v>297945</v>
      </c>
      <c r="G8" s="41">
        <v>32965</v>
      </c>
      <c r="H8" s="55"/>
      <c r="I8" s="41">
        <f>'2017B Academic'!C8</f>
        <v>0</v>
      </c>
      <c r="J8" s="41">
        <f>'2017B Academic'!D8</f>
        <v>88327.5556625</v>
      </c>
      <c r="K8" s="41">
        <f aca="true" t="shared" si="1" ref="K8:K15">I8+J8</f>
        <v>88327.5556625</v>
      </c>
      <c r="L8" s="41">
        <f>'2017B Academic'!F8</f>
        <v>52858.15429949999</v>
      </c>
      <c r="M8" s="41">
        <f>'2017B Academic'!G8</f>
        <v>5848.290981499999</v>
      </c>
      <c r="O8" s="38">
        <f aca="true" t="shared" si="2" ref="O8:O15">U8+AA8+AG8+AM8+AS8+AY8+BE8+BK8+BQ8+BW8+CC8+CI8+CO8+CU8+DA8+DG8+DM8+DS8+DY8+EE8+EK8+EQ8+EW8+FC8+FI8+FO8+FU8+GA8++GG8+GM8+GS8+GY8</f>
        <v>0</v>
      </c>
      <c r="P8" s="47">
        <f aca="true" t="shared" si="3" ref="P8:P15">V8+AB8+AH8+AN8+AT8+AZ8+BF8+BL8+BR8+BX8+CD8+CJ8+CP8+CV8+DB8+DH8+DN8+DT8+DZ8+EF8+EL8+ER8+EX8+FD8+FJ8+FP8+FV8+GB8+GH8+GN8+GT8</f>
        <v>409547.4443375001</v>
      </c>
      <c r="Q8" s="38">
        <f aca="true" t="shared" si="4" ref="Q8:Q15">O8+P8</f>
        <v>409547.4443375001</v>
      </c>
      <c r="R8" s="38">
        <f aca="true" t="shared" si="5" ref="R8:S15">X8+AD8+AJ8+AP8+AV8+BB8+BH8+BN8+BT8+BZ8+CF8+CL8+CR8+CX8+DD8+DJ8+DP8+DV8+EB8+EH8+EN8+ET8+EZ8+FF8+FL8+FR8+FX8+GD8+GJ8+GP8+GV8+HB8</f>
        <v>245086.84570049995</v>
      </c>
      <c r="S8" s="38">
        <f t="shared" si="5"/>
        <v>27116.709018499998</v>
      </c>
      <c r="U8" s="38"/>
      <c r="V8" s="38">
        <f aca="true" t="shared" si="6" ref="V8:V15">D8*0.01736/100</f>
        <v>86.4311</v>
      </c>
      <c r="W8" s="38">
        <f aca="true" t="shared" si="7" ref="W8:W15">U8+V8</f>
        <v>86.4311</v>
      </c>
      <c r="X8" s="38">
        <f aca="true" t="shared" si="8" ref="X8:X15">V$6*$F8</f>
        <v>51.723251999999995</v>
      </c>
      <c r="Y8" s="38">
        <f aca="true" t="shared" si="9" ref="Y8:Y15">V$6*$G8</f>
        <v>5.7227239999999995</v>
      </c>
      <c r="AA8" s="38"/>
      <c r="AB8" s="38">
        <f aca="true" t="shared" si="10" ref="AB8:AB15">D8*2.24825/100</f>
        <v>11193.4746875</v>
      </c>
      <c r="AC8" s="38">
        <f aca="true" t="shared" si="11" ref="AC8:AC15">AA8+AB8</f>
        <v>11193.4746875</v>
      </c>
      <c r="AD8" s="38">
        <f aca="true" t="shared" si="12" ref="AD8:AD15">AB$6*$F8</f>
        <v>6698.5484625</v>
      </c>
      <c r="AE8" s="38">
        <f aca="true" t="shared" si="13" ref="AE8:AE15">AB$6*$G8</f>
        <v>741.1356125</v>
      </c>
      <c r="AF8" s="55"/>
      <c r="AG8" s="38"/>
      <c r="AH8" s="38">
        <f aca="true" t="shared" si="14" ref="AH8:AH15">D8*13.89587/100</f>
        <v>69184.0627625</v>
      </c>
      <c r="AI8" s="38">
        <f aca="true" t="shared" si="15" ref="AI8:AI15">AG8+AH8</f>
        <v>69184.0627625</v>
      </c>
      <c r="AJ8" s="38">
        <f aca="true" t="shared" si="16" ref="AJ8:AJ15">AH$6*$F8</f>
        <v>41402.0498715</v>
      </c>
      <c r="AK8" s="38">
        <f aca="true" t="shared" si="17" ref="AK8:AK15">AH$6*$G8</f>
        <v>4580.773545499999</v>
      </c>
      <c r="AL8" s="55"/>
      <c r="AM8" s="38"/>
      <c r="AN8" s="38">
        <f aca="true" t="shared" si="18" ref="AN8:AN15">D8*0.14088/100</f>
        <v>701.4063000000001</v>
      </c>
      <c r="AO8" s="38">
        <f aca="true" t="shared" si="19" ref="AO8:AO15">AM8+AN8</f>
        <v>701.4063000000001</v>
      </c>
      <c r="AP8" s="38">
        <f aca="true" t="shared" si="20" ref="AP8:AP15">AN$6*$F8</f>
        <v>419.744916</v>
      </c>
      <c r="AQ8" s="38">
        <f aca="true" t="shared" si="21" ref="AQ8:AQ15">AN$6*$G8</f>
        <v>46.441092</v>
      </c>
      <c r="AR8" s="55"/>
      <c r="AS8" s="38"/>
      <c r="AT8" s="38">
        <f aca="true" t="shared" si="22" ref="AT8:AT15">D8*3.92527/100</f>
        <v>19542.9380125</v>
      </c>
      <c r="AU8" s="38">
        <f aca="true" t="shared" si="23" ref="AU8:AU15">AS8+AT8</f>
        <v>19542.9380125</v>
      </c>
      <c r="AV8" s="38">
        <f aca="true" t="shared" si="24" ref="AV8:AV15">AT$6*$F8</f>
        <v>11695.1457015</v>
      </c>
      <c r="AW8" s="38">
        <f aca="true" t="shared" si="25" ref="AW8:AW15">AT$6*$G8</f>
        <v>1293.9652555</v>
      </c>
      <c r="AX8" s="55"/>
      <c r="AY8" s="38"/>
      <c r="AZ8" s="38">
        <f aca="true" t="shared" si="26" ref="AZ8:AZ15">D8*0.27645/100</f>
        <v>1376.3754374999999</v>
      </c>
      <c r="BA8" s="38">
        <f aca="true" t="shared" si="27" ref="BA8:BA15">AY8+AZ8</f>
        <v>1376.3754374999999</v>
      </c>
      <c r="BB8" s="38">
        <f aca="true" t="shared" si="28" ref="BB8:BB15">AZ$6*$F8</f>
        <v>823.6689525</v>
      </c>
      <c r="BC8" s="38">
        <f aca="true" t="shared" si="29" ref="BC8:BC15">AZ$6*$G8</f>
        <v>91.1317425</v>
      </c>
      <c r="BD8" s="55"/>
      <c r="BE8" s="38"/>
      <c r="BF8" s="38">
        <f aca="true" t="shared" si="30" ref="BF8:BF15">D8*6.3907/100</f>
        <v>31817.697624999997</v>
      </c>
      <c r="BG8" s="38">
        <f aca="true" t="shared" si="31" ref="BG8:BG15">BE8+BF8</f>
        <v>31817.697624999997</v>
      </c>
      <c r="BH8" s="38">
        <f aca="true" t="shared" si="32" ref="BH8:BH15">BF$6*$F8</f>
        <v>19040.771115000003</v>
      </c>
      <c r="BI8" s="38">
        <f aca="true" t="shared" si="33" ref="BI8:BI15">BF$6*$G8</f>
        <v>2106.6942550000003</v>
      </c>
      <c r="BJ8" s="55"/>
      <c r="BK8" s="38"/>
      <c r="BL8" s="38">
        <f aca="true" t="shared" si="34" ref="BL8:BL15">D8*0.21962/100</f>
        <v>1093.4330750000001</v>
      </c>
      <c r="BM8" s="38">
        <f aca="true" t="shared" si="35" ref="BM8:BM15">BK8+BL8</f>
        <v>1093.4330750000001</v>
      </c>
      <c r="BN8" s="38">
        <f aca="true" t="shared" si="36" ref="BN8:BN15">BL$6*$F8</f>
        <v>654.346809</v>
      </c>
      <c r="BO8" s="38">
        <f aca="true" t="shared" si="37" ref="BO8:BO15">BL$6*$G8</f>
        <v>72.397733</v>
      </c>
      <c r="BP8" s="55"/>
      <c r="BQ8" s="38"/>
      <c r="BR8" s="38">
        <f aca="true" t="shared" si="38" ref="BR8:BR15">D8*0.23679/100</f>
        <v>1178.9182125</v>
      </c>
      <c r="BS8" s="38">
        <f aca="true" t="shared" si="39" ref="BS8:BS15">BQ8+BR8</f>
        <v>1178.9182125</v>
      </c>
      <c r="BT8" s="38">
        <f aca="true" t="shared" si="40" ref="BT8:BT15">BR$6*$F8</f>
        <v>705.5039655</v>
      </c>
      <c r="BU8" s="38">
        <f aca="true" t="shared" si="41" ref="BU8:BU15">BR$6*$G8</f>
        <v>78.0578235</v>
      </c>
      <c r="BV8" s="55"/>
      <c r="BW8" s="38"/>
      <c r="BX8" s="38">
        <f aca="true" t="shared" si="42" ref="BX8:BX15">D8*0.06255/100</f>
        <v>311.42081249999995</v>
      </c>
      <c r="BY8" s="38">
        <f aca="true" t="shared" si="43" ref="BY8:BY15">BW8+BX8</f>
        <v>311.42081249999995</v>
      </c>
      <c r="BZ8" s="38">
        <f aca="true" t="shared" si="44" ref="BZ8:BZ15">BX$6*$F8</f>
        <v>186.3645975</v>
      </c>
      <c r="CA8" s="38">
        <f aca="true" t="shared" si="45" ref="CA8:CA15">BX$6*$G8</f>
        <v>20.6196075</v>
      </c>
      <c r="CB8" s="55"/>
      <c r="CC8" s="38"/>
      <c r="CD8" s="38">
        <f aca="true" t="shared" si="46" ref="CD8:CD15">D8*13.89834/100</f>
        <v>69196.360275</v>
      </c>
      <c r="CE8" s="38">
        <f aca="true" t="shared" si="47" ref="CE8:CE15">CC8+CD8</f>
        <v>69196.360275</v>
      </c>
      <c r="CF8" s="38">
        <f aca="true" t="shared" si="48" ref="CF8:CF15">CD$6*$F8</f>
        <v>41409.409113</v>
      </c>
      <c r="CG8" s="38">
        <f aca="true" t="shared" si="49" ref="CG8:CG15">CD$6*$G8</f>
        <v>4581.587781</v>
      </c>
      <c r="CH8" s="55"/>
      <c r="CI8" s="38"/>
      <c r="CJ8" s="38">
        <f aca="true" t="shared" si="50" ref="CJ8:CJ15">D8*0.19064/100</f>
        <v>949.1489</v>
      </c>
      <c r="CK8" s="38">
        <f aca="true" t="shared" si="51" ref="CK8:CK15">CI8+CJ8</f>
        <v>949.1489</v>
      </c>
      <c r="CL8" s="38">
        <f aca="true" t="shared" si="52" ref="CL8:CL15">CJ$6*$F8</f>
        <v>568.002348</v>
      </c>
      <c r="CM8" s="38">
        <f aca="true" t="shared" si="53" ref="CM8:CM15">CJ$6*$G8</f>
        <v>62.844476</v>
      </c>
      <c r="CN8" s="55"/>
      <c r="CO8" s="38"/>
      <c r="CP8" s="38">
        <f aca="true" t="shared" si="54" ref="CP8:CP15">D8*0.22587/100</f>
        <v>1124.5502625</v>
      </c>
      <c r="CQ8" s="38">
        <f aca="true" t="shared" si="55" ref="CQ8:CQ15">CO8+CP8</f>
        <v>1124.5502625</v>
      </c>
      <c r="CR8" s="38">
        <f aca="true" t="shared" si="56" ref="CR8:CR15">CP$6*$F8</f>
        <v>672.9683715000001</v>
      </c>
      <c r="CS8" s="38">
        <f aca="true" t="shared" si="57" ref="CS8:CS15">CP$6*$G8</f>
        <v>74.45804550000001</v>
      </c>
      <c r="CT8" s="55"/>
      <c r="CU8" s="38"/>
      <c r="CV8" s="38">
        <f aca="true" t="shared" si="58" ref="CV8:CV15">D8*2.69452/100</f>
        <v>13415.34145</v>
      </c>
      <c r="CW8" s="38">
        <f aca="true" t="shared" si="59" ref="CW8:CW15">CU8+CV8</f>
        <v>13415.34145</v>
      </c>
      <c r="CX8" s="38">
        <f aca="true" t="shared" si="60" ref="CX8:CX15">CV$6*$F8</f>
        <v>8028.1876139999995</v>
      </c>
      <c r="CY8" s="38">
        <f aca="true" t="shared" si="61" ref="CY8:CY15">CV$6*$G8</f>
        <v>888.248518</v>
      </c>
      <c r="CZ8" s="55"/>
      <c r="DA8" s="38"/>
      <c r="DB8" s="38">
        <f aca="true" t="shared" si="62" ref="DB8:DB15">D8*0.24417/100</f>
        <v>1215.6613875</v>
      </c>
      <c r="DC8" s="38">
        <f aca="true" t="shared" si="63" ref="DC8:DC15">DA8+DB8</f>
        <v>1215.6613875</v>
      </c>
      <c r="DD8" s="38">
        <f aca="true" t="shared" si="64" ref="DD8:DD15">DB$6*$F8</f>
        <v>727.4923065</v>
      </c>
      <c r="DE8" s="38">
        <f aca="true" t="shared" si="65" ref="DE8:DE15">DB$6*$G8</f>
        <v>80.49064050000001</v>
      </c>
      <c r="DF8" s="55"/>
      <c r="DG8" s="38"/>
      <c r="DH8" s="38">
        <f aca="true" t="shared" si="66" ref="DH8:DH15">D8*0.92028/100</f>
        <v>4581.84405</v>
      </c>
      <c r="DI8" s="38">
        <f aca="true" t="shared" si="67" ref="DI8:DI15">DG8+DH8</f>
        <v>4581.84405</v>
      </c>
      <c r="DJ8" s="38">
        <f aca="true" t="shared" si="68" ref="DJ8:DJ15">DH$6*$F8</f>
        <v>2741.928246</v>
      </c>
      <c r="DK8" s="38">
        <f aca="true" t="shared" si="69" ref="DK8:DK15">DH$6*$G8</f>
        <v>303.37030200000004</v>
      </c>
      <c r="DL8" s="55"/>
      <c r="DM8" s="38"/>
      <c r="DN8" s="38">
        <f aca="true" t="shared" si="70" ref="DN8:DN15">D8*2.14249/100</f>
        <v>10666.9220875</v>
      </c>
      <c r="DO8" s="38">
        <f aca="true" t="shared" si="71" ref="DO8:DO15">DM8+DN8</f>
        <v>10666.9220875</v>
      </c>
      <c r="DP8" s="38">
        <f aca="true" t="shared" si="72" ref="DP8:DP15">DN$6*$F8</f>
        <v>6383.4418305</v>
      </c>
      <c r="DQ8" s="38">
        <f aca="true" t="shared" si="73" ref="DQ8:DQ15">DN$6*$G8</f>
        <v>706.2718285</v>
      </c>
      <c r="DR8" s="55"/>
      <c r="DS8" s="38"/>
      <c r="DT8" s="38">
        <f aca="true" t="shared" si="74" ref="DT8:DT15">D8*1.04086/100</f>
        <v>5182.1817249999995</v>
      </c>
      <c r="DU8" s="38">
        <f aca="true" t="shared" si="75" ref="DU8:DU15">DS8+DT8</f>
        <v>5182.1817249999995</v>
      </c>
      <c r="DV8" s="38">
        <f aca="true" t="shared" si="76" ref="DV8:DV15">DT$6*$F8</f>
        <v>3101.1903270000003</v>
      </c>
      <c r="DW8" s="38">
        <f aca="true" t="shared" si="77" ref="DW8:DW15">DT$6*$G8</f>
        <v>343.119499</v>
      </c>
      <c r="DX8" s="55"/>
      <c r="DY8" s="38"/>
      <c r="DZ8" s="38">
        <f aca="true" t="shared" si="78" ref="DZ8:DZ15">D8*0.17922/100</f>
        <v>892.291575</v>
      </c>
      <c r="EA8" s="38">
        <f aca="true" t="shared" si="79" ref="EA8:EA15">DY8+DZ8</f>
        <v>892.291575</v>
      </c>
      <c r="EB8" s="38">
        <f aca="true" t="shared" si="80" ref="EB8:EB15">DZ$6*$F8</f>
        <v>533.977029</v>
      </c>
      <c r="EC8" s="38">
        <f aca="true" t="shared" si="81" ref="EC8:EC15">DZ$6*$G8</f>
        <v>59.079873000000006</v>
      </c>
      <c r="ED8" s="55"/>
      <c r="EE8" s="38"/>
      <c r="EF8" s="38">
        <f aca="true" t="shared" si="82" ref="EF8:EF15">D8*0.23104/100</f>
        <v>1150.2903999999999</v>
      </c>
      <c r="EG8" s="38">
        <f aca="true" t="shared" si="83" ref="EG8:EG15">EE8+EF8</f>
        <v>1150.2903999999999</v>
      </c>
      <c r="EH8" s="38">
        <f aca="true" t="shared" si="84" ref="EH8:EH15">EF$6*$F8</f>
        <v>688.3721280000001</v>
      </c>
      <c r="EI8" s="38">
        <f aca="true" t="shared" si="85" ref="EI8:EI15">EF$6*$G8</f>
        <v>76.16233600000001</v>
      </c>
      <c r="EJ8" s="55"/>
      <c r="EK8" s="85"/>
      <c r="EL8" s="85">
        <f aca="true" t="shared" si="86" ref="EL8:EL15">D8*6.05401/100</f>
        <v>30141.402287499997</v>
      </c>
      <c r="EM8" s="85">
        <f aca="true" t="shared" si="87" ref="EM8:EM15">EK8+EL8</f>
        <v>30141.402287499997</v>
      </c>
      <c r="EN8" s="38">
        <f aca="true" t="shared" si="88" ref="EN8:EN15">EL$6*$F8</f>
        <v>18037.6200945</v>
      </c>
      <c r="EO8" s="38">
        <f aca="true" t="shared" si="89" ref="EO8:EO15">EL$6*$G8</f>
        <v>1995.7043965</v>
      </c>
      <c r="EP8" s="55"/>
      <c r="EQ8" s="38"/>
      <c r="ER8" s="38">
        <f aca="true" t="shared" si="90" ref="ER8:ER15">D8*1.51927/100</f>
        <v>7564.065512499999</v>
      </c>
      <c r="ES8" s="38">
        <f aca="true" t="shared" si="91" ref="ES8:ES15">EQ8+ER8</f>
        <v>7564.065512499999</v>
      </c>
      <c r="ET8" s="38">
        <f aca="true" t="shared" si="92" ref="ET8:ET15">ER$6*$F8</f>
        <v>4526.5890014999995</v>
      </c>
      <c r="EU8" s="38">
        <f aca="true" t="shared" si="93" ref="EU8:EU15">ER$6*$G8</f>
        <v>500.8273555</v>
      </c>
      <c r="EV8" s="55"/>
      <c r="EW8" s="38"/>
      <c r="EX8" s="38">
        <f aca="true" t="shared" si="94" ref="EX8:EX15">D8*2.21555/100</f>
        <v>11030.669562500001</v>
      </c>
      <c r="EY8" s="38">
        <f aca="true" t="shared" si="95" ref="EY8:EY15">EW8+EX8</f>
        <v>11030.669562500001</v>
      </c>
      <c r="EZ8" s="38">
        <f aca="true" t="shared" si="96" ref="EZ8:EZ15">EX$6*$F8</f>
        <v>6601.1204475</v>
      </c>
      <c r="FA8" s="38">
        <f aca="true" t="shared" si="97" ref="FA8:FA15">EX$6*$G8</f>
        <v>730.3560575</v>
      </c>
      <c r="FB8" s="55"/>
      <c r="FC8" s="38"/>
      <c r="FD8" s="38">
        <f aca="true" t="shared" si="98" ref="FD8:FD15">D8*0.00068/100</f>
        <v>3.3855500000000003</v>
      </c>
      <c r="FE8" s="38">
        <f aca="true" t="shared" si="99" ref="FE8:FE15">FC8+FD8</f>
        <v>3.3855500000000003</v>
      </c>
      <c r="FF8" s="38">
        <f aca="true" t="shared" si="100" ref="FF8:FF15">FD$6*$F8</f>
        <v>2.026026</v>
      </c>
      <c r="FG8" s="38">
        <f aca="true" t="shared" si="101" ref="FG8:FG15">FD$6*$G8</f>
        <v>0.224162</v>
      </c>
      <c r="FH8" s="55"/>
      <c r="FI8" s="38"/>
      <c r="FJ8" s="38">
        <f aca="true" t="shared" si="102" ref="FJ8:FJ15">D8*1.45821/100</f>
        <v>7260.0630375</v>
      </c>
      <c r="FK8" s="38">
        <f aca="true" t="shared" si="103" ref="FK8:FK15">FI8+FJ8</f>
        <v>7260.0630375</v>
      </c>
      <c r="FL8" s="38">
        <f aca="true" t="shared" si="104" ref="FL8:FL15">FJ$6*$F8</f>
        <v>4344.6637845000005</v>
      </c>
      <c r="FM8" s="38">
        <f aca="true" t="shared" si="105" ref="FM8:FM15">FJ$6*$G8</f>
        <v>480.6989265</v>
      </c>
      <c r="FN8" s="55"/>
      <c r="FO8" s="38"/>
      <c r="FP8" s="38">
        <f aca="true" t="shared" si="106" ref="FP8:FP15">D8*1.8151/100</f>
        <v>9036.929125</v>
      </c>
      <c r="FQ8" s="38">
        <f aca="true" t="shared" si="107" ref="FQ8:FQ15">FO8+FP8</f>
        <v>9036.929125</v>
      </c>
      <c r="FR8" s="38">
        <f aca="true" t="shared" si="108" ref="FR8:FR15">FP$6*$F8</f>
        <v>5407.999695</v>
      </c>
      <c r="FS8" s="38">
        <f aca="true" t="shared" si="109" ref="FS8:FS15">FP$6*$G8</f>
        <v>598.347715</v>
      </c>
      <c r="FT8" s="55"/>
      <c r="FU8" s="38"/>
      <c r="FV8" s="38">
        <f aca="true" t="shared" si="110" ref="FV8:FV15">D8*2.12676/100</f>
        <v>10588.60635</v>
      </c>
      <c r="FW8" s="38">
        <f aca="true" t="shared" si="111" ref="FW8:FW15">FU8+FV8</f>
        <v>10588.60635</v>
      </c>
      <c r="FX8" s="38">
        <f aca="true" t="shared" si="112" ref="FX8:FX15">FV$6*$F8</f>
        <v>6336.575082</v>
      </c>
      <c r="FY8" s="38">
        <f aca="true" t="shared" si="113" ref="FY8:FY15">FV$6*$G8</f>
        <v>701.086434</v>
      </c>
      <c r="FZ8" s="55"/>
      <c r="GA8" s="38"/>
      <c r="GB8" s="38">
        <f aca="true" t="shared" si="114" ref="GB8:GB15">D8*6.78414/100</f>
        <v>33776.537025</v>
      </c>
      <c r="GC8" s="38">
        <f aca="true" t="shared" si="115" ref="GC8:GC15">GA8+GB8</f>
        <v>33776.537025</v>
      </c>
      <c r="GD8" s="38">
        <f aca="true" t="shared" si="116" ref="GD8:GD15">GB$6*$F8</f>
        <v>20213.005923</v>
      </c>
      <c r="GE8" s="38">
        <f aca="true" t="shared" si="117" ref="GE8:GE15">GB$6*$G8</f>
        <v>2236.3917509999997</v>
      </c>
      <c r="GF8" s="55"/>
      <c r="GG8" s="38"/>
      <c r="GH8" s="38">
        <f aca="true" t="shared" si="118" ref="GH8:GH15">D8*10.89131/100</f>
        <v>54225.10966250001</v>
      </c>
      <c r="GI8" s="38">
        <f aca="true" t="shared" si="119" ref="GI8:GI15">GG8+GH8</f>
        <v>54225.10966250001</v>
      </c>
      <c r="GJ8" s="38">
        <f aca="true" t="shared" si="120" ref="GJ8:GJ15">GH$6*$F8</f>
        <v>32450.1135795</v>
      </c>
      <c r="GK8" s="38">
        <f aca="true" t="shared" si="121" ref="GK8:GK15">GH$6*$G8</f>
        <v>3590.3203415</v>
      </c>
      <c r="GL8" s="55"/>
      <c r="GM8" s="38"/>
      <c r="GN8" s="38">
        <f aca="true" t="shared" si="122" ref="GN8:GN15">D8*0.03264/100</f>
        <v>162.5064</v>
      </c>
      <c r="GO8" s="38">
        <f aca="true" t="shared" si="123" ref="GO8:GO15">GM8+GN8</f>
        <v>162.5064</v>
      </c>
      <c r="GP8" s="38">
        <f aca="true" t="shared" si="124" ref="GP8:GP15">GN$6*$F8</f>
        <v>97.24924800000001</v>
      </c>
      <c r="GQ8" s="38">
        <f aca="true" t="shared" si="125" ref="GQ8:GQ15">GN$6*$G8</f>
        <v>10.759776</v>
      </c>
      <c r="GR8" s="55"/>
      <c r="GS8" s="38"/>
      <c r="GT8" s="38">
        <f aca="true" t="shared" si="126" ref="GT8:GT15">D8*0.18025/100</f>
        <v>897.4196875</v>
      </c>
      <c r="GU8" s="38">
        <f aca="true" t="shared" si="127" ref="GU8:GU15">GS8+GT8</f>
        <v>897.4196875</v>
      </c>
      <c r="GV8" s="38">
        <f aca="true" t="shared" si="128" ref="GV8:GV15">GT$6*$F8</f>
        <v>537.0458625</v>
      </c>
      <c r="GW8" s="38">
        <f aca="true" t="shared" si="129" ref="GW8:GW15">GT$6*$G8</f>
        <v>59.4194125</v>
      </c>
      <c r="GX8" s="55"/>
      <c r="GY8" s="47"/>
      <c r="GZ8" s="55"/>
      <c r="HA8" s="55"/>
      <c r="HB8" s="55"/>
      <c r="HC8" s="55"/>
      <c r="HD8" s="55"/>
      <c r="HE8" s="55"/>
      <c r="HF8" s="55"/>
      <c r="HG8" s="55"/>
      <c r="HH8" s="55"/>
      <c r="HI8" s="55"/>
      <c r="HJ8" s="55"/>
      <c r="HK8" s="55"/>
      <c r="HL8" s="55"/>
      <c r="HM8" s="55"/>
      <c r="HN8" s="55"/>
      <c r="HO8" s="55"/>
      <c r="HP8" s="55"/>
      <c r="HQ8" s="55"/>
      <c r="HR8" s="55"/>
      <c r="HS8" s="55"/>
      <c r="HT8" s="55"/>
      <c r="HU8" s="55"/>
    </row>
    <row r="9" spans="1:229" s="57" customFormat="1" ht="12.75">
      <c r="A9" s="56">
        <v>43922</v>
      </c>
      <c r="B9" s="55"/>
      <c r="C9" s="55">
        <v>0</v>
      </c>
      <c r="D9" s="55">
        <v>497875</v>
      </c>
      <c r="E9" s="41">
        <f t="shared" si="0"/>
        <v>497875</v>
      </c>
      <c r="F9" s="41">
        <v>297945</v>
      </c>
      <c r="G9" s="41">
        <v>32965</v>
      </c>
      <c r="H9" s="55"/>
      <c r="I9" s="41">
        <f>'2017B Academic'!C9</f>
        <v>0</v>
      </c>
      <c r="J9" s="41">
        <f>'2017B Academic'!D9</f>
        <v>88327.5556625</v>
      </c>
      <c r="K9" s="41">
        <f t="shared" si="1"/>
        <v>88327.5556625</v>
      </c>
      <c r="L9" s="41">
        <f>'2017B Academic'!F9</f>
        <v>52858.15429949999</v>
      </c>
      <c r="M9" s="41">
        <f>'2017B Academic'!G9</f>
        <v>5848.290981499999</v>
      </c>
      <c r="O9" s="38">
        <f t="shared" si="2"/>
        <v>0</v>
      </c>
      <c r="P9" s="47">
        <f t="shared" si="3"/>
        <v>409547.4443375001</v>
      </c>
      <c r="Q9" s="38">
        <f t="shared" si="4"/>
        <v>409547.4443375001</v>
      </c>
      <c r="R9" s="38">
        <f t="shared" si="5"/>
        <v>245086.84570049995</v>
      </c>
      <c r="S9" s="38">
        <f t="shared" si="5"/>
        <v>27116.709018499998</v>
      </c>
      <c r="U9" s="38">
        <f aca="true" t="shared" si="130" ref="U9:U15">C9*0.01736/100</f>
        <v>0</v>
      </c>
      <c r="V9" s="38">
        <f t="shared" si="6"/>
        <v>86.4311</v>
      </c>
      <c r="W9" s="38">
        <f t="shared" si="7"/>
        <v>86.4311</v>
      </c>
      <c r="X9" s="38">
        <f t="shared" si="8"/>
        <v>51.723251999999995</v>
      </c>
      <c r="Y9" s="38">
        <f t="shared" si="9"/>
        <v>5.7227239999999995</v>
      </c>
      <c r="AA9" s="38">
        <f aca="true" t="shared" si="131" ref="AA9:AA15">C9*2.24825/100</f>
        <v>0</v>
      </c>
      <c r="AB9" s="38">
        <f t="shared" si="10"/>
        <v>11193.4746875</v>
      </c>
      <c r="AC9" s="38">
        <f t="shared" si="11"/>
        <v>11193.4746875</v>
      </c>
      <c r="AD9" s="38">
        <f t="shared" si="12"/>
        <v>6698.5484625</v>
      </c>
      <c r="AE9" s="38">
        <f t="shared" si="13"/>
        <v>741.1356125</v>
      </c>
      <c r="AF9" s="55"/>
      <c r="AG9" s="38">
        <f aca="true" t="shared" si="132" ref="AG9:AG15">C9*13.89587/100</f>
        <v>0</v>
      </c>
      <c r="AH9" s="38">
        <f t="shared" si="14"/>
        <v>69184.0627625</v>
      </c>
      <c r="AI9" s="38">
        <f t="shared" si="15"/>
        <v>69184.0627625</v>
      </c>
      <c r="AJ9" s="38">
        <f t="shared" si="16"/>
        <v>41402.0498715</v>
      </c>
      <c r="AK9" s="38">
        <f t="shared" si="17"/>
        <v>4580.773545499999</v>
      </c>
      <c r="AL9" s="55"/>
      <c r="AM9" s="38">
        <f aca="true" t="shared" si="133" ref="AM9:AM15">C9*0.14088/100</f>
        <v>0</v>
      </c>
      <c r="AN9" s="38">
        <f t="shared" si="18"/>
        <v>701.4063000000001</v>
      </c>
      <c r="AO9" s="38">
        <f t="shared" si="19"/>
        <v>701.4063000000001</v>
      </c>
      <c r="AP9" s="38">
        <f t="shared" si="20"/>
        <v>419.744916</v>
      </c>
      <c r="AQ9" s="38">
        <f t="shared" si="21"/>
        <v>46.441092</v>
      </c>
      <c r="AR9" s="55"/>
      <c r="AS9" s="38">
        <f aca="true" t="shared" si="134" ref="AS9:AS15">C9*3.92527/100</f>
        <v>0</v>
      </c>
      <c r="AT9" s="38">
        <f t="shared" si="22"/>
        <v>19542.9380125</v>
      </c>
      <c r="AU9" s="38">
        <f t="shared" si="23"/>
        <v>19542.9380125</v>
      </c>
      <c r="AV9" s="38">
        <f t="shared" si="24"/>
        <v>11695.1457015</v>
      </c>
      <c r="AW9" s="38">
        <f t="shared" si="25"/>
        <v>1293.9652555</v>
      </c>
      <c r="AX9" s="55"/>
      <c r="AY9" s="38">
        <f aca="true" t="shared" si="135" ref="AY9:AY15">C9*0.27645/100</f>
        <v>0</v>
      </c>
      <c r="AZ9" s="38">
        <f t="shared" si="26"/>
        <v>1376.3754374999999</v>
      </c>
      <c r="BA9" s="38">
        <f t="shared" si="27"/>
        <v>1376.3754374999999</v>
      </c>
      <c r="BB9" s="38">
        <f t="shared" si="28"/>
        <v>823.6689525</v>
      </c>
      <c r="BC9" s="38">
        <f t="shared" si="29"/>
        <v>91.1317425</v>
      </c>
      <c r="BD9" s="55"/>
      <c r="BE9" s="38">
        <f aca="true" t="shared" si="136" ref="BE9:BE15">C9*6.3907/100</f>
        <v>0</v>
      </c>
      <c r="BF9" s="38">
        <f t="shared" si="30"/>
        <v>31817.697624999997</v>
      </c>
      <c r="BG9" s="38">
        <f t="shared" si="31"/>
        <v>31817.697624999997</v>
      </c>
      <c r="BH9" s="38">
        <f t="shared" si="32"/>
        <v>19040.771115000003</v>
      </c>
      <c r="BI9" s="38">
        <f t="shared" si="33"/>
        <v>2106.6942550000003</v>
      </c>
      <c r="BJ9" s="55"/>
      <c r="BK9" s="38">
        <f aca="true" t="shared" si="137" ref="BK9:BK15">C9*0.21962/100</f>
        <v>0</v>
      </c>
      <c r="BL9" s="38">
        <f t="shared" si="34"/>
        <v>1093.4330750000001</v>
      </c>
      <c r="BM9" s="38">
        <f t="shared" si="35"/>
        <v>1093.4330750000001</v>
      </c>
      <c r="BN9" s="38">
        <f t="shared" si="36"/>
        <v>654.346809</v>
      </c>
      <c r="BO9" s="38">
        <f t="shared" si="37"/>
        <v>72.397733</v>
      </c>
      <c r="BP9" s="55"/>
      <c r="BQ9" s="38">
        <f aca="true" t="shared" si="138" ref="BQ9:BQ15">C9*0.23679/100</f>
        <v>0</v>
      </c>
      <c r="BR9" s="38">
        <f t="shared" si="38"/>
        <v>1178.9182125</v>
      </c>
      <c r="BS9" s="38">
        <f t="shared" si="39"/>
        <v>1178.9182125</v>
      </c>
      <c r="BT9" s="38">
        <f t="shared" si="40"/>
        <v>705.5039655</v>
      </c>
      <c r="BU9" s="38">
        <f t="shared" si="41"/>
        <v>78.0578235</v>
      </c>
      <c r="BV9" s="55"/>
      <c r="BW9" s="38">
        <f aca="true" t="shared" si="139" ref="BW9:BW15">C9*0.06255/100</f>
        <v>0</v>
      </c>
      <c r="BX9" s="38">
        <f t="shared" si="42"/>
        <v>311.42081249999995</v>
      </c>
      <c r="BY9" s="38">
        <f t="shared" si="43"/>
        <v>311.42081249999995</v>
      </c>
      <c r="BZ9" s="38">
        <f t="shared" si="44"/>
        <v>186.3645975</v>
      </c>
      <c r="CA9" s="38">
        <f t="shared" si="45"/>
        <v>20.6196075</v>
      </c>
      <c r="CB9" s="55"/>
      <c r="CC9" s="38">
        <f aca="true" t="shared" si="140" ref="CC9:CC15">C9*13.89834/100</f>
        <v>0</v>
      </c>
      <c r="CD9" s="38">
        <f t="shared" si="46"/>
        <v>69196.360275</v>
      </c>
      <c r="CE9" s="38">
        <f t="shared" si="47"/>
        <v>69196.360275</v>
      </c>
      <c r="CF9" s="38">
        <f t="shared" si="48"/>
        <v>41409.409113</v>
      </c>
      <c r="CG9" s="38">
        <f t="shared" si="49"/>
        <v>4581.587781</v>
      </c>
      <c r="CH9" s="55"/>
      <c r="CI9" s="38">
        <f aca="true" t="shared" si="141" ref="CI9:CI15">C9*0.19064/100</f>
        <v>0</v>
      </c>
      <c r="CJ9" s="38">
        <f t="shared" si="50"/>
        <v>949.1489</v>
      </c>
      <c r="CK9" s="38">
        <f t="shared" si="51"/>
        <v>949.1489</v>
      </c>
      <c r="CL9" s="38">
        <f t="shared" si="52"/>
        <v>568.002348</v>
      </c>
      <c r="CM9" s="38">
        <f t="shared" si="53"/>
        <v>62.844476</v>
      </c>
      <c r="CN9" s="55"/>
      <c r="CO9" s="38">
        <f aca="true" t="shared" si="142" ref="CO9:CO15">C9*0.22587/100</f>
        <v>0</v>
      </c>
      <c r="CP9" s="38">
        <f t="shared" si="54"/>
        <v>1124.5502625</v>
      </c>
      <c r="CQ9" s="38">
        <f t="shared" si="55"/>
        <v>1124.5502625</v>
      </c>
      <c r="CR9" s="38">
        <f t="shared" si="56"/>
        <v>672.9683715000001</v>
      </c>
      <c r="CS9" s="38">
        <f t="shared" si="57"/>
        <v>74.45804550000001</v>
      </c>
      <c r="CT9" s="55"/>
      <c r="CU9" s="38">
        <f aca="true" t="shared" si="143" ref="CU9:CU15">C9*2.69452/100</f>
        <v>0</v>
      </c>
      <c r="CV9" s="38">
        <f t="shared" si="58"/>
        <v>13415.34145</v>
      </c>
      <c r="CW9" s="38">
        <f t="shared" si="59"/>
        <v>13415.34145</v>
      </c>
      <c r="CX9" s="38">
        <f t="shared" si="60"/>
        <v>8028.1876139999995</v>
      </c>
      <c r="CY9" s="38">
        <f t="shared" si="61"/>
        <v>888.248518</v>
      </c>
      <c r="CZ9" s="55"/>
      <c r="DA9" s="38">
        <f aca="true" t="shared" si="144" ref="DA9:DA15">C9*0.24417/100</f>
        <v>0</v>
      </c>
      <c r="DB9" s="38">
        <f t="shared" si="62"/>
        <v>1215.6613875</v>
      </c>
      <c r="DC9" s="38">
        <f t="shared" si="63"/>
        <v>1215.6613875</v>
      </c>
      <c r="DD9" s="38">
        <f t="shared" si="64"/>
        <v>727.4923065</v>
      </c>
      <c r="DE9" s="38">
        <f t="shared" si="65"/>
        <v>80.49064050000001</v>
      </c>
      <c r="DF9" s="55"/>
      <c r="DG9" s="38">
        <f aca="true" t="shared" si="145" ref="DG9:DG15">C9*0.92028/100</f>
        <v>0</v>
      </c>
      <c r="DH9" s="38">
        <f t="shared" si="66"/>
        <v>4581.84405</v>
      </c>
      <c r="DI9" s="38">
        <f t="shared" si="67"/>
        <v>4581.84405</v>
      </c>
      <c r="DJ9" s="38">
        <f t="shared" si="68"/>
        <v>2741.928246</v>
      </c>
      <c r="DK9" s="38">
        <f t="shared" si="69"/>
        <v>303.37030200000004</v>
      </c>
      <c r="DL9" s="55"/>
      <c r="DM9" s="38">
        <f aca="true" t="shared" si="146" ref="DM9:DM15">C9*2.14249/100</f>
        <v>0</v>
      </c>
      <c r="DN9" s="38">
        <f t="shared" si="70"/>
        <v>10666.9220875</v>
      </c>
      <c r="DO9" s="38">
        <f t="shared" si="71"/>
        <v>10666.9220875</v>
      </c>
      <c r="DP9" s="38">
        <f t="shared" si="72"/>
        <v>6383.4418305</v>
      </c>
      <c r="DQ9" s="38">
        <f t="shared" si="73"/>
        <v>706.2718285</v>
      </c>
      <c r="DR9" s="55"/>
      <c r="DS9" s="38">
        <f aca="true" t="shared" si="147" ref="DS9:DS15">C9*1.04086/100</f>
        <v>0</v>
      </c>
      <c r="DT9" s="38">
        <f t="shared" si="74"/>
        <v>5182.1817249999995</v>
      </c>
      <c r="DU9" s="38">
        <f t="shared" si="75"/>
        <v>5182.1817249999995</v>
      </c>
      <c r="DV9" s="38">
        <f t="shared" si="76"/>
        <v>3101.1903270000003</v>
      </c>
      <c r="DW9" s="38">
        <f t="shared" si="77"/>
        <v>343.119499</v>
      </c>
      <c r="DX9" s="55"/>
      <c r="DY9" s="38">
        <f aca="true" t="shared" si="148" ref="DY9:DY15">C9*0.17922/100</f>
        <v>0</v>
      </c>
      <c r="DZ9" s="38">
        <f t="shared" si="78"/>
        <v>892.291575</v>
      </c>
      <c r="EA9" s="38">
        <f t="shared" si="79"/>
        <v>892.291575</v>
      </c>
      <c r="EB9" s="38">
        <f t="shared" si="80"/>
        <v>533.977029</v>
      </c>
      <c r="EC9" s="38">
        <f t="shared" si="81"/>
        <v>59.079873000000006</v>
      </c>
      <c r="ED9" s="55"/>
      <c r="EE9" s="38">
        <f aca="true" t="shared" si="149" ref="EE9:EE15">C9*0.23104/100</f>
        <v>0</v>
      </c>
      <c r="EF9" s="38">
        <f t="shared" si="82"/>
        <v>1150.2903999999999</v>
      </c>
      <c r="EG9" s="38">
        <f t="shared" si="83"/>
        <v>1150.2903999999999</v>
      </c>
      <c r="EH9" s="38">
        <f t="shared" si="84"/>
        <v>688.3721280000001</v>
      </c>
      <c r="EI9" s="38">
        <f t="shared" si="85"/>
        <v>76.16233600000001</v>
      </c>
      <c r="EJ9" s="55"/>
      <c r="EK9" s="85">
        <f aca="true" t="shared" si="150" ref="EK9:EK15">C9*6.05401/100</f>
        <v>0</v>
      </c>
      <c r="EL9" s="85">
        <f t="shared" si="86"/>
        <v>30141.402287499997</v>
      </c>
      <c r="EM9" s="85">
        <f t="shared" si="87"/>
        <v>30141.402287499997</v>
      </c>
      <c r="EN9" s="38">
        <f t="shared" si="88"/>
        <v>18037.6200945</v>
      </c>
      <c r="EO9" s="38">
        <f t="shared" si="89"/>
        <v>1995.7043965</v>
      </c>
      <c r="EP9" s="55"/>
      <c r="EQ9" s="38">
        <f aca="true" t="shared" si="151" ref="EQ9:EQ15">C9*1.51927/100</f>
        <v>0</v>
      </c>
      <c r="ER9" s="38">
        <f t="shared" si="90"/>
        <v>7564.065512499999</v>
      </c>
      <c r="ES9" s="38">
        <f t="shared" si="91"/>
        <v>7564.065512499999</v>
      </c>
      <c r="ET9" s="38">
        <f t="shared" si="92"/>
        <v>4526.5890014999995</v>
      </c>
      <c r="EU9" s="38">
        <f t="shared" si="93"/>
        <v>500.8273555</v>
      </c>
      <c r="EV9" s="55"/>
      <c r="EW9" s="38">
        <f aca="true" t="shared" si="152" ref="EW9:EW15">C9*2.21555/100</f>
        <v>0</v>
      </c>
      <c r="EX9" s="38">
        <f t="shared" si="94"/>
        <v>11030.669562500001</v>
      </c>
      <c r="EY9" s="38">
        <f t="shared" si="95"/>
        <v>11030.669562500001</v>
      </c>
      <c r="EZ9" s="38">
        <f t="shared" si="96"/>
        <v>6601.1204475</v>
      </c>
      <c r="FA9" s="38">
        <f t="shared" si="97"/>
        <v>730.3560575</v>
      </c>
      <c r="FB9" s="55"/>
      <c r="FC9" s="38">
        <f aca="true" t="shared" si="153" ref="FC9:FC15">C9*0.00068/100</f>
        <v>0</v>
      </c>
      <c r="FD9" s="38">
        <f t="shared" si="98"/>
        <v>3.3855500000000003</v>
      </c>
      <c r="FE9" s="38">
        <f t="shared" si="99"/>
        <v>3.3855500000000003</v>
      </c>
      <c r="FF9" s="38">
        <f t="shared" si="100"/>
        <v>2.026026</v>
      </c>
      <c r="FG9" s="38">
        <f t="shared" si="101"/>
        <v>0.224162</v>
      </c>
      <c r="FH9" s="55"/>
      <c r="FI9" s="38">
        <f aca="true" t="shared" si="154" ref="FI9:FI15">C9*1.45821/100</f>
        <v>0</v>
      </c>
      <c r="FJ9" s="38">
        <f t="shared" si="102"/>
        <v>7260.0630375</v>
      </c>
      <c r="FK9" s="38">
        <f t="shared" si="103"/>
        <v>7260.0630375</v>
      </c>
      <c r="FL9" s="38">
        <f t="shared" si="104"/>
        <v>4344.6637845000005</v>
      </c>
      <c r="FM9" s="38">
        <f t="shared" si="105"/>
        <v>480.6989265</v>
      </c>
      <c r="FN9" s="55"/>
      <c r="FO9" s="38">
        <f aca="true" t="shared" si="155" ref="FO9:FO15">C9*1.8151/100</f>
        <v>0</v>
      </c>
      <c r="FP9" s="38">
        <f t="shared" si="106"/>
        <v>9036.929125</v>
      </c>
      <c r="FQ9" s="38">
        <f t="shared" si="107"/>
        <v>9036.929125</v>
      </c>
      <c r="FR9" s="38">
        <f t="shared" si="108"/>
        <v>5407.999695</v>
      </c>
      <c r="FS9" s="38">
        <f t="shared" si="109"/>
        <v>598.347715</v>
      </c>
      <c r="FT9" s="55"/>
      <c r="FU9" s="38">
        <f aca="true" t="shared" si="156" ref="FU9:FU15">C9*2.12676/100</f>
        <v>0</v>
      </c>
      <c r="FV9" s="38">
        <f t="shared" si="110"/>
        <v>10588.60635</v>
      </c>
      <c r="FW9" s="38">
        <f t="shared" si="111"/>
        <v>10588.60635</v>
      </c>
      <c r="FX9" s="38">
        <f t="shared" si="112"/>
        <v>6336.575082</v>
      </c>
      <c r="FY9" s="38">
        <f t="shared" si="113"/>
        <v>701.086434</v>
      </c>
      <c r="FZ9" s="55"/>
      <c r="GA9" s="38">
        <f aca="true" t="shared" si="157" ref="GA9:GA15">C9*6.78414/100</f>
        <v>0</v>
      </c>
      <c r="GB9" s="38">
        <f t="shared" si="114"/>
        <v>33776.537025</v>
      </c>
      <c r="GC9" s="38">
        <f t="shared" si="115"/>
        <v>33776.537025</v>
      </c>
      <c r="GD9" s="38">
        <f t="shared" si="116"/>
        <v>20213.005923</v>
      </c>
      <c r="GE9" s="38">
        <f t="shared" si="117"/>
        <v>2236.3917509999997</v>
      </c>
      <c r="GF9" s="55"/>
      <c r="GG9" s="38">
        <f aca="true" t="shared" si="158" ref="GG9:GG15">C9*10.89131/100</f>
        <v>0</v>
      </c>
      <c r="GH9" s="38">
        <f t="shared" si="118"/>
        <v>54225.10966250001</v>
      </c>
      <c r="GI9" s="38">
        <f t="shared" si="119"/>
        <v>54225.10966250001</v>
      </c>
      <c r="GJ9" s="38">
        <f t="shared" si="120"/>
        <v>32450.1135795</v>
      </c>
      <c r="GK9" s="38">
        <f t="shared" si="121"/>
        <v>3590.3203415</v>
      </c>
      <c r="GL9" s="55"/>
      <c r="GM9" s="38">
        <f aca="true" t="shared" si="159" ref="GM9:GM15">C9*0.03264/100</f>
        <v>0</v>
      </c>
      <c r="GN9" s="38">
        <f t="shared" si="122"/>
        <v>162.5064</v>
      </c>
      <c r="GO9" s="38">
        <f t="shared" si="123"/>
        <v>162.5064</v>
      </c>
      <c r="GP9" s="38">
        <f t="shared" si="124"/>
        <v>97.24924800000001</v>
      </c>
      <c r="GQ9" s="38">
        <f t="shared" si="125"/>
        <v>10.759776</v>
      </c>
      <c r="GR9" s="55"/>
      <c r="GS9" s="38">
        <f aca="true" t="shared" si="160" ref="GS9:GS15">C9*0.18025/100</f>
        <v>0</v>
      </c>
      <c r="GT9" s="38">
        <f t="shared" si="126"/>
        <v>897.4196875</v>
      </c>
      <c r="GU9" s="38">
        <f t="shared" si="127"/>
        <v>897.4196875</v>
      </c>
      <c r="GV9" s="38">
        <f t="shared" si="128"/>
        <v>537.0458625</v>
      </c>
      <c r="GW9" s="38">
        <f t="shared" si="129"/>
        <v>59.4194125</v>
      </c>
      <c r="GX9" s="55"/>
      <c r="GY9" s="47"/>
      <c r="GZ9" s="55"/>
      <c r="HA9" s="55"/>
      <c r="HB9" s="55"/>
      <c r="HC9" s="55"/>
      <c r="HD9" s="55"/>
      <c r="HE9" s="55"/>
      <c r="HF9" s="55"/>
      <c r="HG9" s="55"/>
      <c r="HH9" s="55"/>
      <c r="HI9" s="55"/>
      <c r="HJ9" s="55"/>
      <c r="HK9" s="55"/>
      <c r="HL9" s="55"/>
      <c r="HM9" s="55"/>
      <c r="HN9" s="55"/>
      <c r="HO9" s="55"/>
      <c r="HP9" s="55"/>
      <c r="HQ9" s="55"/>
      <c r="HR9" s="55"/>
      <c r="HS9" s="55"/>
      <c r="HT9" s="55"/>
      <c r="HU9" s="55"/>
    </row>
    <row r="10" spans="1:229" s="57" customFormat="1" ht="12.75">
      <c r="A10" s="56">
        <v>44105</v>
      </c>
      <c r="B10" s="55"/>
      <c r="C10" s="55"/>
      <c r="D10" s="55">
        <v>497875</v>
      </c>
      <c r="E10" s="41">
        <f t="shared" si="0"/>
        <v>497875</v>
      </c>
      <c r="F10" s="41">
        <v>297945</v>
      </c>
      <c r="G10" s="41">
        <v>32965</v>
      </c>
      <c r="H10" s="55"/>
      <c r="I10" s="41">
        <f>'2017B Academic'!C10</f>
        <v>0</v>
      </c>
      <c r="J10" s="41">
        <f>'2017B Academic'!D10</f>
        <v>88327.5556625</v>
      </c>
      <c r="K10" s="41">
        <f t="shared" si="1"/>
        <v>88327.5556625</v>
      </c>
      <c r="L10" s="41">
        <f>'2017B Academic'!F10</f>
        <v>52858.15429949999</v>
      </c>
      <c r="M10" s="41">
        <f>'2017B Academic'!G10</f>
        <v>5848.290981499999</v>
      </c>
      <c r="O10" s="38">
        <f t="shared" si="2"/>
        <v>0</v>
      </c>
      <c r="P10" s="47">
        <f t="shared" si="3"/>
        <v>409547.4443375001</v>
      </c>
      <c r="Q10" s="38">
        <f t="shared" si="4"/>
        <v>409547.4443375001</v>
      </c>
      <c r="R10" s="38">
        <f t="shared" si="5"/>
        <v>245086.84570049995</v>
      </c>
      <c r="S10" s="38">
        <f t="shared" si="5"/>
        <v>27116.709018499998</v>
      </c>
      <c r="U10" s="38"/>
      <c r="V10" s="38">
        <f t="shared" si="6"/>
        <v>86.4311</v>
      </c>
      <c r="W10" s="38">
        <f t="shared" si="7"/>
        <v>86.4311</v>
      </c>
      <c r="X10" s="38">
        <f t="shared" si="8"/>
        <v>51.723251999999995</v>
      </c>
      <c r="Y10" s="38">
        <f t="shared" si="9"/>
        <v>5.7227239999999995</v>
      </c>
      <c r="AA10" s="38"/>
      <c r="AB10" s="38">
        <f t="shared" si="10"/>
        <v>11193.4746875</v>
      </c>
      <c r="AC10" s="38">
        <f t="shared" si="11"/>
        <v>11193.4746875</v>
      </c>
      <c r="AD10" s="38">
        <f t="shared" si="12"/>
        <v>6698.5484625</v>
      </c>
      <c r="AE10" s="38">
        <f t="shared" si="13"/>
        <v>741.1356125</v>
      </c>
      <c r="AF10" s="55"/>
      <c r="AG10" s="38"/>
      <c r="AH10" s="38">
        <f t="shared" si="14"/>
        <v>69184.0627625</v>
      </c>
      <c r="AI10" s="38">
        <f t="shared" si="15"/>
        <v>69184.0627625</v>
      </c>
      <c r="AJ10" s="38">
        <f t="shared" si="16"/>
        <v>41402.0498715</v>
      </c>
      <c r="AK10" s="38">
        <f t="shared" si="17"/>
        <v>4580.773545499999</v>
      </c>
      <c r="AL10" s="55"/>
      <c r="AM10" s="38"/>
      <c r="AN10" s="38">
        <f t="shared" si="18"/>
        <v>701.4063000000001</v>
      </c>
      <c r="AO10" s="38">
        <f t="shared" si="19"/>
        <v>701.4063000000001</v>
      </c>
      <c r="AP10" s="38">
        <f t="shared" si="20"/>
        <v>419.744916</v>
      </c>
      <c r="AQ10" s="38">
        <f t="shared" si="21"/>
        <v>46.441092</v>
      </c>
      <c r="AR10" s="55"/>
      <c r="AS10" s="38"/>
      <c r="AT10" s="38">
        <f t="shared" si="22"/>
        <v>19542.9380125</v>
      </c>
      <c r="AU10" s="38">
        <f t="shared" si="23"/>
        <v>19542.9380125</v>
      </c>
      <c r="AV10" s="38">
        <f t="shared" si="24"/>
        <v>11695.1457015</v>
      </c>
      <c r="AW10" s="38">
        <f t="shared" si="25"/>
        <v>1293.9652555</v>
      </c>
      <c r="AX10" s="55"/>
      <c r="AY10" s="38"/>
      <c r="AZ10" s="38">
        <f t="shared" si="26"/>
        <v>1376.3754374999999</v>
      </c>
      <c r="BA10" s="38">
        <f t="shared" si="27"/>
        <v>1376.3754374999999</v>
      </c>
      <c r="BB10" s="38">
        <f t="shared" si="28"/>
        <v>823.6689525</v>
      </c>
      <c r="BC10" s="38">
        <f t="shared" si="29"/>
        <v>91.1317425</v>
      </c>
      <c r="BD10" s="55"/>
      <c r="BE10" s="38"/>
      <c r="BF10" s="38">
        <f t="shared" si="30"/>
        <v>31817.697624999997</v>
      </c>
      <c r="BG10" s="38">
        <f t="shared" si="31"/>
        <v>31817.697624999997</v>
      </c>
      <c r="BH10" s="38">
        <f t="shared" si="32"/>
        <v>19040.771115000003</v>
      </c>
      <c r="BI10" s="38">
        <f t="shared" si="33"/>
        <v>2106.6942550000003</v>
      </c>
      <c r="BJ10" s="55"/>
      <c r="BK10" s="38"/>
      <c r="BL10" s="38">
        <f t="shared" si="34"/>
        <v>1093.4330750000001</v>
      </c>
      <c r="BM10" s="38">
        <f t="shared" si="35"/>
        <v>1093.4330750000001</v>
      </c>
      <c r="BN10" s="38">
        <f t="shared" si="36"/>
        <v>654.346809</v>
      </c>
      <c r="BO10" s="38">
        <f t="shared" si="37"/>
        <v>72.397733</v>
      </c>
      <c r="BP10" s="55"/>
      <c r="BQ10" s="38"/>
      <c r="BR10" s="38">
        <f t="shared" si="38"/>
        <v>1178.9182125</v>
      </c>
      <c r="BS10" s="38">
        <f t="shared" si="39"/>
        <v>1178.9182125</v>
      </c>
      <c r="BT10" s="38">
        <f t="shared" si="40"/>
        <v>705.5039655</v>
      </c>
      <c r="BU10" s="38">
        <f t="shared" si="41"/>
        <v>78.0578235</v>
      </c>
      <c r="BV10" s="55"/>
      <c r="BW10" s="38"/>
      <c r="BX10" s="38">
        <f t="shared" si="42"/>
        <v>311.42081249999995</v>
      </c>
      <c r="BY10" s="38">
        <f t="shared" si="43"/>
        <v>311.42081249999995</v>
      </c>
      <c r="BZ10" s="38">
        <f t="shared" si="44"/>
        <v>186.3645975</v>
      </c>
      <c r="CA10" s="38">
        <f t="shared" si="45"/>
        <v>20.6196075</v>
      </c>
      <c r="CB10" s="55"/>
      <c r="CC10" s="38"/>
      <c r="CD10" s="38">
        <f t="shared" si="46"/>
        <v>69196.360275</v>
      </c>
      <c r="CE10" s="38">
        <f t="shared" si="47"/>
        <v>69196.360275</v>
      </c>
      <c r="CF10" s="38">
        <f t="shared" si="48"/>
        <v>41409.409113</v>
      </c>
      <c r="CG10" s="38">
        <f t="shared" si="49"/>
        <v>4581.587781</v>
      </c>
      <c r="CH10" s="55"/>
      <c r="CI10" s="38"/>
      <c r="CJ10" s="38">
        <f t="shared" si="50"/>
        <v>949.1489</v>
      </c>
      <c r="CK10" s="38">
        <f t="shared" si="51"/>
        <v>949.1489</v>
      </c>
      <c r="CL10" s="38">
        <f t="shared" si="52"/>
        <v>568.002348</v>
      </c>
      <c r="CM10" s="38">
        <f t="shared" si="53"/>
        <v>62.844476</v>
      </c>
      <c r="CN10" s="55"/>
      <c r="CO10" s="38"/>
      <c r="CP10" s="38">
        <f t="shared" si="54"/>
        <v>1124.5502625</v>
      </c>
      <c r="CQ10" s="38">
        <f t="shared" si="55"/>
        <v>1124.5502625</v>
      </c>
      <c r="CR10" s="38">
        <f t="shared" si="56"/>
        <v>672.9683715000001</v>
      </c>
      <c r="CS10" s="38">
        <f t="shared" si="57"/>
        <v>74.45804550000001</v>
      </c>
      <c r="CT10" s="55"/>
      <c r="CU10" s="38"/>
      <c r="CV10" s="38">
        <f t="shared" si="58"/>
        <v>13415.34145</v>
      </c>
      <c r="CW10" s="38">
        <f t="shared" si="59"/>
        <v>13415.34145</v>
      </c>
      <c r="CX10" s="38">
        <f t="shared" si="60"/>
        <v>8028.1876139999995</v>
      </c>
      <c r="CY10" s="38">
        <f t="shared" si="61"/>
        <v>888.248518</v>
      </c>
      <c r="CZ10" s="55"/>
      <c r="DA10" s="38"/>
      <c r="DB10" s="38">
        <f t="shared" si="62"/>
        <v>1215.6613875</v>
      </c>
      <c r="DC10" s="38">
        <f t="shared" si="63"/>
        <v>1215.6613875</v>
      </c>
      <c r="DD10" s="38">
        <f t="shared" si="64"/>
        <v>727.4923065</v>
      </c>
      <c r="DE10" s="38">
        <f t="shared" si="65"/>
        <v>80.49064050000001</v>
      </c>
      <c r="DF10" s="55"/>
      <c r="DG10" s="38"/>
      <c r="DH10" s="38">
        <f t="shared" si="66"/>
        <v>4581.84405</v>
      </c>
      <c r="DI10" s="38">
        <f t="shared" si="67"/>
        <v>4581.84405</v>
      </c>
      <c r="DJ10" s="38">
        <f t="shared" si="68"/>
        <v>2741.928246</v>
      </c>
      <c r="DK10" s="38">
        <f t="shared" si="69"/>
        <v>303.37030200000004</v>
      </c>
      <c r="DL10" s="55"/>
      <c r="DM10" s="38"/>
      <c r="DN10" s="38">
        <f t="shared" si="70"/>
        <v>10666.9220875</v>
      </c>
      <c r="DO10" s="38">
        <f t="shared" si="71"/>
        <v>10666.9220875</v>
      </c>
      <c r="DP10" s="38">
        <f t="shared" si="72"/>
        <v>6383.4418305</v>
      </c>
      <c r="DQ10" s="38">
        <f t="shared" si="73"/>
        <v>706.2718285</v>
      </c>
      <c r="DR10" s="55"/>
      <c r="DS10" s="38"/>
      <c r="DT10" s="38">
        <f t="shared" si="74"/>
        <v>5182.1817249999995</v>
      </c>
      <c r="DU10" s="38">
        <f t="shared" si="75"/>
        <v>5182.1817249999995</v>
      </c>
      <c r="DV10" s="38">
        <f t="shared" si="76"/>
        <v>3101.1903270000003</v>
      </c>
      <c r="DW10" s="38">
        <f t="shared" si="77"/>
        <v>343.119499</v>
      </c>
      <c r="DX10" s="55"/>
      <c r="DY10" s="38"/>
      <c r="DZ10" s="38">
        <f t="shared" si="78"/>
        <v>892.291575</v>
      </c>
      <c r="EA10" s="38">
        <f t="shared" si="79"/>
        <v>892.291575</v>
      </c>
      <c r="EB10" s="38">
        <f t="shared" si="80"/>
        <v>533.977029</v>
      </c>
      <c r="EC10" s="38">
        <f t="shared" si="81"/>
        <v>59.079873000000006</v>
      </c>
      <c r="ED10" s="55"/>
      <c r="EE10" s="38"/>
      <c r="EF10" s="38">
        <f t="shared" si="82"/>
        <v>1150.2903999999999</v>
      </c>
      <c r="EG10" s="38">
        <f t="shared" si="83"/>
        <v>1150.2903999999999</v>
      </c>
      <c r="EH10" s="38">
        <f t="shared" si="84"/>
        <v>688.3721280000001</v>
      </c>
      <c r="EI10" s="38">
        <f t="shared" si="85"/>
        <v>76.16233600000001</v>
      </c>
      <c r="EJ10" s="55"/>
      <c r="EK10" s="85"/>
      <c r="EL10" s="85">
        <f t="shared" si="86"/>
        <v>30141.402287499997</v>
      </c>
      <c r="EM10" s="85">
        <f t="shared" si="87"/>
        <v>30141.402287499997</v>
      </c>
      <c r="EN10" s="38">
        <f t="shared" si="88"/>
        <v>18037.6200945</v>
      </c>
      <c r="EO10" s="38">
        <f t="shared" si="89"/>
        <v>1995.7043965</v>
      </c>
      <c r="EP10" s="55"/>
      <c r="EQ10" s="38"/>
      <c r="ER10" s="38">
        <f t="shared" si="90"/>
        <v>7564.065512499999</v>
      </c>
      <c r="ES10" s="38">
        <f t="shared" si="91"/>
        <v>7564.065512499999</v>
      </c>
      <c r="ET10" s="38">
        <f t="shared" si="92"/>
        <v>4526.5890014999995</v>
      </c>
      <c r="EU10" s="38">
        <f t="shared" si="93"/>
        <v>500.8273555</v>
      </c>
      <c r="EV10" s="55"/>
      <c r="EW10" s="38"/>
      <c r="EX10" s="38">
        <f t="shared" si="94"/>
        <v>11030.669562500001</v>
      </c>
      <c r="EY10" s="38">
        <f t="shared" si="95"/>
        <v>11030.669562500001</v>
      </c>
      <c r="EZ10" s="38">
        <f t="shared" si="96"/>
        <v>6601.1204475</v>
      </c>
      <c r="FA10" s="38">
        <f t="shared" si="97"/>
        <v>730.3560575</v>
      </c>
      <c r="FB10" s="55"/>
      <c r="FC10" s="38"/>
      <c r="FD10" s="38">
        <f t="shared" si="98"/>
        <v>3.3855500000000003</v>
      </c>
      <c r="FE10" s="38">
        <f t="shared" si="99"/>
        <v>3.3855500000000003</v>
      </c>
      <c r="FF10" s="38">
        <f t="shared" si="100"/>
        <v>2.026026</v>
      </c>
      <c r="FG10" s="38">
        <f t="shared" si="101"/>
        <v>0.224162</v>
      </c>
      <c r="FH10" s="55"/>
      <c r="FI10" s="38"/>
      <c r="FJ10" s="38">
        <f t="shared" si="102"/>
        <v>7260.0630375</v>
      </c>
      <c r="FK10" s="38">
        <f t="shared" si="103"/>
        <v>7260.0630375</v>
      </c>
      <c r="FL10" s="38">
        <f t="shared" si="104"/>
        <v>4344.6637845000005</v>
      </c>
      <c r="FM10" s="38">
        <f t="shared" si="105"/>
        <v>480.6989265</v>
      </c>
      <c r="FN10" s="55"/>
      <c r="FO10" s="38"/>
      <c r="FP10" s="38">
        <f t="shared" si="106"/>
        <v>9036.929125</v>
      </c>
      <c r="FQ10" s="38">
        <f t="shared" si="107"/>
        <v>9036.929125</v>
      </c>
      <c r="FR10" s="38">
        <f t="shared" si="108"/>
        <v>5407.999695</v>
      </c>
      <c r="FS10" s="38">
        <f t="shared" si="109"/>
        <v>598.347715</v>
      </c>
      <c r="FT10" s="55"/>
      <c r="FU10" s="38"/>
      <c r="FV10" s="38">
        <f t="shared" si="110"/>
        <v>10588.60635</v>
      </c>
      <c r="FW10" s="38">
        <f t="shared" si="111"/>
        <v>10588.60635</v>
      </c>
      <c r="FX10" s="38">
        <f t="shared" si="112"/>
        <v>6336.575082</v>
      </c>
      <c r="FY10" s="38">
        <f t="shared" si="113"/>
        <v>701.086434</v>
      </c>
      <c r="FZ10" s="55"/>
      <c r="GA10" s="38"/>
      <c r="GB10" s="38">
        <f t="shared" si="114"/>
        <v>33776.537025</v>
      </c>
      <c r="GC10" s="38">
        <f t="shared" si="115"/>
        <v>33776.537025</v>
      </c>
      <c r="GD10" s="38">
        <f t="shared" si="116"/>
        <v>20213.005923</v>
      </c>
      <c r="GE10" s="38">
        <f t="shared" si="117"/>
        <v>2236.3917509999997</v>
      </c>
      <c r="GF10" s="55"/>
      <c r="GG10" s="38"/>
      <c r="GH10" s="38">
        <f t="shared" si="118"/>
        <v>54225.10966250001</v>
      </c>
      <c r="GI10" s="38">
        <f t="shared" si="119"/>
        <v>54225.10966250001</v>
      </c>
      <c r="GJ10" s="38">
        <f t="shared" si="120"/>
        <v>32450.1135795</v>
      </c>
      <c r="GK10" s="38">
        <f t="shared" si="121"/>
        <v>3590.3203415</v>
      </c>
      <c r="GL10" s="55"/>
      <c r="GM10" s="38"/>
      <c r="GN10" s="38">
        <f t="shared" si="122"/>
        <v>162.5064</v>
      </c>
      <c r="GO10" s="38">
        <f t="shared" si="123"/>
        <v>162.5064</v>
      </c>
      <c r="GP10" s="38">
        <f t="shared" si="124"/>
        <v>97.24924800000001</v>
      </c>
      <c r="GQ10" s="38">
        <f t="shared" si="125"/>
        <v>10.759776</v>
      </c>
      <c r="GR10" s="55"/>
      <c r="GS10" s="38"/>
      <c r="GT10" s="38">
        <f t="shared" si="126"/>
        <v>897.4196875</v>
      </c>
      <c r="GU10" s="38">
        <f t="shared" si="127"/>
        <v>897.4196875</v>
      </c>
      <c r="GV10" s="38">
        <f t="shared" si="128"/>
        <v>537.0458625</v>
      </c>
      <c r="GW10" s="38">
        <f t="shared" si="129"/>
        <v>59.4194125</v>
      </c>
      <c r="GX10" s="55"/>
      <c r="GY10" s="47"/>
      <c r="GZ10" s="55"/>
      <c r="HA10" s="55"/>
      <c r="HB10" s="55"/>
      <c r="HC10" s="55"/>
      <c r="HD10" s="55"/>
      <c r="HE10" s="55"/>
      <c r="HF10" s="55"/>
      <c r="HG10" s="55"/>
      <c r="HH10" s="55"/>
      <c r="HI10" s="55"/>
      <c r="HJ10" s="55"/>
      <c r="HK10" s="55"/>
      <c r="HL10" s="55"/>
      <c r="HM10" s="55"/>
      <c r="HN10" s="55"/>
      <c r="HO10" s="55"/>
      <c r="HP10" s="55"/>
      <c r="HQ10" s="55"/>
      <c r="HR10" s="55"/>
      <c r="HS10" s="55"/>
      <c r="HT10" s="55"/>
      <c r="HU10" s="55"/>
    </row>
    <row r="11" spans="1:229" s="57" customFormat="1" ht="12.75">
      <c r="A11" s="56">
        <v>44287</v>
      </c>
      <c r="B11" s="55"/>
      <c r="C11" s="55">
        <v>6510000</v>
      </c>
      <c r="D11" s="55">
        <v>497875</v>
      </c>
      <c r="E11" s="41">
        <f t="shared" si="0"/>
        <v>7007875</v>
      </c>
      <c r="F11" s="41">
        <v>297945</v>
      </c>
      <c r="G11" s="41">
        <v>32965</v>
      </c>
      <c r="H11" s="55"/>
      <c r="I11" s="41">
        <f>'2017B Academic'!C11</f>
        <v>1154933.241</v>
      </c>
      <c r="J11" s="41">
        <f>'2017B Academic'!D11</f>
        <v>88327.5556625</v>
      </c>
      <c r="K11" s="41">
        <f t="shared" si="1"/>
        <v>1243260.7966625</v>
      </c>
      <c r="L11" s="41">
        <f>'2017B Academic'!F11</f>
        <v>52858.15429949999</v>
      </c>
      <c r="M11" s="41">
        <f>'2017B Academic'!G11</f>
        <v>5848.290981499999</v>
      </c>
      <c r="O11" s="38">
        <f t="shared" si="2"/>
        <v>5355066.759000001</v>
      </c>
      <c r="P11" s="47">
        <f t="shared" si="3"/>
        <v>409547.4443375001</v>
      </c>
      <c r="Q11" s="38">
        <f t="shared" si="4"/>
        <v>5764614.203337501</v>
      </c>
      <c r="R11" s="38">
        <f t="shared" si="5"/>
        <v>245086.84570049995</v>
      </c>
      <c r="S11" s="38">
        <f t="shared" si="5"/>
        <v>27116.709018499998</v>
      </c>
      <c r="U11" s="38">
        <f t="shared" si="130"/>
        <v>1130.136</v>
      </c>
      <c r="V11" s="38">
        <f t="shared" si="6"/>
        <v>86.4311</v>
      </c>
      <c r="W11" s="38">
        <f t="shared" si="7"/>
        <v>1216.5671</v>
      </c>
      <c r="X11" s="38">
        <f t="shared" si="8"/>
        <v>51.723251999999995</v>
      </c>
      <c r="Y11" s="38">
        <f t="shared" si="9"/>
        <v>5.7227239999999995</v>
      </c>
      <c r="AA11" s="38">
        <f t="shared" si="131"/>
        <v>146361.075</v>
      </c>
      <c r="AB11" s="38">
        <f t="shared" si="10"/>
        <v>11193.4746875</v>
      </c>
      <c r="AC11" s="38">
        <f t="shared" si="11"/>
        <v>157554.54968750002</v>
      </c>
      <c r="AD11" s="38">
        <f t="shared" si="12"/>
        <v>6698.5484625</v>
      </c>
      <c r="AE11" s="38">
        <f t="shared" si="13"/>
        <v>741.1356125</v>
      </c>
      <c r="AF11" s="55"/>
      <c r="AG11" s="38">
        <f t="shared" si="132"/>
        <v>904621.137</v>
      </c>
      <c r="AH11" s="38">
        <f t="shared" si="14"/>
        <v>69184.0627625</v>
      </c>
      <c r="AI11" s="38">
        <f t="shared" si="15"/>
        <v>973805.1997625</v>
      </c>
      <c r="AJ11" s="38">
        <f t="shared" si="16"/>
        <v>41402.0498715</v>
      </c>
      <c r="AK11" s="38">
        <f t="shared" si="17"/>
        <v>4580.773545499999</v>
      </c>
      <c r="AL11" s="55"/>
      <c r="AM11" s="38">
        <f t="shared" si="133"/>
        <v>9171.288</v>
      </c>
      <c r="AN11" s="38">
        <f t="shared" si="18"/>
        <v>701.4063000000001</v>
      </c>
      <c r="AO11" s="38">
        <f t="shared" si="19"/>
        <v>9872.694300000001</v>
      </c>
      <c r="AP11" s="38">
        <f t="shared" si="20"/>
        <v>419.744916</v>
      </c>
      <c r="AQ11" s="38">
        <f t="shared" si="21"/>
        <v>46.441092</v>
      </c>
      <c r="AR11" s="55"/>
      <c r="AS11" s="38">
        <f t="shared" si="134"/>
        <v>255535.077</v>
      </c>
      <c r="AT11" s="38">
        <f t="shared" si="22"/>
        <v>19542.9380125</v>
      </c>
      <c r="AU11" s="38">
        <f t="shared" si="23"/>
        <v>275078.0150125</v>
      </c>
      <c r="AV11" s="38">
        <f t="shared" si="24"/>
        <v>11695.1457015</v>
      </c>
      <c r="AW11" s="38">
        <f t="shared" si="25"/>
        <v>1293.9652555</v>
      </c>
      <c r="AX11" s="55"/>
      <c r="AY11" s="38">
        <f t="shared" si="135"/>
        <v>17996.894999999997</v>
      </c>
      <c r="AZ11" s="38">
        <f t="shared" si="26"/>
        <v>1376.3754374999999</v>
      </c>
      <c r="BA11" s="38">
        <f t="shared" si="27"/>
        <v>19373.270437499996</v>
      </c>
      <c r="BB11" s="38">
        <f t="shared" si="28"/>
        <v>823.6689525</v>
      </c>
      <c r="BC11" s="38">
        <f t="shared" si="29"/>
        <v>91.1317425</v>
      </c>
      <c r="BD11" s="55"/>
      <c r="BE11" s="38">
        <f t="shared" si="136"/>
        <v>416034.57</v>
      </c>
      <c r="BF11" s="38">
        <f t="shared" si="30"/>
        <v>31817.697624999997</v>
      </c>
      <c r="BG11" s="38">
        <f t="shared" si="31"/>
        <v>447852.267625</v>
      </c>
      <c r="BH11" s="38">
        <f t="shared" si="32"/>
        <v>19040.771115000003</v>
      </c>
      <c r="BI11" s="38">
        <f t="shared" si="33"/>
        <v>2106.6942550000003</v>
      </c>
      <c r="BJ11" s="55"/>
      <c r="BK11" s="38">
        <f t="shared" si="137"/>
        <v>14297.261999999999</v>
      </c>
      <c r="BL11" s="38">
        <f t="shared" si="34"/>
        <v>1093.4330750000001</v>
      </c>
      <c r="BM11" s="38">
        <f t="shared" si="35"/>
        <v>15390.695075</v>
      </c>
      <c r="BN11" s="38">
        <f t="shared" si="36"/>
        <v>654.346809</v>
      </c>
      <c r="BO11" s="38">
        <f t="shared" si="37"/>
        <v>72.397733</v>
      </c>
      <c r="BP11" s="55"/>
      <c r="BQ11" s="38">
        <f t="shared" si="138"/>
        <v>15415.028999999999</v>
      </c>
      <c r="BR11" s="38">
        <f t="shared" si="38"/>
        <v>1178.9182125</v>
      </c>
      <c r="BS11" s="38">
        <f t="shared" si="39"/>
        <v>16593.9472125</v>
      </c>
      <c r="BT11" s="38">
        <f t="shared" si="40"/>
        <v>705.5039655</v>
      </c>
      <c r="BU11" s="38">
        <f t="shared" si="41"/>
        <v>78.0578235</v>
      </c>
      <c r="BV11" s="55"/>
      <c r="BW11" s="38">
        <f t="shared" si="139"/>
        <v>4072.004999999999</v>
      </c>
      <c r="BX11" s="38">
        <f t="shared" si="42"/>
        <v>311.42081249999995</v>
      </c>
      <c r="BY11" s="38">
        <f t="shared" si="43"/>
        <v>4383.425812499999</v>
      </c>
      <c r="BZ11" s="38">
        <f t="shared" si="44"/>
        <v>186.3645975</v>
      </c>
      <c r="CA11" s="38">
        <f t="shared" si="45"/>
        <v>20.6196075</v>
      </c>
      <c r="CB11" s="55"/>
      <c r="CC11" s="38">
        <f t="shared" si="140"/>
        <v>904781.9339999999</v>
      </c>
      <c r="CD11" s="38">
        <f t="shared" si="46"/>
        <v>69196.360275</v>
      </c>
      <c r="CE11" s="38">
        <f t="shared" si="47"/>
        <v>973978.2942749999</v>
      </c>
      <c r="CF11" s="38">
        <f t="shared" si="48"/>
        <v>41409.409113</v>
      </c>
      <c r="CG11" s="38">
        <f t="shared" si="49"/>
        <v>4581.587781</v>
      </c>
      <c r="CH11" s="55"/>
      <c r="CI11" s="38">
        <f t="shared" si="141"/>
        <v>12410.664</v>
      </c>
      <c r="CJ11" s="38">
        <f t="shared" si="50"/>
        <v>949.1489</v>
      </c>
      <c r="CK11" s="38">
        <f t="shared" si="51"/>
        <v>13359.8129</v>
      </c>
      <c r="CL11" s="38">
        <f t="shared" si="52"/>
        <v>568.002348</v>
      </c>
      <c r="CM11" s="38">
        <f t="shared" si="53"/>
        <v>62.844476</v>
      </c>
      <c r="CN11" s="55"/>
      <c r="CO11" s="38">
        <f t="shared" si="142"/>
        <v>14704.136999999999</v>
      </c>
      <c r="CP11" s="38">
        <f t="shared" si="54"/>
        <v>1124.5502625</v>
      </c>
      <c r="CQ11" s="38">
        <f t="shared" si="55"/>
        <v>15828.6872625</v>
      </c>
      <c r="CR11" s="38">
        <f t="shared" si="56"/>
        <v>672.9683715000001</v>
      </c>
      <c r="CS11" s="38">
        <f t="shared" si="57"/>
        <v>74.45804550000001</v>
      </c>
      <c r="CT11" s="55"/>
      <c r="CU11" s="38">
        <f t="shared" si="143"/>
        <v>175413.25199999998</v>
      </c>
      <c r="CV11" s="38">
        <f t="shared" si="58"/>
        <v>13415.34145</v>
      </c>
      <c r="CW11" s="38">
        <f t="shared" si="59"/>
        <v>188828.59345</v>
      </c>
      <c r="CX11" s="38">
        <f t="shared" si="60"/>
        <v>8028.1876139999995</v>
      </c>
      <c r="CY11" s="38">
        <f t="shared" si="61"/>
        <v>888.248518</v>
      </c>
      <c r="CZ11" s="55"/>
      <c r="DA11" s="38">
        <f t="shared" si="144"/>
        <v>15895.466999999999</v>
      </c>
      <c r="DB11" s="38">
        <f t="shared" si="62"/>
        <v>1215.6613875</v>
      </c>
      <c r="DC11" s="38">
        <f t="shared" si="63"/>
        <v>17111.128387499997</v>
      </c>
      <c r="DD11" s="38">
        <f t="shared" si="64"/>
        <v>727.4923065</v>
      </c>
      <c r="DE11" s="38">
        <f t="shared" si="65"/>
        <v>80.49064050000001</v>
      </c>
      <c r="DF11" s="55"/>
      <c r="DG11" s="38">
        <f t="shared" si="145"/>
        <v>59910.227999999996</v>
      </c>
      <c r="DH11" s="38">
        <f t="shared" si="66"/>
        <v>4581.84405</v>
      </c>
      <c r="DI11" s="38">
        <f t="shared" si="67"/>
        <v>64492.072049999995</v>
      </c>
      <c r="DJ11" s="38">
        <f t="shared" si="68"/>
        <v>2741.928246</v>
      </c>
      <c r="DK11" s="38">
        <f t="shared" si="69"/>
        <v>303.37030200000004</v>
      </c>
      <c r="DL11" s="55"/>
      <c r="DM11" s="38">
        <f t="shared" si="146"/>
        <v>139476.09900000002</v>
      </c>
      <c r="DN11" s="38">
        <f t="shared" si="70"/>
        <v>10666.9220875</v>
      </c>
      <c r="DO11" s="38">
        <f t="shared" si="71"/>
        <v>150143.0210875</v>
      </c>
      <c r="DP11" s="38">
        <f t="shared" si="72"/>
        <v>6383.4418305</v>
      </c>
      <c r="DQ11" s="38">
        <f t="shared" si="73"/>
        <v>706.2718285</v>
      </c>
      <c r="DR11" s="55"/>
      <c r="DS11" s="38">
        <f t="shared" si="147"/>
        <v>67759.98599999999</v>
      </c>
      <c r="DT11" s="38">
        <f t="shared" si="74"/>
        <v>5182.1817249999995</v>
      </c>
      <c r="DU11" s="38">
        <f t="shared" si="75"/>
        <v>72942.16772499999</v>
      </c>
      <c r="DV11" s="38">
        <f t="shared" si="76"/>
        <v>3101.1903270000003</v>
      </c>
      <c r="DW11" s="38">
        <f t="shared" si="77"/>
        <v>343.119499</v>
      </c>
      <c r="DX11" s="55"/>
      <c r="DY11" s="38">
        <f t="shared" si="148"/>
        <v>11667.222</v>
      </c>
      <c r="DZ11" s="38">
        <f t="shared" si="78"/>
        <v>892.291575</v>
      </c>
      <c r="EA11" s="38">
        <f t="shared" si="79"/>
        <v>12559.513574999999</v>
      </c>
      <c r="EB11" s="38">
        <f t="shared" si="80"/>
        <v>533.977029</v>
      </c>
      <c r="EC11" s="38">
        <f t="shared" si="81"/>
        <v>59.079873000000006</v>
      </c>
      <c r="ED11" s="55"/>
      <c r="EE11" s="38">
        <f t="shared" si="149"/>
        <v>15040.704</v>
      </c>
      <c r="EF11" s="38">
        <f t="shared" si="82"/>
        <v>1150.2903999999999</v>
      </c>
      <c r="EG11" s="38">
        <f t="shared" si="83"/>
        <v>16190.9944</v>
      </c>
      <c r="EH11" s="38">
        <f t="shared" si="84"/>
        <v>688.3721280000001</v>
      </c>
      <c r="EI11" s="38">
        <f t="shared" si="85"/>
        <v>76.16233600000001</v>
      </c>
      <c r="EJ11" s="55"/>
      <c r="EK11" s="85">
        <f t="shared" si="150"/>
        <v>394116.05100000004</v>
      </c>
      <c r="EL11" s="85">
        <f t="shared" si="86"/>
        <v>30141.402287499997</v>
      </c>
      <c r="EM11" s="85">
        <f t="shared" si="87"/>
        <v>424257.4532875</v>
      </c>
      <c r="EN11" s="38">
        <f t="shared" si="88"/>
        <v>18037.6200945</v>
      </c>
      <c r="EO11" s="38">
        <f t="shared" si="89"/>
        <v>1995.7043965</v>
      </c>
      <c r="EP11" s="55"/>
      <c r="EQ11" s="38">
        <f t="shared" si="151"/>
        <v>98904.477</v>
      </c>
      <c r="ER11" s="38">
        <f t="shared" si="90"/>
        <v>7564.065512499999</v>
      </c>
      <c r="ES11" s="38">
        <f t="shared" si="91"/>
        <v>106468.5425125</v>
      </c>
      <c r="ET11" s="38">
        <f t="shared" si="92"/>
        <v>4526.5890014999995</v>
      </c>
      <c r="EU11" s="38">
        <f t="shared" si="93"/>
        <v>500.8273555</v>
      </c>
      <c r="EV11" s="55"/>
      <c r="EW11" s="38">
        <f t="shared" si="152"/>
        <v>144232.305</v>
      </c>
      <c r="EX11" s="38">
        <f t="shared" si="94"/>
        <v>11030.669562500001</v>
      </c>
      <c r="EY11" s="38">
        <f t="shared" si="95"/>
        <v>155262.9745625</v>
      </c>
      <c r="EZ11" s="38">
        <f t="shared" si="96"/>
        <v>6601.1204475</v>
      </c>
      <c r="FA11" s="38">
        <f t="shared" si="97"/>
        <v>730.3560575</v>
      </c>
      <c r="FB11" s="55"/>
      <c r="FC11" s="38">
        <f t="shared" si="153"/>
        <v>44.268</v>
      </c>
      <c r="FD11" s="38">
        <f t="shared" si="98"/>
        <v>3.3855500000000003</v>
      </c>
      <c r="FE11" s="38">
        <f t="shared" si="99"/>
        <v>47.65355</v>
      </c>
      <c r="FF11" s="38">
        <f t="shared" si="100"/>
        <v>2.026026</v>
      </c>
      <c r="FG11" s="38">
        <f t="shared" si="101"/>
        <v>0.224162</v>
      </c>
      <c r="FH11" s="55"/>
      <c r="FI11" s="38">
        <f t="shared" si="154"/>
        <v>94929.47099999999</v>
      </c>
      <c r="FJ11" s="38">
        <f t="shared" si="102"/>
        <v>7260.0630375</v>
      </c>
      <c r="FK11" s="38">
        <f t="shared" si="103"/>
        <v>102189.5340375</v>
      </c>
      <c r="FL11" s="38">
        <f t="shared" si="104"/>
        <v>4344.6637845000005</v>
      </c>
      <c r="FM11" s="38">
        <f t="shared" si="105"/>
        <v>480.6989265</v>
      </c>
      <c r="FN11" s="55"/>
      <c r="FO11" s="38">
        <f t="shared" si="155"/>
        <v>118163.01</v>
      </c>
      <c r="FP11" s="38">
        <f t="shared" si="106"/>
        <v>9036.929125</v>
      </c>
      <c r="FQ11" s="38">
        <f t="shared" si="107"/>
        <v>127199.93912499999</v>
      </c>
      <c r="FR11" s="38">
        <f t="shared" si="108"/>
        <v>5407.999695</v>
      </c>
      <c r="FS11" s="38">
        <f t="shared" si="109"/>
        <v>598.347715</v>
      </c>
      <c r="FT11" s="55"/>
      <c r="FU11" s="38">
        <f t="shared" si="156"/>
        <v>138452.076</v>
      </c>
      <c r="FV11" s="38">
        <f t="shared" si="110"/>
        <v>10588.60635</v>
      </c>
      <c r="FW11" s="38">
        <f t="shared" si="111"/>
        <v>149040.68235</v>
      </c>
      <c r="FX11" s="38">
        <f t="shared" si="112"/>
        <v>6336.575082</v>
      </c>
      <c r="FY11" s="38">
        <f t="shared" si="113"/>
        <v>701.086434</v>
      </c>
      <c r="FZ11" s="55"/>
      <c r="GA11" s="38">
        <f t="shared" si="157"/>
        <v>441647.51399999997</v>
      </c>
      <c r="GB11" s="38">
        <f t="shared" si="114"/>
        <v>33776.537025</v>
      </c>
      <c r="GC11" s="38">
        <f t="shared" si="115"/>
        <v>475424.05102499994</v>
      </c>
      <c r="GD11" s="38">
        <f t="shared" si="116"/>
        <v>20213.005923</v>
      </c>
      <c r="GE11" s="38">
        <f t="shared" si="117"/>
        <v>2236.3917509999997</v>
      </c>
      <c r="GF11" s="55"/>
      <c r="GG11" s="38">
        <f t="shared" si="158"/>
        <v>709024.2810000001</v>
      </c>
      <c r="GH11" s="38">
        <f t="shared" si="118"/>
        <v>54225.10966250001</v>
      </c>
      <c r="GI11" s="38">
        <f t="shared" si="119"/>
        <v>763249.3906625</v>
      </c>
      <c r="GJ11" s="38">
        <f t="shared" si="120"/>
        <v>32450.1135795</v>
      </c>
      <c r="GK11" s="38">
        <f t="shared" si="121"/>
        <v>3590.3203415</v>
      </c>
      <c r="GL11" s="55"/>
      <c r="GM11" s="38">
        <f t="shared" si="159"/>
        <v>2124.864</v>
      </c>
      <c r="GN11" s="38">
        <f t="shared" si="122"/>
        <v>162.5064</v>
      </c>
      <c r="GO11" s="38">
        <f t="shared" si="123"/>
        <v>2287.3704000000002</v>
      </c>
      <c r="GP11" s="38">
        <f t="shared" si="124"/>
        <v>97.24924800000001</v>
      </c>
      <c r="GQ11" s="38">
        <f t="shared" si="125"/>
        <v>10.759776</v>
      </c>
      <c r="GR11" s="55"/>
      <c r="GS11" s="38">
        <f t="shared" si="160"/>
        <v>11734.275</v>
      </c>
      <c r="GT11" s="38">
        <f t="shared" si="126"/>
        <v>897.4196875</v>
      </c>
      <c r="GU11" s="38">
        <f t="shared" si="127"/>
        <v>12631.6946875</v>
      </c>
      <c r="GV11" s="38">
        <f t="shared" si="128"/>
        <v>537.0458625</v>
      </c>
      <c r="GW11" s="38">
        <f t="shared" si="129"/>
        <v>59.4194125</v>
      </c>
      <c r="GX11" s="55"/>
      <c r="GY11" s="47"/>
      <c r="GZ11" s="55"/>
      <c r="HA11" s="55"/>
      <c r="HB11" s="55"/>
      <c r="HC11" s="55"/>
      <c r="HD11" s="55"/>
      <c r="HE11" s="55"/>
      <c r="HF11" s="55"/>
      <c r="HG11" s="55"/>
      <c r="HH11" s="55"/>
      <c r="HI11" s="55"/>
      <c r="HJ11" s="55"/>
      <c r="HK11" s="55"/>
      <c r="HL11" s="55"/>
      <c r="HM11" s="55"/>
      <c r="HN11" s="55"/>
      <c r="HO11" s="55"/>
      <c r="HP11" s="55"/>
      <c r="HQ11" s="55"/>
      <c r="HR11" s="55"/>
      <c r="HS11" s="55"/>
      <c r="HT11" s="55"/>
      <c r="HU11" s="55"/>
    </row>
    <row r="12" spans="1:229" s="57" customFormat="1" ht="12.75">
      <c r="A12" s="56">
        <v>44470</v>
      </c>
      <c r="B12" s="55"/>
      <c r="C12" s="55"/>
      <c r="D12" s="55">
        <v>335125</v>
      </c>
      <c r="E12" s="41">
        <f t="shared" si="0"/>
        <v>335125</v>
      </c>
      <c r="F12" s="41">
        <v>297945</v>
      </c>
      <c r="G12" s="41">
        <v>32965</v>
      </c>
      <c r="H12" s="55"/>
      <c r="I12" s="41">
        <f>'2017B Academic'!C12</f>
        <v>0</v>
      </c>
      <c r="J12" s="41">
        <f>'2017B Academic'!D12</f>
        <v>59454.22463750001</v>
      </c>
      <c r="K12" s="41">
        <f t="shared" si="1"/>
        <v>59454.22463750001</v>
      </c>
      <c r="L12" s="41">
        <f>'2017B Academic'!F12</f>
        <v>52858.15429949999</v>
      </c>
      <c r="M12" s="41">
        <f>'2017B Academic'!G12</f>
        <v>5848.290981499999</v>
      </c>
      <c r="O12" s="38">
        <f t="shared" si="2"/>
        <v>0</v>
      </c>
      <c r="P12" s="47">
        <f t="shared" si="3"/>
        <v>275670.7753625</v>
      </c>
      <c r="Q12" s="38">
        <f t="shared" si="4"/>
        <v>275670.7753625</v>
      </c>
      <c r="R12" s="38">
        <f t="shared" si="5"/>
        <v>245086.84570049995</v>
      </c>
      <c r="S12" s="38">
        <f t="shared" si="5"/>
        <v>27116.709018499998</v>
      </c>
      <c r="U12" s="38"/>
      <c r="V12" s="38">
        <f t="shared" si="6"/>
        <v>58.1777</v>
      </c>
      <c r="W12" s="38">
        <f t="shared" si="7"/>
        <v>58.1777</v>
      </c>
      <c r="X12" s="38">
        <f t="shared" si="8"/>
        <v>51.723251999999995</v>
      </c>
      <c r="Y12" s="38">
        <f t="shared" si="9"/>
        <v>5.7227239999999995</v>
      </c>
      <c r="AA12" s="38"/>
      <c r="AB12" s="38">
        <f t="shared" si="10"/>
        <v>7534.4478125</v>
      </c>
      <c r="AC12" s="38">
        <f t="shared" si="11"/>
        <v>7534.4478125</v>
      </c>
      <c r="AD12" s="38">
        <f t="shared" si="12"/>
        <v>6698.5484625</v>
      </c>
      <c r="AE12" s="38">
        <f t="shared" si="13"/>
        <v>741.1356125</v>
      </c>
      <c r="AF12" s="55"/>
      <c r="AG12" s="38"/>
      <c r="AH12" s="38">
        <f t="shared" si="14"/>
        <v>46568.5343375</v>
      </c>
      <c r="AI12" s="38">
        <f t="shared" si="15"/>
        <v>46568.5343375</v>
      </c>
      <c r="AJ12" s="38">
        <f t="shared" si="16"/>
        <v>41402.0498715</v>
      </c>
      <c r="AK12" s="38">
        <f t="shared" si="17"/>
        <v>4580.773545499999</v>
      </c>
      <c r="AL12" s="55"/>
      <c r="AM12" s="38"/>
      <c r="AN12" s="38">
        <f t="shared" si="18"/>
        <v>472.12410000000006</v>
      </c>
      <c r="AO12" s="38">
        <f t="shared" si="19"/>
        <v>472.12410000000006</v>
      </c>
      <c r="AP12" s="38">
        <f t="shared" si="20"/>
        <v>419.744916</v>
      </c>
      <c r="AQ12" s="38">
        <f t="shared" si="21"/>
        <v>46.441092</v>
      </c>
      <c r="AR12" s="55"/>
      <c r="AS12" s="38"/>
      <c r="AT12" s="38">
        <f t="shared" si="22"/>
        <v>13154.561087499998</v>
      </c>
      <c r="AU12" s="38">
        <f t="shared" si="23"/>
        <v>13154.561087499998</v>
      </c>
      <c r="AV12" s="38">
        <f t="shared" si="24"/>
        <v>11695.1457015</v>
      </c>
      <c r="AW12" s="38">
        <f t="shared" si="25"/>
        <v>1293.9652555</v>
      </c>
      <c r="AX12" s="55"/>
      <c r="AY12" s="38"/>
      <c r="AZ12" s="38">
        <f t="shared" si="26"/>
        <v>926.4530625</v>
      </c>
      <c r="BA12" s="38">
        <f t="shared" si="27"/>
        <v>926.4530625</v>
      </c>
      <c r="BB12" s="38">
        <f t="shared" si="28"/>
        <v>823.6689525</v>
      </c>
      <c r="BC12" s="38">
        <f t="shared" si="29"/>
        <v>91.1317425</v>
      </c>
      <c r="BD12" s="55"/>
      <c r="BE12" s="38"/>
      <c r="BF12" s="38">
        <f t="shared" si="30"/>
        <v>21416.833375</v>
      </c>
      <c r="BG12" s="38">
        <f t="shared" si="31"/>
        <v>21416.833375</v>
      </c>
      <c r="BH12" s="38">
        <f t="shared" si="32"/>
        <v>19040.771115000003</v>
      </c>
      <c r="BI12" s="38">
        <f t="shared" si="33"/>
        <v>2106.6942550000003</v>
      </c>
      <c r="BJ12" s="55"/>
      <c r="BK12" s="38"/>
      <c r="BL12" s="38">
        <f t="shared" si="34"/>
        <v>736.001525</v>
      </c>
      <c r="BM12" s="38">
        <f t="shared" si="35"/>
        <v>736.001525</v>
      </c>
      <c r="BN12" s="38">
        <f t="shared" si="36"/>
        <v>654.346809</v>
      </c>
      <c r="BO12" s="38">
        <f t="shared" si="37"/>
        <v>72.397733</v>
      </c>
      <c r="BP12" s="55"/>
      <c r="BQ12" s="38"/>
      <c r="BR12" s="38">
        <f t="shared" si="38"/>
        <v>793.5424875</v>
      </c>
      <c r="BS12" s="38">
        <f t="shared" si="39"/>
        <v>793.5424875</v>
      </c>
      <c r="BT12" s="38">
        <f t="shared" si="40"/>
        <v>705.5039655</v>
      </c>
      <c r="BU12" s="38">
        <f t="shared" si="41"/>
        <v>78.0578235</v>
      </c>
      <c r="BV12" s="55"/>
      <c r="BW12" s="38"/>
      <c r="BX12" s="38">
        <f t="shared" si="42"/>
        <v>209.62068749999997</v>
      </c>
      <c r="BY12" s="38">
        <f t="shared" si="43"/>
        <v>209.62068749999997</v>
      </c>
      <c r="BZ12" s="38">
        <f t="shared" si="44"/>
        <v>186.3645975</v>
      </c>
      <c r="CA12" s="38">
        <f t="shared" si="45"/>
        <v>20.6196075</v>
      </c>
      <c r="CB12" s="55"/>
      <c r="CC12" s="38"/>
      <c r="CD12" s="38">
        <f t="shared" si="46"/>
        <v>46576.811925</v>
      </c>
      <c r="CE12" s="38">
        <f t="shared" si="47"/>
        <v>46576.811925</v>
      </c>
      <c r="CF12" s="38">
        <f t="shared" si="48"/>
        <v>41409.409113</v>
      </c>
      <c r="CG12" s="38">
        <f t="shared" si="49"/>
        <v>4581.587781</v>
      </c>
      <c r="CH12" s="55"/>
      <c r="CI12" s="38"/>
      <c r="CJ12" s="38">
        <f t="shared" si="50"/>
        <v>638.8823</v>
      </c>
      <c r="CK12" s="38">
        <f t="shared" si="51"/>
        <v>638.8823</v>
      </c>
      <c r="CL12" s="38">
        <f t="shared" si="52"/>
        <v>568.002348</v>
      </c>
      <c r="CM12" s="38">
        <f t="shared" si="53"/>
        <v>62.844476</v>
      </c>
      <c r="CN12" s="55"/>
      <c r="CO12" s="38"/>
      <c r="CP12" s="38">
        <f t="shared" si="54"/>
        <v>756.9468375</v>
      </c>
      <c r="CQ12" s="38">
        <f t="shared" si="55"/>
        <v>756.9468375</v>
      </c>
      <c r="CR12" s="38">
        <f t="shared" si="56"/>
        <v>672.9683715000001</v>
      </c>
      <c r="CS12" s="38">
        <f t="shared" si="57"/>
        <v>74.45804550000001</v>
      </c>
      <c r="CT12" s="55"/>
      <c r="CU12" s="38"/>
      <c r="CV12" s="38">
        <f t="shared" si="58"/>
        <v>9030.010149999998</v>
      </c>
      <c r="CW12" s="38">
        <f t="shared" si="59"/>
        <v>9030.010149999998</v>
      </c>
      <c r="CX12" s="38">
        <f t="shared" si="60"/>
        <v>8028.1876139999995</v>
      </c>
      <c r="CY12" s="38">
        <f t="shared" si="61"/>
        <v>888.248518</v>
      </c>
      <c r="CZ12" s="55"/>
      <c r="DA12" s="38"/>
      <c r="DB12" s="38">
        <f t="shared" si="62"/>
        <v>818.2747125000001</v>
      </c>
      <c r="DC12" s="38">
        <f t="shared" si="63"/>
        <v>818.2747125000001</v>
      </c>
      <c r="DD12" s="38">
        <f t="shared" si="64"/>
        <v>727.4923065</v>
      </c>
      <c r="DE12" s="38">
        <f t="shared" si="65"/>
        <v>80.49064050000001</v>
      </c>
      <c r="DF12" s="55"/>
      <c r="DG12" s="38"/>
      <c r="DH12" s="38">
        <f t="shared" si="66"/>
        <v>3084.08835</v>
      </c>
      <c r="DI12" s="38">
        <f t="shared" si="67"/>
        <v>3084.08835</v>
      </c>
      <c r="DJ12" s="38">
        <f t="shared" si="68"/>
        <v>2741.928246</v>
      </c>
      <c r="DK12" s="38">
        <f t="shared" si="69"/>
        <v>303.37030200000004</v>
      </c>
      <c r="DL12" s="55"/>
      <c r="DM12" s="38"/>
      <c r="DN12" s="38">
        <f t="shared" si="70"/>
        <v>7180.0196125</v>
      </c>
      <c r="DO12" s="38">
        <f t="shared" si="71"/>
        <v>7180.0196125</v>
      </c>
      <c r="DP12" s="38">
        <f t="shared" si="72"/>
        <v>6383.4418305</v>
      </c>
      <c r="DQ12" s="38">
        <f t="shared" si="73"/>
        <v>706.2718285</v>
      </c>
      <c r="DR12" s="55"/>
      <c r="DS12" s="38"/>
      <c r="DT12" s="38">
        <f t="shared" si="74"/>
        <v>3488.1820749999997</v>
      </c>
      <c r="DU12" s="38">
        <f t="shared" si="75"/>
        <v>3488.1820749999997</v>
      </c>
      <c r="DV12" s="38">
        <f t="shared" si="76"/>
        <v>3101.1903270000003</v>
      </c>
      <c r="DW12" s="38">
        <f t="shared" si="77"/>
        <v>343.119499</v>
      </c>
      <c r="DX12" s="55"/>
      <c r="DY12" s="38"/>
      <c r="DZ12" s="38">
        <f t="shared" si="78"/>
        <v>600.6110249999999</v>
      </c>
      <c r="EA12" s="38">
        <f t="shared" si="79"/>
        <v>600.6110249999999</v>
      </c>
      <c r="EB12" s="38">
        <f t="shared" si="80"/>
        <v>533.977029</v>
      </c>
      <c r="EC12" s="38">
        <f t="shared" si="81"/>
        <v>59.079873000000006</v>
      </c>
      <c r="ED12" s="55"/>
      <c r="EE12" s="38"/>
      <c r="EF12" s="38">
        <f t="shared" si="82"/>
        <v>774.2728</v>
      </c>
      <c r="EG12" s="38">
        <f t="shared" si="83"/>
        <v>774.2728</v>
      </c>
      <c r="EH12" s="38">
        <f t="shared" si="84"/>
        <v>688.3721280000001</v>
      </c>
      <c r="EI12" s="38">
        <f t="shared" si="85"/>
        <v>76.16233600000001</v>
      </c>
      <c r="EJ12" s="55"/>
      <c r="EK12" s="85"/>
      <c r="EL12" s="85">
        <f t="shared" si="86"/>
        <v>20288.5010125</v>
      </c>
      <c r="EM12" s="85">
        <f t="shared" si="87"/>
        <v>20288.5010125</v>
      </c>
      <c r="EN12" s="38">
        <f t="shared" si="88"/>
        <v>18037.6200945</v>
      </c>
      <c r="EO12" s="38">
        <f t="shared" si="89"/>
        <v>1995.7043965</v>
      </c>
      <c r="EP12" s="55"/>
      <c r="EQ12" s="38"/>
      <c r="ER12" s="38">
        <f t="shared" si="90"/>
        <v>5091.453587499999</v>
      </c>
      <c r="ES12" s="38">
        <f t="shared" si="91"/>
        <v>5091.453587499999</v>
      </c>
      <c r="ET12" s="38">
        <f t="shared" si="92"/>
        <v>4526.5890014999995</v>
      </c>
      <c r="EU12" s="38">
        <f t="shared" si="93"/>
        <v>500.8273555</v>
      </c>
      <c r="EV12" s="55"/>
      <c r="EW12" s="38"/>
      <c r="EX12" s="38">
        <f t="shared" si="94"/>
        <v>7424.8619375</v>
      </c>
      <c r="EY12" s="38">
        <f t="shared" si="95"/>
        <v>7424.8619375</v>
      </c>
      <c r="EZ12" s="38">
        <f t="shared" si="96"/>
        <v>6601.1204475</v>
      </c>
      <c r="FA12" s="38">
        <f t="shared" si="97"/>
        <v>730.3560575</v>
      </c>
      <c r="FB12" s="55"/>
      <c r="FC12" s="38"/>
      <c r="FD12" s="38">
        <f t="shared" si="98"/>
        <v>2.2788500000000003</v>
      </c>
      <c r="FE12" s="38">
        <f t="shared" si="99"/>
        <v>2.2788500000000003</v>
      </c>
      <c r="FF12" s="38">
        <f t="shared" si="100"/>
        <v>2.026026</v>
      </c>
      <c r="FG12" s="38">
        <f t="shared" si="101"/>
        <v>0.224162</v>
      </c>
      <c r="FH12" s="55"/>
      <c r="FI12" s="38"/>
      <c r="FJ12" s="38">
        <f t="shared" si="102"/>
        <v>4886.826262500001</v>
      </c>
      <c r="FK12" s="38">
        <f t="shared" si="103"/>
        <v>4886.826262500001</v>
      </c>
      <c r="FL12" s="38">
        <f t="shared" si="104"/>
        <v>4344.6637845000005</v>
      </c>
      <c r="FM12" s="38">
        <f t="shared" si="105"/>
        <v>480.6989265</v>
      </c>
      <c r="FN12" s="55"/>
      <c r="FO12" s="38"/>
      <c r="FP12" s="38">
        <f t="shared" si="106"/>
        <v>6082.853875</v>
      </c>
      <c r="FQ12" s="38">
        <f t="shared" si="107"/>
        <v>6082.853875</v>
      </c>
      <c r="FR12" s="38">
        <f t="shared" si="108"/>
        <v>5407.999695</v>
      </c>
      <c r="FS12" s="38">
        <f t="shared" si="109"/>
        <v>598.347715</v>
      </c>
      <c r="FT12" s="55"/>
      <c r="FU12" s="38"/>
      <c r="FV12" s="38">
        <f t="shared" si="110"/>
        <v>7127.30445</v>
      </c>
      <c r="FW12" s="38">
        <f t="shared" si="111"/>
        <v>7127.30445</v>
      </c>
      <c r="FX12" s="38">
        <f t="shared" si="112"/>
        <v>6336.575082</v>
      </c>
      <c r="FY12" s="38">
        <f t="shared" si="113"/>
        <v>701.086434</v>
      </c>
      <c r="FZ12" s="55"/>
      <c r="GA12" s="38"/>
      <c r="GB12" s="38">
        <f t="shared" si="114"/>
        <v>22735.349175</v>
      </c>
      <c r="GC12" s="38">
        <f t="shared" si="115"/>
        <v>22735.349175</v>
      </c>
      <c r="GD12" s="38">
        <f t="shared" si="116"/>
        <v>20213.005923</v>
      </c>
      <c r="GE12" s="38">
        <f t="shared" si="117"/>
        <v>2236.3917509999997</v>
      </c>
      <c r="GF12" s="55"/>
      <c r="GG12" s="38"/>
      <c r="GH12" s="38">
        <f t="shared" si="118"/>
        <v>36499.5026375</v>
      </c>
      <c r="GI12" s="38">
        <f t="shared" si="119"/>
        <v>36499.5026375</v>
      </c>
      <c r="GJ12" s="38">
        <f t="shared" si="120"/>
        <v>32450.1135795</v>
      </c>
      <c r="GK12" s="38">
        <f t="shared" si="121"/>
        <v>3590.3203415</v>
      </c>
      <c r="GL12" s="55"/>
      <c r="GM12" s="38"/>
      <c r="GN12" s="38">
        <f t="shared" si="122"/>
        <v>109.38480000000001</v>
      </c>
      <c r="GO12" s="38">
        <f t="shared" si="123"/>
        <v>109.38480000000001</v>
      </c>
      <c r="GP12" s="38">
        <f t="shared" si="124"/>
        <v>97.24924800000001</v>
      </c>
      <c r="GQ12" s="38">
        <f t="shared" si="125"/>
        <v>10.759776</v>
      </c>
      <c r="GR12" s="55"/>
      <c r="GS12" s="38"/>
      <c r="GT12" s="38">
        <f t="shared" si="126"/>
        <v>604.0628125</v>
      </c>
      <c r="GU12" s="38">
        <f t="shared" si="127"/>
        <v>604.0628125</v>
      </c>
      <c r="GV12" s="38">
        <f t="shared" si="128"/>
        <v>537.0458625</v>
      </c>
      <c r="GW12" s="38">
        <f t="shared" si="129"/>
        <v>59.4194125</v>
      </c>
      <c r="GX12" s="55"/>
      <c r="GY12" s="47"/>
      <c r="GZ12" s="55"/>
      <c r="HA12" s="55"/>
      <c r="HB12" s="55"/>
      <c r="HC12" s="55"/>
      <c r="HD12" s="55"/>
      <c r="HE12" s="55"/>
      <c r="HF12" s="55"/>
      <c r="HG12" s="55"/>
      <c r="HH12" s="55"/>
      <c r="HI12" s="55"/>
      <c r="HJ12" s="55"/>
      <c r="HK12" s="55"/>
      <c r="HL12" s="55"/>
      <c r="HM12" s="55"/>
      <c r="HN12" s="55"/>
      <c r="HO12" s="55"/>
      <c r="HP12" s="55"/>
      <c r="HQ12" s="55"/>
      <c r="HR12" s="55"/>
      <c r="HS12" s="55"/>
      <c r="HT12" s="55"/>
      <c r="HU12" s="55"/>
    </row>
    <row r="13" spans="1:229" s="57" customFormat="1" ht="12.75">
      <c r="A13" s="56">
        <v>44652</v>
      </c>
      <c r="B13" s="55"/>
      <c r="C13" s="55">
        <v>6540000</v>
      </c>
      <c r="D13" s="55">
        <v>335125</v>
      </c>
      <c r="E13" s="41">
        <f t="shared" si="0"/>
        <v>6875125</v>
      </c>
      <c r="F13" s="41">
        <v>297945</v>
      </c>
      <c r="G13" s="41">
        <v>32965</v>
      </c>
      <c r="H13" s="55"/>
      <c r="I13" s="41">
        <f>'2017B Academic'!C13</f>
        <v>1160255.514</v>
      </c>
      <c r="J13" s="41">
        <f>'2017B Academic'!D13</f>
        <v>59454.22463750001</v>
      </c>
      <c r="K13" s="41">
        <f t="shared" si="1"/>
        <v>1219709.7386375</v>
      </c>
      <c r="L13" s="41">
        <f>'2017B Academic'!F13</f>
        <v>52858.15429949999</v>
      </c>
      <c r="M13" s="41">
        <f>'2017B Academic'!G13</f>
        <v>5848.290981499999</v>
      </c>
      <c r="O13" s="38">
        <f t="shared" si="2"/>
        <v>5379744.4860000005</v>
      </c>
      <c r="P13" s="47">
        <f t="shared" si="3"/>
        <v>275670.7753625</v>
      </c>
      <c r="Q13" s="38">
        <f t="shared" si="4"/>
        <v>5655415.2613625005</v>
      </c>
      <c r="R13" s="38">
        <f t="shared" si="5"/>
        <v>245086.84570049995</v>
      </c>
      <c r="S13" s="38">
        <f t="shared" si="5"/>
        <v>27116.709018499998</v>
      </c>
      <c r="U13" s="38">
        <f t="shared" si="130"/>
        <v>1135.344</v>
      </c>
      <c r="V13" s="38">
        <f t="shared" si="6"/>
        <v>58.1777</v>
      </c>
      <c r="W13" s="38">
        <f t="shared" si="7"/>
        <v>1193.5217</v>
      </c>
      <c r="X13" s="38">
        <f t="shared" si="8"/>
        <v>51.723251999999995</v>
      </c>
      <c r="Y13" s="38">
        <f t="shared" si="9"/>
        <v>5.7227239999999995</v>
      </c>
      <c r="AA13" s="38">
        <f t="shared" si="131"/>
        <v>147035.55</v>
      </c>
      <c r="AB13" s="38">
        <f t="shared" si="10"/>
        <v>7534.4478125</v>
      </c>
      <c r="AC13" s="38">
        <f t="shared" si="11"/>
        <v>154569.9978125</v>
      </c>
      <c r="AD13" s="38">
        <f t="shared" si="12"/>
        <v>6698.5484625</v>
      </c>
      <c r="AE13" s="38">
        <f t="shared" si="13"/>
        <v>741.1356125</v>
      </c>
      <c r="AF13" s="55"/>
      <c r="AG13" s="38">
        <f t="shared" si="132"/>
        <v>908789.8979999999</v>
      </c>
      <c r="AH13" s="38">
        <f t="shared" si="14"/>
        <v>46568.5343375</v>
      </c>
      <c r="AI13" s="38">
        <f t="shared" si="15"/>
        <v>955358.4323374999</v>
      </c>
      <c r="AJ13" s="38">
        <f t="shared" si="16"/>
        <v>41402.0498715</v>
      </c>
      <c r="AK13" s="38">
        <f t="shared" si="17"/>
        <v>4580.773545499999</v>
      </c>
      <c r="AL13" s="55"/>
      <c r="AM13" s="38">
        <f t="shared" si="133"/>
        <v>9213.552000000001</v>
      </c>
      <c r="AN13" s="38">
        <f t="shared" si="18"/>
        <v>472.12410000000006</v>
      </c>
      <c r="AO13" s="38">
        <f t="shared" si="19"/>
        <v>9685.676100000002</v>
      </c>
      <c r="AP13" s="38">
        <f t="shared" si="20"/>
        <v>419.744916</v>
      </c>
      <c r="AQ13" s="38">
        <f t="shared" si="21"/>
        <v>46.441092</v>
      </c>
      <c r="AR13" s="55"/>
      <c r="AS13" s="38">
        <f t="shared" si="134"/>
        <v>256712.65799999997</v>
      </c>
      <c r="AT13" s="38">
        <f t="shared" si="22"/>
        <v>13154.561087499998</v>
      </c>
      <c r="AU13" s="38">
        <f t="shared" si="23"/>
        <v>269867.21908749995</v>
      </c>
      <c r="AV13" s="38">
        <f t="shared" si="24"/>
        <v>11695.1457015</v>
      </c>
      <c r="AW13" s="38">
        <f t="shared" si="25"/>
        <v>1293.9652555</v>
      </c>
      <c r="AX13" s="55"/>
      <c r="AY13" s="38">
        <f t="shared" si="135"/>
        <v>18079.829999999998</v>
      </c>
      <c r="AZ13" s="38">
        <f t="shared" si="26"/>
        <v>926.4530625</v>
      </c>
      <c r="BA13" s="38">
        <f t="shared" si="27"/>
        <v>19006.2830625</v>
      </c>
      <c r="BB13" s="38">
        <f t="shared" si="28"/>
        <v>823.6689525</v>
      </c>
      <c r="BC13" s="38">
        <f t="shared" si="29"/>
        <v>91.1317425</v>
      </c>
      <c r="BD13" s="55"/>
      <c r="BE13" s="38">
        <f t="shared" si="136"/>
        <v>417951.78</v>
      </c>
      <c r="BF13" s="38">
        <f t="shared" si="30"/>
        <v>21416.833375</v>
      </c>
      <c r="BG13" s="38">
        <f t="shared" si="31"/>
        <v>439368.613375</v>
      </c>
      <c r="BH13" s="38">
        <f t="shared" si="32"/>
        <v>19040.771115000003</v>
      </c>
      <c r="BI13" s="38">
        <f t="shared" si="33"/>
        <v>2106.6942550000003</v>
      </c>
      <c r="BJ13" s="55"/>
      <c r="BK13" s="38">
        <f t="shared" si="137"/>
        <v>14363.148000000001</v>
      </c>
      <c r="BL13" s="38">
        <f t="shared" si="34"/>
        <v>736.001525</v>
      </c>
      <c r="BM13" s="38">
        <f t="shared" si="35"/>
        <v>15099.149525</v>
      </c>
      <c r="BN13" s="38">
        <f t="shared" si="36"/>
        <v>654.346809</v>
      </c>
      <c r="BO13" s="38">
        <f t="shared" si="37"/>
        <v>72.397733</v>
      </c>
      <c r="BP13" s="55"/>
      <c r="BQ13" s="38">
        <f t="shared" si="138"/>
        <v>15486.066</v>
      </c>
      <c r="BR13" s="38">
        <f t="shared" si="38"/>
        <v>793.5424875</v>
      </c>
      <c r="BS13" s="38">
        <f t="shared" si="39"/>
        <v>16279.608487500002</v>
      </c>
      <c r="BT13" s="38">
        <f t="shared" si="40"/>
        <v>705.5039655</v>
      </c>
      <c r="BU13" s="38">
        <f t="shared" si="41"/>
        <v>78.0578235</v>
      </c>
      <c r="BV13" s="55"/>
      <c r="BW13" s="38">
        <f t="shared" si="139"/>
        <v>4090.7699999999995</v>
      </c>
      <c r="BX13" s="38">
        <f t="shared" si="42"/>
        <v>209.62068749999997</v>
      </c>
      <c r="BY13" s="38">
        <f t="shared" si="43"/>
        <v>4300.390687499999</v>
      </c>
      <c r="BZ13" s="38">
        <f t="shared" si="44"/>
        <v>186.3645975</v>
      </c>
      <c r="CA13" s="38">
        <f t="shared" si="45"/>
        <v>20.6196075</v>
      </c>
      <c r="CB13" s="55"/>
      <c r="CC13" s="38">
        <f t="shared" si="140"/>
        <v>908951.436</v>
      </c>
      <c r="CD13" s="38">
        <f t="shared" si="46"/>
        <v>46576.811925</v>
      </c>
      <c r="CE13" s="38">
        <f t="shared" si="47"/>
        <v>955528.247925</v>
      </c>
      <c r="CF13" s="38">
        <f t="shared" si="48"/>
        <v>41409.409113</v>
      </c>
      <c r="CG13" s="38">
        <f t="shared" si="49"/>
        <v>4581.587781</v>
      </c>
      <c r="CH13" s="55"/>
      <c r="CI13" s="38">
        <f t="shared" si="141"/>
        <v>12467.856000000002</v>
      </c>
      <c r="CJ13" s="38">
        <f t="shared" si="50"/>
        <v>638.8823</v>
      </c>
      <c r="CK13" s="38">
        <f t="shared" si="51"/>
        <v>13106.7383</v>
      </c>
      <c r="CL13" s="38">
        <f t="shared" si="52"/>
        <v>568.002348</v>
      </c>
      <c r="CM13" s="38">
        <f t="shared" si="53"/>
        <v>62.844476</v>
      </c>
      <c r="CN13" s="55"/>
      <c r="CO13" s="38">
        <f t="shared" si="142"/>
        <v>14771.897999999997</v>
      </c>
      <c r="CP13" s="38">
        <f t="shared" si="54"/>
        <v>756.9468375</v>
      </c>
      <c r="CQ13" s="38">
        <f t="shared" si="55"/>
        <v>15528.844837499997</v>
      </c>
      <c r="CR13" s="38">
        <f t="shared" si="56"/>
        <v>672.9683715000001</v>
      </c>
      <c r="CS13" s="38">
        <f t="shared" si="57"/>
        <v>74.45804550000001</v>
      </c>
      <c r="CT13" s="55"/>
      <c r="CU13" s="38">
        <f t="shared" si="143"/>
        <v>176221.60799999998</v>
      </c>
      <c r="CV13" s="38">
        <f t="shared" si="58"/>
        <v>9030.010149999998</v>
      </c>
      <c r="CW13" s="38">
        <f t="shared" si="59"/>
        <v>185251.61814999997</v>
      </c>
      <c r="CX13" s="38">
        <f t="shared" si="60"/>
        <v>8028.1876139999995</v>
      </c>
      <c r="CY13" s="38">
        <f t="shared" si="61"/>
        <v>888.248518</v>
      </c>
      <c r="CZ13" s="55"/>
      <c r="DA13" s="38">
        <f t="shared" si="144"/>
        <v>15968.718</v>
      </c>
      <c r="DB13" s="38">
        <f t="shared" si="62"/>
        <v>818.2747125000001</v>
      </c>
      <c r="DC13" s="38">
        <f t="shared" si="63"/>
        <v>16786.9927125</v>
      </c>
      <c r="DD13" s="38">
        <f t="shared" si="64"/>
        <v>727.4923065</v>
      </c>
      <c r="DE13" s="38">
        <f t="shared" si="65"/>
        <v>80.49064050000001</v>
      </c>
      <c r="DF13" s="55"/>
      <c r="DG13" s="38">
        <f t="shared" si="145"/>
        <v>60186.312000000005</v>
      </c>
      <c r="DH13" s="38">
        <f t="shared" si="66"/>
        <v>3084.08835</v>
      </c>
      <c r="DI13" s="38">
        <f t="shared" si="67"/>
        <v>63270.40035</v>
      </c>
      <c r="DJ13" s="38">
        <f t="shared" si="68"/>
        <v>2741.928246</v>
      </c>
      <c r="DK13" s="38">
        <f t="shared" si="69"/>
        <v>303.37030200000004</v>
      </c>
      <c r="DL13" s="55"/>
      <c r="DM13" s="38">
        <f t="shared" si="146"/>
        <v>140118.846</v>
      </c>
      <c r="DN13" s="38">
        <f t="shared" si="70"/>
        <v>7180.0196125</v>
      </c>
      <c r="DO13" s="38">
        <f t="shared" si="71"/>
        <v>147298.8656125</v>
      </c>
      <c r="DP13" s="38">
        <f t="shared" si="72"/>
        <v>6383.4418305</v>
      </c>
      <c r="DQ13" s="38">
        <f t="shared" si="73"/>
        <v>706.2718285</v>
      </c>
      <c r="DR13" s="55"/>
      <c r="DS13" s="38">
        <f t="shared" si="147"/>
        <v>68072.24399999999</v>
      </c>
      <c r="DT13" s="38">
        <f t="shared" si="74"/>
        <v>3488.1820749999997</v>
      </c>
      <c r="DU13" s="38">
        <f t="shared" si="75"/>
        <v>71560.426075</v>
      </c>
      <c r="DV13" s="38">
        <f t="shared" si="76"/>
        <v>3101.1903270000003</v>
      </c>
      <c r="DW13" s="38">
        <f t="shared" si="77"/>
        <v>343.119499</v>
      </c>
      <c r="DX13" s="55"/>
      <c r="DY13" s="38">
        <f t="shared" si="148"/>
        <v>11720.988000000001</v>
      </c>
      <c r="DZ13" s="38">
        <f t="shared" si="78"/>
        <v>600.6110249999999</v>
      </c>
      <c r="EA13" s="38">
        <f t="shared" si="79"/>
        <v>12321.599025000001</v>
      </c>
      <c r="EB13" s="38">
        <f t="shared" si="80"/>
        <v>533.977029</v>
      </c>
      <c r="EC13" s="38">
        <f t="shared" si="81"/>
        <v>59.079873000000006</v>
      </c>
      <c r="ED13" s="55"/>
      <c r="EE13" s="38">
        <f t="shared" si="149"/>
        <v>15110.015999999998</v>
      </c>
      <c r="EF13" s="38">
        <f t="shared" si="82"/>
        <v>774.2728</v>
      </c>
      <c r="EG13" s="38">
        <f t="shared" si="83"/>
        <v>15884.288799999998</v>
      </c>
      <c r="EH13" s="38">
        <f t="shared" si="84"/>
        <v>688.3721280000001</v>
      </c>
      <c r="EI13" s="38">
        <f t="shared" si="85"/>
        <v>76.16233600000001</v>
      </c>
      <c r="EJ13" s="55"/>
      <c r="EK13" s="85">
        <f t="shared" si="150"/>
        <v>395932.25399999996</v>
      </c>
      <c r="EL13" s="85">
        <f t="shared" si="86"/>
        <v>20288.5010125</v>
      </c>
      <c r="EM13" s="85">
        <f t="shared" si="87"/>
        <v>416220.7550125</v>
      </c>
      <c r="EN13" s="38">
        <f t="shared" si="88"/>
        <v>18037.6200945</v>
      </c>
      <c r="EO13" s="38">
        <f t="shared" si="89"/>
        <v>1995.7043965</v>
      </c>
      <c r="EP13" s="55"/>
      <c r="EQ13" s="38">
        <f t="shared" si="151"/>
        <v>99360.25799999999</v>
      </c>
      <c r="ER13" s="38">
        <f t="shared" si="90"/>
        <v>5091.453587499999</v>
      </c>
      <c r="ES13" s="38">
        <f t="shared" si="91"/>
        <v>104451.71158749999</v>
      </c>
      <c r="ET13" s="38">
        <f t="shared" si="92"/>
        <v>4526.5890014999995</v>
      </c>
      <c r="EU13" s="38">
        <f t="shared" si="93"/>
        <v>500.8273555</v>
      </c>
      <c r="EV13" s="55"/>
      <c r="EW13" s="38">
        <f t="shared" si="152"/>
        <v>144896.97</v>
      </c>
      <c r="EX13" s="38">
        <f t="shared" si="94"/>
        <v>7424.8619375</v>
      </c>
      <c r="EY13" s="38">
        <f t="shared" si="95"/>
        <v>152321.8319375</v>
      </c>
      <c r="EZ13" s="38">
        <f t="shared" si="96"/>
        <v>6601.1204475</v>
      </c>
      <c r="FA13" s="38">
        <f t="shared" si="97"/>
        <v>730.3560575</v>
      </c>
      <c r="FB13" s="55"/>
      <c r="FC13" s="38">
        <f t="shared" si="153"/>
        <v>44.47200000000001</v>
      </c>
      <c r="FD13" s="38">
        <f t="shared" si="98"/>
        <v>2.2788500000000003</v>
      </c>
      <c r="FE13" s="38">
        <f t="shared" si="99"/>
        <v>46.75085000000001</v>
      </c>
      <c r="FF13" s="38">
        <f t="shared" si="100"/>
        <v>2.026026</v>
      </c>
      <c r="FG13" s="38">
        <f t="shared" si="101"/>
        <v>0.224162</v>
      </c>
      <c r="FH13" s="55"/>
      <c r="FI13" s="38">
        <f t="shared" si="154"/>
        <v>95366.93400000001</v>
      </c>
      <c r="FJ13" s="38">
        <f t="shared" si="102"/>
        <v>4886.826262500001</v>
      </c>
      <c r="FK13" s="38">
        <f t="shared" si="103"/>
        <v>100253.76026250001</v>
      </c>
      <c r="FL13" s="38">
        <f t="shared" si="104"/>
        <v>4344.6637845000005</v>
      </c>
      <c r="FM13" s="38">
        <f t="shared" si="105"/>
        <v>480.6989265</v>
      </c>
      <c r="FN13" s="55"/>
      <c r="FO13" s="38">
        <f t="shared" si="155"/>
        <v>118707.54</v>
      </c>
      <c r="FP13" s="38">
        <f t="shared" si="106"/>
        <v>6082.853875</v>
      </c>
      <c r="FQ13" s="38">
        <f t="shared" si="107"/>
        <v>124790.393875</v>
      </c>
      <c r="FR13" s="38">
        <f t="shared" si="108"/>
        <v>5407.999695</v>
      </c>
      <c r="FS13" s="38">
        <f t="shared" si="109"/>
        <v>598.347715</v>
      </c>
      <c r="FT13" s="55"/>
      <c r="FU13" s="38">
        <f t="shared" si="156"/>
        <v>139090.104</v>
      </c>
      <c r="FV13" s="38">
        <f t="shared" si="110"/>
        <v>7127.30445</v>
      </c>
      <c r="FW13" s="38">
        <f t="shared" si="111"/>
        <v>146217.40845</v>
      </c>
      <c r="FX13" s="38">
        <f t="shared" si="112"/>
        <v>6336.575082</v>
      </c>
      <c r="FY13" s="38">
        <f t="shared" si="113"/>
        <v>701.086434</v>
      </c>
      <c r="FZ13" s="55"/>
      <c r="GA13" s="38">
        <f t="shared" si="157"/>
        <v>443682.756</v>
      </c>
      <c r="GB13" s="38">
        <f t="shared" si="114"/>
        <v>22735.349175</v>
      </c>
      <c r="GC13" s="38">
        <f t="shared" si="115"/>
        <v>466418.105175</v>
      </c>
      <c r="GD13" s="38">
        <f t="shared" si="116"/>
        <v>20213.005923</v>
      </c>
      <c r="GE13" s="38">
        <f t="shared" si="117"/>
        <v>2236.3917509999997</v>
      </c>
      <c r="GF13" s="55"/>
      <c r="GG13" s="38">
        <f t="shared" si="158"/>
        <v>712291.6740000001</v>
      </c>
      <c r="GH13" s="38">
        <f t="shared" si="118"/>
        <v>36499.5026375</v>
      </c>
      <c r="GI13" s="38">
        <f t="shared" si="119"/>
        <v>748791.1766375001</v>
      </c>
      <c r="GJ13" s="38">
        <f t="shared" si="120"/>
        <v>32450.1135795</v>
      </c>
      <c r="GK13" s="38">
        <f t="shared" si="121"/>
        <v>3590.3203415</v>
      </c>
      <c r="GL13" s="55"/>
      <c r="GM13" s="38">
        <f t="shared" si="159"/>
        <v>2134.656</v>
      </c>
      <c r="GN13" s="38">
        <f t="shared" si="122"/>
        <v>109.38480000000001</v>
      </c>
      <c r="GO13" s="38">
        <f t="shared" si="123"/>
        <v>2244.0407999999998</v>
      </c>
      <c r="GP13" s="38">
        <f t="shared" si="124"/>
        <v>97.24924800000001</v>
      </c>
      <c r="GQ13" s="38">
        <f t="shared" si="125"/>
        <v>10.759776</v>
      </c>
      <c r="GR13" s="55"/>
      <c r="GS13" s="38">
        <f t="shared" si="160"/>
        <v>11788.35</v>
      </c>
      <c r="GT13" s="38">
        <f t="shared" si="126"/>
        <v>604.0628125</v>
      </c>
      <c r="GU13" s="38">
        <f t="shared" si="127"/>
        <v>12392.4128125</v>
      </c>
      <c r="GV13" s="38">
        <f t="shared" si="128"/>
        <v>537.0458625</v>
      </c>
      <c r="GW13" s="38">
        <f t="shared" si="129"/>
        <v>59.4194125</v>
      </c>
      <c r="GX13" s="55"/>
      <c r="GY13" s="47"/>
      <c r="GZ13" s="55"/>
      <c r="HA13" s="55"/>
      <c r="HB13" s="55"/>
      <c r="HC13" s="55"/>
      <c r="HD13" s="55"/>
      <c r="HE13" s="55"/>
      <c r="HF13" s="55"/>
      <c r="HG13" s="55"/>
      <c r="HH13" s="55"/>
      <c r="HI13" s="55"/>
      <c r="HJ13" s="55"/>
      <c r="HK13" s="55"/>
      <c r="HL13" s="55"/>
      <c r="HM13" s="55"/>
      <c r="HN13" s="55"/>
      <c r="HO13" s="55"/>
      <c r="HP13" s="55"/>
      <c r="HQ13" s="55"/>
      <c r="HR13" s="55"/>
      <c r="HS13" s="55"/>
      <c r="HT13" s="55"/>
      <c r="HU13" s="55"/>
    </row>
    <row r="14" spans="1:229" s="57" customFormat="1" ht="12.75">
      <c r="A14" s="56">
        <v>44856</v>
      </c>
      <c r="B14" s="55"/>
      <c r="C14" s="55"/>
      <c r="D14" s="55">
        <v>171625</v>
      </c>
      <c r="E14" s="41">
        <f t="shared" si="0"/>
        <v>171625</v>
      </c>
      <c r="F14" s="41">
        <v>297945</v>
      </c>
      <c r="G14" s="41">
        <v>32965</v>
      </c>
      <c r="H14" s="55"/>
      <c r="I14" s="41">
        <f>'2017B Academic'!C14</f>
        <v>0</v>
      </c>
      <c r="J14" s="41">
        <f>'2017B Academic'!D14</f>
        <v>30447.836787500008</v>
      </c>
      <c r="K14" s="41">
        <f t="shared" si="1"/>
        <v>30447.836787500008</v>
      </c>
      <c r="L14" s="41">
        <f>'2017B Academic'!F14</f>
        <v>52858.15429949999</v>
      </c>
      <c r="M14" s="41">
        <f>'2017B Academic'!G14</f>
        <v>5848.290981499999</v>
      </c>
      <c r="O14" s="38">
        <f t="shared" si="2"/>
        <v>0</v>
      </c>
      <c r="P14" s="47">
        <f t="shared" si="3"/>
        <v>141177.1632125</v>
      </c>
      <c r="Q14" s="38">
        <f t="shared" si="4"/>
        <v>141177.1632125</v>
      </c>
      <c r="R14" s="38">
        <f t="shared" si="5"/>
        <v>245086.84570049995</v>
      </c>
      <c r="S14" s="38">
        <f t="shared" si="5"/>
        <v>27116.709018499998</v>
      </c>
      <c r="U14" s="38"/>
      <c r="V14" s="38">
        <f t="shared" si="6"/>
        <v>29.7941</v>
      </c>
      <c r="W14" s="38">
        <f t="shared" si="7"/>
        <v>29.7941</v>
      </c>
      <c r="X14" s="38">
        <f t="shared" si="8"/>
        <v>51.723251999999995</v>
      </c>
      <c r="Y14" s="38">
        <f t="shared" si="9"/>
        <v>5.7227239999999995</v>
      </c>
      <c r="AA14" s="38"/>
      <c r="AB14" s="38">
        <f t="shared" si="10"/>
        <v>3858.5590625</v>
      </c>
      <c r="AC14" s="38">
        <f t="shared" si="11"/>
        <v>3858.5590625</v>
      </c>
      <c r="AD14" s="38">
        <f t="shared" si="12"/>
        <v>6698.5484625</v>
      </c>
      <c r="AE14" s="38">
        <f t="shared" si="13"/>
        <v>741.1356125</v>
      </c>
      <c r="AF14" s="55"/>
      <c r="AG14" s="38"/>
      <c r="AH14" s="38">
        <f t="shared" si="14"/>
        <v>23848.786887500002</v>
      </c>
      <c r="AI14" s="38">
        <f t="shared" si="15"/>
        <v>23848.786887500002</v>
      </c>
      <c r="AJ14" s="38">
        <f t="shared" si="16"/>
        <v>41402.0498715</v>
      </c>
      <c r="AK14" s="38">
        <f t="shared" si="17"/>
        <v>4580.773545499999</v>
      </c>
      <c r="AL14" s="55"/>
      <c r="AM14" s="38"/>
      <c r="AN14" s="38">
        <f t="shared" si="18"/>
        <v>241.78530000000003</v>
      </c>
      <c r="AO14" s="38">
        <f t="shared" si="19"/>
        <v>241.78530000000003</v>
      </c>
      <c r="AP14" s="38">
        <f t="shared" si="20"/>
        <v>419.744916</v>
      </c>
      <c r="AQ14" s="38">
        <f t="shared" si="21"/>
        <v>46.441092</v>
      </c>
      <c r="AR14" s="55"/>
      <c r="AS14" s="38"/>
      <c r="AT14" s="38">
        <f t="shared" si="22"/>
        <v>6736.7446375</v>
      </c>
      <c r="AU14" s="38">
        <f t="shared" si="23"/>
        <v>6736.7446375</v>
      </c>
      <c r="AV14" s="38">
        <f t="shared" si="24"/>
        <v>11695.1457015</v>
      </c>
      <c r="AW14" s="38">
        <f t="shared" si="25"/>
        <v>1293.9652555</v>
      </c>
      <c r="AX14" s="55"/>
      <c r="AY14" s="38"/>
      <c r="AZ14" s="38">
        <f t="shared" si="26"/>
        <v>474.45731249999994</v>
      </c>
      <c r="BA14" s="38">
        <f t="shared" si="27"/>
        <v>474.45731249999994</v>
      </c>
      <c r="BB14" s="38">
        <f t="shared" si="28"/>
        <v>823.6689525</v>
      </c>
      <c r="BC14" s="38">
        <f t="shared" si="29"/>
        <v>91.1317425</v>
      </c>
      <c r="BD14" s="55"/>
      <c r="BE14" s="38"/>
      <c r="BF14" s="38">
        <f t="shared" si="30"/>
        <v>10968.038875</v>
      </c>
      <c r="BG14" s="38">
        <f t="shared" si="31"/>
        <v>10968.038875</v>
      </c>
      <c r="BH14" s="38">
        <f t="shared" si="32"/>
        <v>19040.771115000003</v>
      </c>
      <c r="BI14" s="38">
        <f t="shared" si="33"/>
        <v>2106.6942550000003</v>
      </c>
      <c r="BJ14" s="55"/>
      <c r="BK14" s="38"/>
      <c r="BL14" s="38">
        <f t="shared" si="34"/>
        <v>376.922825</v>
      </c>
      <c r="BM14" s="38">
        <f t="shared" si="35"/>
        <v>376.922825</v>
      </c>
      <c r="BN14" s="38">
        <f t="shared" si="36"/>
        <v>654.346809</v>
      </c>
      <c r="BO14" s="38">
        <f t="shared" si="37"/>
        <v>72.397733</v>
      </c>
      <c r="BP14" s="55"/>
      <c r="BQ14" s="38"/>
      <c r="BR14" s="38">
        <f t="shared" si="38"/>
        <v>406.3908375</v>
      </c>
      <c r="BS14" s="38">
        <f t="shared" si="39"/>
        <v>406.3908375</v>
      </c>
      <c r="BT14" s="38">
        <f t="shared" si="40"/>
        <v>705.5039655</v>
      </c>
      <c r="BU14" s="38">
        <f t="shared" si="41"/>
        <v>78.0578235</v>
      </c>
      <c r="BV14" s="55"/>
      <c r="BW14" s="38"/>
      <c r="BX14" s="38">
        <f t="shared" si="42"/>
        <v>107.35143749999999</v>
      </c>
      <c r="BY14" s="38">
        <f t="shared" si="43"/>
        <v>107.35143749999999</v>
      </c>
      <c r="BZ14" s="38">
        <f t="shared" si="44"/>
        <v>186.3645975</v>
      </c>
      <c r="CA14" s="38">
        <f t="shared" si="45"/>
        <v>20.6196075</v>
      </c>
      <c r="CB14" s="55"/>
      <c r="CC14" s="38"/>
      <c r="CD14" s="38">
        <f t="shared" si="46"/>
        <v>23853.026025</v>
      </c>
      <c r="CE14" s="38">
        <f t="shared" si="47"/>
        <v>23853.026025</v>
      </c>
      <c r="CF14" s="38">
        <f t="shared" si="48"/>
        <v>41409.409113</v>
      </c>
      <c r="CG14" s="38">
        <f t="shared" si="49"/>
        <v>4581.587781</v>
      </c>
      <c r="CH14" s="55"/>
      <c r="CI14" s="38"/>
      <c r="CJ14" s="38">
        <f t="shared" si="50"/>
        <v>327.1859</v>
      </c>
      <c r="CK14" s="38">
        <f t="shared" si="51"/>
        <v>327.1859</v>
      </c>
      <c r="CL14" s="38">
        <f t="shared" si="52"/>
        <v>568.002348</v>
      </c>
      <c r="CM14" s="38">
        <f t="shared" si="53"/>
        <v>62.844476</v>
      </c>
      <c r="CN14" s="55"/>
      <c r="CO14" s="38"/>
      <c r="CP14" s="38">
        <f t="shared" si="54"/>
        <v>387.6493875</v>
      </c>
      <c r="CQ14" s="38">
        <f t="shared" si="55"/>
        <v>387.6493875</v>
      </c>
      <c r="CR14" s="38">
        <f t="shared" si="56"/>
        <v>672.9683715000001</v>
      </c>
      <c r="CS14" s="38">
        <f t="shared" si="57"/>
        <v>74.45804550000001</v>
      </c>
      <c r="CT14" s="55"/>
      <c r="CU14" s="38"/>
      <c r="CV14" s="38">
        <f t="shared" si="58"/>
        <v>4624.46995</v>
      </c>
      <c r="CW14" s="38">
        <f t="shared" si="59"/>
        <v>4624.46995</v>
      </c>
      <c r="CX14" s="38">
        <f t="shared" si="60"/>
        <v>8028.1876139999995</v>
      </c>
      <c r="CY14" s="38">
        <f t="shared" si="61"/>
        <v>888.248518</v>
      </c>
      <c r="CZ14" s="55"/>
      <c r="DA14" s="38"/>
      <c r="DB14" s="38">
        <f t="shared" si="62"/>
        <v>419.0567625</v>
      </c>
      <c r="DC14" s="38">
        <f t="shared" si="63"/>
        <v>419.0567625</v>
      </c>
      <c r="DD14" s="38">
        <f t="shared" si="64"/>
        <v>727.4923065</v>
      </c>
      <c r="DE14" s="38">
        <f t="shared" si="65"/>
        <v>80.49064050000001</v>
      </c>
      <c r="DF14" s="55"/>
      <c r="DG14" s="38"/>
      <c r="DH14" s="38">
        <f t="shared" si="66"/>
        <v>1579.43055</v>
      </c>
      <c r="DI14" s="38">
        <f t="shared" si="67"/>
        <v>1579.43055</v>
      </c>
      <c r="DJ14" s="38">
        <f t="shared" si="68"/>
        <v>2741.928246</v>
      </c>
      <c r="DK14" s="38">
        <f t="shared" si="69"/>
        <v>303.37030200000004</v>
      </c>
      <c r="DL14" s="55"/>
      <c r="DM14" s="38"/>
      <c r="DN14" s="38">
        <f t="shared" si="70"/>
        <v>3677.0484625</v>
      </c>
      <c r="DO14" s="38">
        <f t="shared" si="71"/>
        <v>3677.0484625</v>
      </c>
      <c r="DP14" s="38">
        <f t="shared" si="72"/>
        <v>6383.4418305</v>
      </c>
      <c r="DQ14" s="38">
        <f t="shared" si="73"/>
        <v>706.2718285</v>
      </c>
      <c r="DR14" s="55"/>
      <c r="DS14" s="38"/>
      <c r="DT14" s="38">
        <f t="shared" si="74"/>
        <v>1786.3759749999997</v>
      </c>
      <c r="DU14" s="38">
        <f t="shared" si="75"/>
        <v>1786.3759749999997</v>
      </c>
      <c r="DV14" s="38">
        <f t="shared" si="76"/>
        <v>3101.1903270000003</v>
      </c>
      <c r="DW14" s="38">
        <f t="shared" si="77"/>
        <v>343.119499</v>
      </c>
      <c r="DX14" s="55"/>
      <c r="DY14" s="38"/>
      <c r="DZ14" s="38">
        <f t="shared" si="78"/>
        <v>307.586325</v>
      </c>
      <c r="EA14" s="38">
        <f t="shared" si="79"/>
        <v>307.586325</v>
      </c>
      <c r="EB14" s="38">
        <f t="shared" si="80"/>
        <v>533.977029</v>
      </c>
      <c r="EC14" s="38">
        <f t="shared" si="81"/>
        <v>59.079873000000006</v>
      </c>
      <c r="ED14" s="55"/>
      <c r="EE14" s="38"/>
      <c r="EF14" s="38">
        <f t="shared" si="82"/>
        <v>396.5224</v>
      </c>
      <c r="EG14" s="38">
        <f t="shared" si="83"/>
        <v>396.5224</v>
      </c>
      <c r="EH14" s="38">
        <f t="shared" si="84"/>
        <v>688.3721280000001</v>
      </c>
      <c r="EI14" s="38">
        <f t="shared" si="85"/>
        <v>76.16233600000001</v>
      </c>
      <c r="EJ14" s="55"/>
      <c r="EK14" s="85"/>
      <c r="EL14" s="85">
        <f t="shared" si="86"/>
        <v>10390.1946625</v>
      </c>
      <c r="EM14" s="85">
        <f t="shared" si="87"/>
        <v>10390.1946625</v>
      </c>
      <c r="EN14" s="38">
        <f t="shared" si="88"/>
        <v>18037.6200945</v>
      </c>
      <c r="EO14" s="38">
        <f t="shared" si="89"/>
        <v>1995.7043965</v>
      </c>
      <c r="EP14" s="55"/>
      <c r="EQ14" s="38"/>
      <c r="ER14" s="38">
        <f t="shared" si="90"/>
        <v>2607.4471375</v>
      </c>
      <c r="ES14" s="38">
        <f t="shared" si="91"/>
        <v>2607.4471375</v>
      </c>
      <c r="ET14" s="38">
        <f t="shared" si="92"/>
        <v>4526.5890014999995</v>
      </c>
      <c r="EU14" s="38">
        <f t="shared" si="93"/>
        <v>500.8273555</v>
      </c>
      <c r="EV14" s="55"/>
      <c r="EW14" s="38"/>
      <c r="EX14" s="38">
        <f t="shared" si="94"/>
        <v>3802.4376875</v>
      </c>
      <c r="EY14" s="38">
        <f t="shared" si="95"/>
        <v>3802.4376875</v>
      </c>
      <c r="EZ14" s="38">
        <f t="shared" si="96"/>
        <v>6601.1204475</v>
      </c>
      <c r="FA14" s="38">
        <f t="shared" si="97"/>
        <v>730.3560575</v>
      </c>
      <c r="FB14" s="55"/>
      <c r="FC14" s="38"/>
      <c r="FD14" s="38">
        <f t="shared" si="98"/>
        <v>1.1670500000000001</v>
      </c>
      <c r="FE14" s="38">
        <f t="shared" si="99"/>
        <v>1.1670500000000001</v>
      </c>
      <c r="FF14" s="38">
        <f t="shared" si="100"/>
        <v>2.026026</v>
      </c>
      <c r="FG14" s="38">
        <f t="shared" si="101"/>
        <v>0.224162</v>
      </c>
      <c r="FH14" s="55"/>
      <c r="FI14" s="38"/>
      <c r="FJ14" s="38">
        <f t="shared" si="102"/>
        <v>2502.6529125</v>
      </c>
      <c r="FK14" s="38">
        <f t="shared" si="103"/>
        <v>2502.6529125</v>
      </c>
      <c r="FL14" s="38">
        <f t="shared" si="104"/>
        <v>4344.6637845000005</v>
      </c>
      <c r="FM14" s="38">
        <f t="shared" si="105"/>
        <v>480.6989265</v>
      </c>
      <c r="FN14" s="55"/>
      <c r="FO14" s="38"/>
      <c r="FP14" s="38">
        <f t="shared" si="106"/>
        <v>3115.1653749999996</v>
      </c>
      <c r="FQ14" s="38">
        <f t="shared" si="107"/>
        <v>3115.1653749999996</v>
      </c>
      <c r="FR14" s="38">
        <f t="shared" si="108"/>
        <v>5407.999695</v>
      </c>
      <c r="FS14" s="38">
        <f t="shared" si="109"/>
        <v>598.347715</v>
      </c>
      <c r="FT14" s="55"/>
      <c r="FU14" s="38"/>
      <c r="FV14" s="38">
        <f t="shared" si="110"/>
        <v>3650.05185</v>
      </c>
      <c r="FW14" s="38">
        <f t="shared" si="111"/>
        <v>3650.05185</v>
      </c>
      <c r="FX14" s="38">
        <f t="shared" si="112"/>
        <v>6336.575082</v>
      </c>
      <c r="FY14" s="38">
        <f t="shared" si="113"/>
        <v>701.086434</v>
      </c>
      <c r="FZ14" s="55"/>
      <c r="GA14" s="38"/>
      <c r="GB14" s="38">
        <f t="shared" si="114"/>
        <v>11643.280275000001</v>
      </c>
      <c r="GC14" s="38">
        <f t="shared" si="115"/>
        <v>11643.280275000001</v>
      </c>
      <c r="GD14" s="38">
        <f t="shared" si="116"/>
        <v>20213.005923</v>
      </c>
      <c r="GE14" s="38">
        <f t="shared" si="117"/>
        <v>2236.3917509999997</v>
      </c>
      <c r="GF14" s="55"/>
      <c r="GG14" s="38"/>
      <c r="GH14" s="38">
        <f t="shared" si="118"/>
        <v>18692.2107875</v>
      </c>
      <c r="GI14" s="38">
        <f t="shared" si="119"/>
        <v>18692.2107875</v>
      </c>
      <c r="GJ14" s="38">
        <f t="shared" si="120"/>
        <v>32450.1135795</v>
      </c>
      <c r="GK14" s="38">
        <f t="shared" si="121"/>
        <v>3590.3203415</v>
      </c>
      <c r="GL14" s="55"/>
      <c r="GM14" s="38"/>
      <c r="GN14" s="38">
        <f t="shared" si="122"/>
        <v>56.0184</v>
      </c>
      <c r="GO14" s="38">
        <f t="shared" si="123"/>
        <v>56.0184</v>
      </c>
      <c r="GP14" s="38">
        <f t="shared" si="124"/>
        <v>97.24924800000001</v>
      </c>
      <c r="GQ14" s="38">
        <f t="shared" si="125"/>
        <v>10.759776</v>
      </c>
      <c r="GR14" s="55"/>
      <c r="GS14" s="38"/>
      <c r="GT14" s="38">
        <f t="shared" si="126"/>
        <v>309.3540625</v>
      </c>
      <c r="GU14" s="38">
        <f t="shared" si="127"/>
        <v>309.3540625</v>
      </c>
      <c r="GV14" s="38">
        <f t="shared" si="128"/>
        <v>537.0458625</v>
      </c>
      <c r="GW14" s="38">
        <f t="shared" si="129"/>
        <v>59.4194125</v>
      </c>
      <c r="GX14" s="55"/>
      <c r="GY14" s="47"/>
      <c r="GZ14" s="55"/>
      <c r="HA14" s="55"/>
      <c r="HB14" s="55"/>
      <c r="HC14" s="55"/>
      <c r="HD14" s="55"/>
      <c r="HE14" s="55"/>
      <c r="HF14" s="55"/>
      <c r="HG14" s="55"/>
      <c r="HH14" s="55"/>
      <c r="HI14" s="55"/>
      <c r="HJ14" s="55"/>
      <c r="HK14" s="55"/>
      <c r="HL14" s="55"/>
      <c r="HM14" s="55"/>
      <c r="HN14" s="55"/>
      <c r="HO14" s="55"/>
      <c r="HP14" s="55"/>
      <c r="HQ14" s="55"/>
      <c r="HR14" s="55"/>
      <c r="HS14" s="55"/>
      <c r="HT14" s="55"/>
      <c r="HU14" s="55"/>
    </row>
    <row r="15" spans="1:229" s="57" customFormat="1" ht="12.75">
      <c r="A15" s="56">
        <v>45017</v>
      </c>
      <c r="B15" s="55"/>
      <c r="C15" s="55">
        <v>6865000</v>
      </c>
      <c r="D15" s="55">
        <v>171625</v>
      </c>
      <c r="E15" s="41">
        <f t="shared" si="0"/>
        <v>7036625</v>
      </c>
      <c r="F15" s="41">
        <v>297945</v>
      </c>
      <c r="G15" s="41">
        <v>32965</v>
      </c>
      <c r="H15" s="55"/>
      <c r="I15" s="41">
        <f>'2017B Academic'!C15</f>
        <v>1217913.4715000005</v>
      </c>
      <c r="J15" s="41">
        <f>'2017B Academic'!D15</f>
        <v>30447.836787500008</v>
      </c>
      <c r="K15" s="41">
        <f t="shared" si="1"/>
        <v>1248361.3082875004</v>
      </c>
      <c r="L15" s="41">
        <f>'2017B Academic'!F15</f>
        <v>52858.15429949999</v>
      </c>
      <c r="M15" s="41">
        <f>'2017B Academic'!G15</f>
        <v>5848.290981499999</v>
      </c>
      <c r="O15" s="38">
        <f t="shared" si="2"/>
        <v>5647086.5285</v>
      </c>
      <c r="P15" s="47">
        <f t="shared" si="3"/>
        <v>141177.1632125</v>
      </c>
      <c r="Q15" s="38">
        <f t="shared" si="4"/>
        <v>5788263.6917125</v>
      </c>
      <c r="R15" s="38">
        <f t="shared" si="5"/>
        <v>245086.84570049995</v>
      </c>
      <c r="S15" s="38">
        <f t="shared" si="5"/>
        <v>27116.709018499998</v>
      </c>
      <c r="U15" s="38">
        <f t="shared" si="130"/>
        <v>1191.7640000000001</v>
      </c>
      <c r="V15" s="38">
        <f t="shared" si="6"/>
        <v>29.7941</v>
      </c>
      <c r="W15" s="38">
        <f t="shared" si="7"/>
        <v>1221.5581000000002</v>
      </c>
      <c r="X15" s="38">
        <f t="shared" si="8"/>
        <v>51.723251999999995</v>
      </c>
      <c r="Y15" s="38">
        <f t="shared" si="9"/>
        <v>5.7227239999999995</v>
      </c>
      <c r="AA15" s="38">
        <f t="shared" si="131"/>
        <v>154342.3625</v>
      </c>
      <c r="AB15" s="38">
        <f t="shared" si="10"/>
        <v>3858.5590625</v>
      </c>
      <c r="AC15" s="38">
        <f t="shared" si="11"/>
        <v>158200.92156249998</v>
      </c>
      <c r="AD15" s="38">
        <f t="shared" si="12"/>
        <v>6698.5484625</v>
      </c>
      <c r="AE15" s="38">
        <f t="shared" si="13"/>
        <v>741.1356125</v>
      </c>
      <c r="AF15" s="55"/>
      <c r="AG15" s="38">
        <f t="shared" si="132"/>
        <v>953951.4755</v>
      </c>
      <c r="AH15" s="38">
        <f t="shared" si="14"/>
        <v>23848.786887500002</v>
      </c>
      <c r="AI15" s="38">
        <f t="shared" si="15"/>
        <v>977800.2623874999</v>
      </c>
      <c r="AJ15" s="38">
        <f t="shared" si="16"/>
        <v>41402.0498715</v>
      </c>
      <c r="AK15" s="38">
        <f t="shared" si="17"/>
        <v>4580.773545499999</v>
      </c>
      <c r="AL15" s="55"/>
      <c r="AM15" s="38">
        <f t="shared" si="133"/>
        <v>9671.412</v>
      </c>
      <c r="AN15" s="38">
        <f t="shared" si="18"/>
        <v>241.78530000000003</v>
      </c>
      <c r="AO15" s="38">
        <f t="shared" si="19"/>
        <v>9913.1973</v>
      </c>
      <c r="AP15" s="38">
        <f t="shared" si="20"/>
        <v>419.744916</v>
      </c>
      <c r="AQ15" s="38">
        <f t="shared" si="21"/>
        <v>46.441092</v>
      </c>
      <c r="AR15" s="55"/>
      <c r="AS15" s="38">
        <f t="shared" si="134"/>
        <v>269469.7855</v>
      </c>
      <c r="AT15" s="38">
        <f t="shared" si="22"/>
        <v>6736.7446375</v>
      </c>
      <c r="AU15" s="38">
        <f t="shared" si="23"/>
        <v>276206.5301375</v>
      </c>
      <c r="AV15" s="38">
        <f t="shared" si="24"/>
        <v>11695.1457015</v>
      </c>
      <c r="AW15" s="38">
        <f t="shared" si="25"/>
        <v>1293.9652555</v>
      </c>
      <c r="AX15" s="55"/>
      <c r="AY15" s="38">
        <f t="shared" si="135"/>
        <v>18978.292499999996</v>
      </c>
      <c r="AZ15" s="38">
        <f t="shared" si="26"/>
        <v>474.45731249999994</v>
      </c>
      <c r="BA15" s="38">
        <f t="shared" si="27"/>
        <v>19452.749812499995</v>
      </c>
      <c r="BB15" s="38">
        <f t="shared" si="28"/>
        <v>823.6689525</v>
      </c>
      <c r="BC15" s="38">
        <f t="shared" si="29"/>
        <v>91.1317425</v>
      </c>
      <c r="BD15" s="55"/>
      <c r="BE15" s="38">
        <f t="shared" si="136"/>
        <v>438721.555</v>
      </c>
      <c r="BF15" s="38">
        <f t="shared" si="30"/>
        <v>10968.038875</v>
      </c>
      <c r="BG15" s="38">
        <f t="shared" si="31"/>
        <v>449689.593875</v>
      </c>
      <c r="BH15" s="38">
        <f t="shared" si="32"/>
        <v>19040.771115000003</v>
      </c>
      <c r="BI15" s="38">
        <f t="shared" si="33"/>
        <v>2106.6942550000003</v>
      </c>
      <c r="BJ15" s="55"/>
      <c r="BK15" s="38">
        <f t="shared" si="137"/>
        <v>15076.913</v>
      </c>
      <c r="BL15" s="38">
        <f t="shared" si="34"/>
        <v>376.922825</v>
      </c>
      <c r="BM15" s="38">
        <f t="shared" si="35"/>
        <v>15453.835825</v>
      </c>
      <c r="BN15" s="38">
        <f t="shared" si="36"/>
        <v>654.346809</v>
      </c>
      <c r="BO15" s="38">
        <f t="shared" si="37"/>
        <v>72.397733</v>
      </c>
      <c r="BP15" s="55"/>
      <c r="BQ15" s="38">
        <f t="shared" si="138"/>
        <v>16255.633500000002</v>
      </c>
      <c r="BR15" s="38">
        <f t="shared" si="38"/>
        <v>406.3908375</v>
      </c>
      <c r="BS15" s="38">
        <f t="shared" si="39"/>
        <v>16662.024337500003</v>
      </c>
      <c r="BT15" s="38">
        <f t="shared" si="40"/>
        <v>705.5039655</v>
      </c>
      <c r="BU15" s="38">
        <f t="shared" si="41"/>
        <v>78.0578235</v>
      </c>
      <c r="BV15" s="55"/>
      <c r="BW15" s="38">
        <f t="shared" si="139"/>
        <v>4294.057499999999</v>
      </c>
      <c r="BX15" s="38">
        <f t="shared" si="42"/>
        <v>107.35143749999999</v>
      </c>
      <c r="BY15" s="38">
        <f t="shared" si="43"/>
        <v>4401.408937499999</v>
      </c>
      <c r="BZ15" s="38">
        <f t="shared" si="44"/>
        <v>186.3645975</v>
      </c>
      <c r="CA15" s="38">
        <f t="shared" si="45"/>
        <v>20.6196075</v>
      </c>
      <c r="CB15" s="55"/>
      <c r="CC15" s="38">
        <f t="shared" si="140"/>
        <v>954121.041</v>
      </c>
      <c r="CD15" s="38">
        <f t="shared" si="46"/>
        <v>23853.026025</v>
      </c>
      <c r="CE15" s="38">
        <f t="shared" si="47"/>
        <v>977974.067025</v>
      </c>
      <c r="CF15" s="38">
        <f t="shared" si="48"/>
        <v>41409.409113</v>
      </c>
      <c r="CG15" s="38">
        <f t="shared" si="49"/>
        <v>4581.587781</v>
      </c>
      <c r="CH15" s="55"/>
      <c r="CI15" s="38">
        <f t="shared" si="141"/>
        <v>13087.436000000002</v>
      </c>
      <c r="CJ15" s="38">
        <f t="shared" si="50"/>
        <v>327.1859</v>
      </c>
      <c r="CK15" s="38">
        <f t="shared" si="51"/>
        <v>13414.621900000002</v>
      </c>
      <c r="CL15" s="38">
        <f t="shared" si="52"/>
        <v>568.002348</v>
      </c>
      <c r="CM15" s="38">
        <f t="shared" si="53"/>
        <v>62.844476</v>
      </c>
      <c r="CN15" s="55"/>
      <c r="CO15" s="38">
        <f t="shared" si="142"/>
        <v>15505.975499999999</v>
      </c>
      <c r="CP15" s="38">
        <f t="shared" si="54"/>
        <v>387.6493875</v>
      </c>
      <c r="CQ15" s="38">
        <f t="shared" si="55"/>
        <v>15893.624887499998</v>
      </c>
      <c r="CR15" s="38">
        <f t="shared" si="56"/>
        <v>672.9683715000001</v>
      </c>
      <c r="CS15" s="38">
        <f t="shared" si="57"/>
        <v>74.45804550000001</v>
      </c>
      <c r="CT15" s="55"/>
      <c r="CU15" s="38">
        <f t="shared" si="143"/>
        <v>184978.79799999998</v>
      </c>
      <c r="CV15" s="38">
        <f t="shared" si="58"/>
        <v>4624.46995</v>
      </c>
      <c r="CW15" s="38">
        <f t="shared" si="59"/>
        <v>189603.26794999998</v>
      </c>
      <c r="CX15" s="38">
        <f t="shared" si="60"/>
        <v>8028.1876139999995</v>
      </c>
      <c r="CY15" s="38">
        <f t="shared" si="61"/>
        <v>888.248518</v>
      </c>
      <c r="CZ15" s="55"/>
      <c r="DA15" s="38">
        <f t="shared" si="144"/>
        <v>16762.2705</v>
      </c>
      <c r="DB15" s="38">
        <f t="shared" si="62"/>
        <v>419.0567625</v>
      </c>
      <c r="DC15" s="38">
        <f t="shared" si="63"/>
        <v>17181.3272625</v>
      </c>
      <c r="DD15" s="38">
        <f t="shared" si="64"/>
        <v>727.4923065</v>
      </c>
      <c r="DE15" s="38">
        <f t="shared" si="65"/>
        <v>80.49064050000001</v>
      </c>
      <c r="DF15" s="55"/>
      <c r="DG15" s="38">
        <f t="shared" si="145"/>
        <v>63177.222</v>
      </c>
      <c r="DH15" s="38">
        <f t="shared" si="66"/>
        <v>1579.43055</v>
      </c>
      <c r="DI15" s="38">
        <f t="shared" si="67"/>
        <v>64756.65255</v>
      </c>
      <c r="DJ15" s="38">
        <f t="shared" si="68"/>
        <v>2741.928246</v>
      </c>
      <c r="DK15" s="38">
        <f t="shared" si="69"/>
        <v>303.37030200000004</v>
      </c>
      <c r="DL15" s="55"/>
      <c r="DM15" s="38">
        <f t="shared" si="146"/>
        <v>147081.9385</v>
      </c>
      <c r="DN15" s="38">
        <f t="shared" si="70"/>
        <v>3677.0484625</v>
      </c>
      <c r="DO15" s="38">
        <f t="shared" si="71"/>
        <v>150758.9869625</v>
      </c>
      <c r="DP15" s="38">
        <f t="shared" si="72"/>
        <v>6383.4418305</v>
      </c>
      <c r="DQ15" s="38">
        <f t="shared" si="73"/>
        <v>706.2718285</v>
      </c>
      <c r="DR15" s="55"/>
      <c r="DS15" s="38">
        <f t="shared" si="147"/>
        <v>71455.03899999999</v>
      </c>
      <c r="DT15" s="38">
        <f t="shared" si="74"/>
        <v>1786.3759749999997</v>
      </c>
      <c r="DU15" s="38">
        <f t="shared" si="75"/>
        <v>73241.41497499999</v>
      </c>
      <c r="DV15" s="38">
        <f t="shared" si="76"/>
        <v>3101.1903270000003</v>
      </c>
      <c r="DW15" s="38">
        <f t="shared" si="77"/>
        <v>343.119499</v>
      </c>
      <c r="DX15" s="55"/>
      <c r="DY15" s="38">
        <f t="shared" si="148"/>
        <v>12303.453000000001</v>
      </c>
      <c r="DZ15" s="38">
        <f t="shared" si="78"/>
        <v>307.586325</v>
      </c>
      <c r="EA15" s="38">
        <f t="shared" si="79"/>
        <v>12611.039325000002</v>
      </c>
      <c r="EB15" s="38">
        <f t="shared" si="80"/>
        <v>533.977029</v>
      </c>
      <c r="EC15" s="38">
        <f t="shared" si="81"/>
        <v>59.079873000000006</v>
      </c>
      <c r="ED15" s="55"/>
      <c r="EE15" s="38">
        <f t="shared" si="149"/>
        <v>15860.895999999999</v>
      </c>
      <c r="EF15" s="38">
        <f t="shared" si="82"/>
        <v>396.5224</v>
      </c>
      <c r="EG15" s="38">
        <f t="shared" si="83"/>
        <v>16257.418399999999</v>
      </c>
      <c r="EH15" s="38">
        <f t="shared" si="84"/>
        <v>688.3721280000001</v>
      </c>
      <c r="EI15" s="38">
        <f t="shared" si="85"/>
        <v>76.16233600000001</v>
      </c>
      <c r="EJ15" s="55"/>
      <c r="EK15" s="85">
        <f t="shared" si="150"/>
        <v>415607.7865</v>
      </c>
      <c r="EL15" s="85">
        <f t="shared" si="86"/>
        <v>10390.1946625</v>
      </c>
      <c r="EM15" s="85">
        <f t="shared" si="87"/>
        <v>425997.9811625</v>
      </c>
      <c r="EN15" s="38">
        <f t="shared" si="88"/>
        <v>18037.6200945</v>
      </c>
      <c r="EO15" s="38">
        <f t="shared" si="89"/>
        <v>1995.7043965</v>
      </c>
      <c r="EP15" s="55"/>
      <c r="EQ15" s="38">
        <f t="shared" si="151"/>
        <v>104297.88549999999</v>
      </c>
      <c r="ER15" s="38">
        <f t="shared" si="90"/>
        <v>2607.4471375</v>
      </c>
      <c r="ES15" s="38">
        <f t="shared" si="91"/>
        <v>106905.33263749999</v>
      </c>
      <c r="ET15" s="38">
        <f t="shared" si="92"/>
        <v>4526.5890014999995</v>
      </c>
      <c r="EU15" s="38">
        <f t="shared" si="93"/>
        <v>500.8273555</v>
      </c>
      <c r="EV15" s="55"/>
      <c r="EW15" s="38">
        <f t="shared" si="152"/>
        <v>152097.5075</v>
      </c>
      <c r="EX15" s="38">
        <f t="shared" si="94"/>
        <v>3802.4376875</v>
      </c>
      <c r="EY15" s="38">
        <f t="shared" si="95"/>
        <v>155899.9451875</v>
      </c>
      <c r="EZ15" s="38">
        <f t="shared" si="96"/>
        <v>6601.1204475</v>
      </c>
      <c r="FA15" s="38">
        <f t="shared" si="97"/>
        <v>730.3560575</v>
      </c>
      <c r="FB15" s="55"/>
      <c r="FC15" s="38">
        <f t="shared" si="153"/>
        <v>46.68200000000001</v>
      </c>
      <c r="FD15" s="38">
        <f t="shared" si="98"/>
        <v>1.1670500000000001</v>
      </c>
      <c r="FE15" s="38">
        <f t="shared" si="99"/>
        <v>47.84905000000001</v>
      </c>
      <c r="FF15" s="38">
        <f t="shared" si="100"/>
        <v>2.026026</v>
      </c>
      <c r="FG15" s="38">
        <f t="shared" si="101"/>
        <v>0.224162</v>
      </c>
      <c r="FH15" s="55"/>
      <c r="FI15" s="38">
        <f t="shared" si="154"/>
        <v>100106.1165</v>
      </c>
      <c r="FJ15" s="38">
        <f t="shared" si="102"/>
        <v>2502.6529125</v>
      </c>
      <c r="FK15" s="38">
        <f t="shared" si="103"/>
        <v>102608.7694125</v>
      </c>
      <c r="FL15" s="38">
        <f t="shared" si="104"/>
        <v>4344.6637845000005</v>
      </c>
      <c r="FM15" s="38">
        <f t="shared" si="105"/>
        <v>480.6989265</v>
      </c>
      <c r="FN15" s="55"/>
      <c r="FO15" s="38">
        <f t="shared" si="155"/>
        <v>124606.615</v>
      </c>
      <c r="FP15" s="38">
        <f t="shared" si="106"/>
        <v>3115.1653749999996</v>
      </c>
      <c r="FQ15" s="38">
        <f t="shared" si="107"/>
        <v>127721.780375</v>
      </c>
      <c r="FR15" s="38">
        <f t="shared" si="108"/>
        <v>5407.999695</v>
      </c>
      <c r="FS15" s="38">
        <f t="shared" si="109"/>
        <v>598.347715</v>
      </c>
      <c r="FT15" s="55"/>
      <c r="FU15" s="38">
        <f t="shared" si="156"/>
        <v>146002.074</v>
      </c>
      <c r="FV15" s="38">
        <f t="shared" si="110"/>
        <v>3650.05185</v>
      </c>
      <c r="FW15" s="38">
        <f t="shared" si="111"/>
        <v>149652.12584999998</v>
      </c>
      <c r="FX15" s="38">
        <f t="shared" si="112"/>
        <v>6336.575082</v>
      </c>
      <c r="FY15" s="38">
        <f t="shared" si="113"/>
        <v>701.086434</v>
      </c>
      <c r="FZ15" s="55"/>
      <c r="GA15" s="38">
        <f t="shared" si="157"/>
        <v>465731.211</v>
      </c>
      <c r="GB15" s="38">
        <f t="shared" si="114"/>
        <v>11643.280275000001</v>
      </c>
      <c r="GC15" s="38">
        <f t="shared" si="115"/>
        <v>477374.49127500004</v>
      </c>
      <c r="GD15" s="38">
        <f t="shared" si="116"/>
        <v>20213.005923</v>
      </c>
      <c r="GE15" s="38">
        <f t="shared" si="117"/>
        <v>2236.3917509999997</v>
      </c>
      <c r="GF15" s="55"/>
      <c r="GG15" s="38">
        <f t="shared" si="158"/>
        <v>747688.4315000001</v>
      </c>
      <c r="GH15" s="38">
        <f t="shared" si="118"/>
        <v>18692.2107875</v>
      </c>
      <c r="GI15" s="38">
        <f t="shared" si="119"/>
        <v>766380.6422875001</v>
      </c>
      <c r="GJ15" s="38">
        <f t="shared" si="120"/>
        <v>32450.1135795</v>
      </c>
      <c r="GK15" s="38">
        <f t="shared" si="121"/>
        <v>3590.3203415</v>
      </c>
      <c r="GL15" s="55"/>
      <c r="GM15" s="38">
        <f t="shared" si="159"/>
        <v>2240.736</v>
      </c>
      <c r="GN15" s="38">
        <f t="shared" si="122"/>
        <v>56.0184</v>
      </c>
      <c r="GO15" s="38">
        <f t="shared" si="123"/>
        <v>2296.7544</v>
      </c>
      <c r="GP15" s="38">
        <f t="shared" si="124"/>
        <v>97.24924800000001</v>
      </c>
      <c r="GQ15" s="38">
        <f t="shared" si="125"/>
        <v>10.759776</v>
      </c>
      <c r="GR15" s="55"/>
      <c r="GS15" s="38">
        <f t="shared" si="160"/>
        <v>12374.1625</v>
      </c>
      <c r="GT15" s="38">
        <f t="shared" si="126"/>
        <v>309.3540625</v>
      </c>
      <c r="GU15" s="38">
        <f t="shared" si="127"/>
        <v>12683.5165625</v>
      </c>
      <c r="GV15" s="38">
        <f t="shared" si="128"/>
        <v>537.0458625</v>
      </c>
      <c r="GW15" s="38">
        <f t="shared" si="129"/>
        <v>59.4194125</v>
      </c>
      <c r="GX15" s="55"/>
      <c r="GY15" s="47"/>
      <c r="GZ15" s="55"/>
      <c r="HA15" s="55"/>
      <c r="HB15" s="55"/>
      <c r="HC15" s="55"/>
      <c r="HD15" s="55"/>
      <c r="HE15" s="55"/>
      <c r="HF15" s="55"/>
      <c r="HG15" s="55"/>
      <c r="HH15" s="55"/>
      <c r="HI15" s="55"/>
      <c r="HJ15" s="55"/>
      <c r="HK15" s="55"/>
      <c r="HL15" s="55"/>
      <c r="HM15" s="55"/>
      <c r="HN15" s="55"/>
      <c r="HO15" s="55"/>
      <c r="HP15" s="55"/>
      <c r="HQ15" s="55"/>
      <c r="HR15" s="55"/>
      <c r="HS15" s="55"/>
      <c r="HT15" s="55"/>
      <c r="HU15" s="55"/>
    </row>
    <row r="16" spans="3:229" ht="12.75">
      <c r="C16" s="47"/>
      <c r="D16" s="47"/>
      <c r="E16" s="47"/>
      <c r="F16" s="47"/>
      <c r="G16" s="47"/>
      <c r="I16" s="47"/>
      <c r="J16" s="47"/>
      <c r="K16" s="47"/>
      <c r="L16" s="47"/>
      <c r="M16" s="47"/>
      <c r="AA16" s="55"/>
      <c r="AB16" s="55"/>
      <c r="AC16" s="55"/>
      <c r="AD16" s="55"/>
      <c r="AE16" s="55"/>
      <c r="AF16" s="38"/>
      <c r="AG16" s="55"/>
      <c r="AH16" s="55"/>
      <c r="AI16" s="55"/>
      <c r="AJ16" s="55"/>
      <c r="AK16" s="55"/>
      <c r="AL16" s="38"/>
      <c r="AM16" s="55"/>
      <c r="AN16" s="55"/>
      <c r="AO16" s="55"/>
      <c r="AP16" s="55"/>
      <c r="AQ16" s="55"/>
      <c r="AR16" s="38"/>
      <c r="AS16" s="55"/>
      <c r="AT16" s="55"/>
      <c r="AU16" s="55"/>
      <c r="AV16" s="55"/>
      <c r="AW16" s="55"/>
      <c r="AX16" s="38"/>
      <c r="AY16" s="38"/>
      <c r="AZ16" s="38"/>
      <c r="BA16" s="38"/>
      <c r="BB16" s="38"/>
      <c r="BC16" s="38"/>
      <c r="BD16" s="38"/>
      <c r="BE16" s="55"/>
      <c r="BF16" s="55"/>
      <c r="BG16" s="55"/>
      <c r="BH16" s="55"/>
      <c r="BI16" s="55"/>
      <c r="BJ16" s="38"/>
      <c r="BK16" s="38"/>
      <c r="BL16" s="38"/>
      <c r="BM16" s="55"/>
      <c r="BN16" s="55"/>
      <c r="BO16" s="55"/>
      <c r="BP16" s="38"/>
      <c r="BQ16" s="38"/>
      <c r="BR16" s="38"/>
      <c r="BS16" s="38"/>
      <c r="BT16" s="38"/>
      <c r="BU16" s="38"/>
      <c r="BV16" s="38"/>
      <c r="BW16" s="55"/>
      <c r="BX16" s="55"/>
      <c r="BY16" s="55"/>
      <c r="BZ16" s="55"/>
      <c r="CA16" s="55"/>
      <c r="CB16" s="38"/>
      <c r="CC16" s="38"/>
      <c r="CD16" s="38"/>
      <c r="CE16" s="38"/>
      <c r="CF16" s="38"/>
      <c r="CG16" s="38"/>
      <c r="CH16" s="38"/>
      <c r="CI16" s="38"/>
      <c r="CJ16" s="38"/>
      <c r="CK16" s="38"/>
      <c r="CL16" s="38"/>
      <c r="CM16" s="38"/>
      <c r="CN16" s="38"/>
      <c r="CO16" s="38"/>
      <c r="CP16" s="38"/>
      <c r="CQ16" s="38"/>
      <c r="CR16" s="38"/>
      <c r="CS16" s="38"/>
      <c r="CT16" s="38"/>
      <c r="CU16" s="38"/>
      <c r="CV16" s="38"/>
      <c r="CW16" s="38"/>
      <c r="CX16" s="38"/>
      <c r="CY16" s="38"/>
      <c r="CZ16" s="38"/>
      <c r="DA16" s="38"/>
      <c r="DB16" s="38"/>
      <c r="DC16" s="38"/>
      <c r="DD16" s="38"/>
      <c r="DE16" s="38"/>
      <c r="DF16" s="38"/>
      <c r="DG16" s="38"/>
      <c r="DH16" s="38"/>
      <c r="DI16" s="38"/>
      <c r="DJ16" s="38"/>
      <c r="DK16" s="38"/>
      <c r="DL16" s="38"/>
      <c r="DM16" s="38"/>
      <c r="DN16" s="38"/>
      <c r="DO16" s="38"/>
      <c r="DP16" s="38"/>
      <c r="DQ16" s="38"/>
      <c r="DR16" s="38"/>
      <c r="DS16" s="38"/>
      <c r="DT16" s="38"/>
      <c r="DU16" s="38"/>
      <c r="DV16" s="38"/>
      <c r="DW16" s="38"/>
      <c r="DX16" s="38"/>
      <c r="DY16" s="55"/>
      <c r="DZ16" s="55"/>
      <c r="EA16" s="55"/>
      <c r="EB16" s="55"/>
      <c r="EC16" s="55"/>
      <c r="ED16" s="55"/>
      <c r="EE16" s="38"/>
      <c r="EF16" s="38"/>
      <c r="EG16" s="38"/>
      <c r="EH16" s="38"/>
      <c r="EI16" s="38"/>
      <c r="EJ16" s="38"/>
      <c r="EK16" s="85"/>
      <c r="EL16" s="85"/>
      <c r="EM16" s="85"/>
      <c r="EN16" s="85"/>
      <c r="EO16" s="85"/>
      <c r="EP16" s="38"/>
      <c r="EQ16" s="55"/>
      <c r="ER16" s="38"/>
      <c r="ES16" s="55"/>
      <c r="ET16" s="55"/>
      <c r="EU16" s="55"/>
      <c r="EV16" s="38"/>
      <c r="EW16" s="38"/>
      <c r="EX16" s="38"/>
      <c r="EY16" s="38"/>
      <c r="EZ16" s="38"/>
      <c r="FA16" s="38"/>
      <c r="FB16" s="38"/>
      <c r="FC16" s="55"/>
      <c r="FD16" s="55"/>
      <c r="FE16" s="55"/>
      <c r="FF16" s="55"/>
      <c r="FG16" s="55"/>
      <c r="FH16" s="38"/>
      <c r="FI16" s="38"/>
      <c r="FJ16" s="38"/>
      <c r="FK16" s="38"/>
      <c r="FL16" s="38"/>
      <c r="FM16" s="38"/>
      <c r="FN16" s="38"/>
      <c r="FO16" s="38"/>
      <c r="FP16" s="38"/>
      <c r="FQ16" s="38"/>
      <c r="FR16" s="38"/>
      <c r="FS16" s="38"/>
      <c r="FT16" s="38"/>
      <c r="FU16" s="38"/>
      <c r="FV16" s="38"/>
      <c r="FW16" s="38"/>
      <c r="FX16" s="38"/>
      <c r="FY16" s="38"/>
      <c r="FZ16" s="38"/>
      <c r="GA16" s="38"/>
      <c r="GB16" s="38"/>
      <c r="GC16" s="38"/>
      <c r="GD16" s="38"/>
      <c r="GE16" s="38"/>
      <c r="GF16" s="38"/>
      <c r="GG16" s="38"/>
      <c r="GH16" s="38"/>
      <c r="GI16" s="38"/>
      <c r="GJ16" s="38"/>
      <c r="GK16" s="38"/>
      <c r="GL16" s="38"/>
      <c r="GM16" s="38"/>
      <c r="GN16" s="38"/>
      <c r="GO16" s="38"/>
      <c r="GP16" s="38"/>
      <c r="GQ16" s="38"/>
      <c r="GR16" s="38"/>
      <c r="GS16" s="38"/>
      <c r="GT16" s="38"/>
      <c r="GU16" s="38"/>
      <c r="GV16" s="38"/>
      <c r="GW16" s="38"/>
      <c r="GX16" s="38"/>
      <c r="GY16" s="55"/>
      <c r="GZ16" s="55"/>
      <c r="HA16" s="55"/>
      <c r="HB16" s="55"/>
      <c r="HC16" s="55"/>
      <c r="HD16" s="38"/>
      <c r="HE16" s="38"/>
      <c r="HF16" s="38"/>
      <c r="HG16" s="38"/>
      <c r="HH16" s="38"/>
      <c r="HI16" s="38"/>
      <c r="HJ16" s="38"/>
      <c r="HK16" s="38"/>
      <c r="HL16" s="38"/>
      <c r="HM16" s="38"/>
      <c r="HN16" s="38"/>
      <c r="HO16" s="38"/>
      <c r="HP16" s="38"/>
      <c r="HQ16" s="38"/>
      <c r="HR16" s="38"/>
      <c r="HS16" s="38"/>
      <c r="HT16" s="38"/>
      <c r="HU16" s="38"/>
    </row>
    <row r="17" spans="1:229" ht="13.5" thickBot="1">
      <c r="A17" s="36" t="s">
        <v>4</v>
      </c>
      <c r="C17" s="54">
        <f>SUM(C8:C16)</f>
        <v>19915000</v>
      </c>
      <c r="D17" s="54">
        <f>SUM(D8:D16)</f>
        <v>3005000</v>
      </c>
      <c r="E17" s="54">
        <f>SUM(E8:E16)</f>
        <v>22920000</v>
      </c>
      <c r="F17" s="54">
        <f>SUM(F8:F16)</f>
        <v>2383560</v>
      </c>
      <c r="G17" s="54">
        <f>SUM(G8:G16)</f>
        <v>263720</v>
      </c>
      <c r="I17" s="54">
        <f>SUM(I8:I16)</f>
        <v>3533102.2265000003</v>
      </c>
      <c r="J17" s="54">
        <f>SUM(J8:J16)</f>
        <v>533114.3455</v>
      </c>
      <c r="K17" s="54">
        <f>SUM(K8:K16)</f>
        <v>4066216.572</v>
      </c>
      <c r="L17" s="54">
        <f>SUM(L8:L16)</f>
        <v>422865.2343959999</v>
      </c>
      <c r="M17" s="54">
        <f>SUM(M8:M16)</f>
        <v>46786.327852</v>
      </c>
      <c r="O17" s="54">
        <f>SUM(O8:O16)</f>
        <v>16381897.773500001</v>
      </c>
      <c r="P17" s="54">
        <f>SUM(P8:P16)</f>
        <v>2471885.6545</v>
      </c>
      <c r="Q17" s="54">
        <f>SUM(Q8:Q16)</f>
        <v>18853783.428</v>
      </c>
      <c r="R17" s="54">
        <f>SUM(R8:R16)</f>
        <v>1960694.765604</v>
      </c>
      <c r="S17" s="54">
        <f>SUM(S8:S16)</f>
        <v>216933.67214799998</v>
      </c>
      <c r="U17" s="54">
        <f>SUM(U8:U16)</f>
        <v>3457.244</v>
      </c>
      <c r="V17" s="54">
        <f>SUM(V8:V16)</f>
        <v>521.668</v>
      </c>
      <c r="W17" s="54">
        <f>SUM(W8:W16)</f>
        <v>3978.9120000000003</v>
      </c>
      <c r="X17" s="54">
        <f>SUM(X8:X16)</f>
        <v>413.78601599999996</v>
      </c>
      <c r="Y17" s="54">
        <f>SUM(Y8:Y16)</f>
        <v>45.781791999999996</v>
      </c>
      <c r="AA17" s="54">
        <f>SUM(AA8:AA16)</f>
        <v>447738.9875</v>
      </c>
      <c r="AB17" s="54">
        <f>SUM(AB8:AB16)</f>
        <v>67559.9125</v>
      </c>
      <c r="AC17" s="54">
        <f>SUM(AC8:AC16)</f>
        <v>515298.9</v>
      </c>
      <c r="AD17" s="54">
        <f>SUM(AD8:AD16)</f>
        <v>53588.38770000001</v>
      </c>
      <c r="AE17" s="54">
        <f>SUM(AE8:AE16)</f>
        <v>5929.084900000001</v>
      </c>
      <c r="AF17" s="38"/>
      <c r="AG17" s="54">
        <f>SUM(AG8:AG16)</f>
        <v>2767362.5105</v>
      </c>
      <c r="AH17" s="54">
        <f>SUM(AH8:AH16)</f>
        <v>417570.89350000006</v>
      </c>
      <c r="AI17" s="54">
        <f>SUM(AI8:AI16)</f>
        <v>3184933.404</v>
      </c>
      <c r="AJ17" s="54">
        <f>SUM(AJ8:AJ16)</f>
        <v>331216.398972</v>
      </c>
      <c r="AK17" s="54">
        <f>SUM(AK8:AK16)</f>
        <v>36646.188363999994</v>
      </c>
      <c r="AL17" s="38"/>
      <c r="AM17" s="54">
        <f>SUM(AM8:AM16)</f>
        <v>28056.252000000004</v>
      </c>
      <c r="AN17" s="54">
        <f>SUM(AN8:AN16)</f>
        <v>4233.444</v>
      </c>
      <c r="AO17" s="54">
        <f>SUM(AO8:AO16)</f>
        <v>32289.696000000004</v>
      </c>
      <c r="AP17" s="54">
        <f>SUM(AP8:AP16)</f>
        <v>3357.9593280000004</v>
      </c>
      <c r="AQ17" s="54">
        <f>SUM(AQ8:AQ16)</f>
        <v>371.528736</v>
      </c>
      <c r="AR17" s="38"/>
      <c r="AS17" s="54">
        <f>SUM(AS8:AS16)</f>
        <v>781717.5205</v>
      </c>
      <c r="AT17" s="54">
        <f>SUM(AT8:AT16)</f>
        <v>117954.36349999999</v>
      </c>
      <c r="AU17" s="54">
        <f>SUM(AU8:AU16)</f>
        <v>899671.8840000001</v>
      </c>
      <c r="AV17" s="54">
        <f>SUM(AV8:AV16)</f>
        <v>93561.16561200001</v>
      </c>
      <c r="AW17" s="54">
        <f>SUM(AW8:AW16)</f>
        <v>10351.722044</v>
      </c>
      <c r="AX17" s="38"/>
      <c r="AY17" s="54">
        <f>SUM(AY8:AY16)</f>
        <v>55055.01749999999</v>
      </c>
      <c r="AZ17" s="54">
        <f>SUM(AZ8:AZ16)</f>
        <v>8307.322499999998</v>
      </c>
      <c r="BA17" s="54">
        <f>SUM(BA8:BA16)</f>
        <v>63362.34</v>
      </c>
      <c r="BB17" s="54">
        <f>SUM(BB8:BB16)</f>
        <v>6589.35162</v>
      </c>
      <c r="BC17" s="54">
        <f>SUM(BC8:BC16)</f>
        <v>729.0539399999999</v>
      </c>
      <c r="BD17" s="38"/>
      <c r="BE17" s="54">
        <f>SUM(BE8:BE16)</f>
        <v>1272707.905</v>
      </c>
      <c r="BF17" s="54">
        <f>SUM(BF8:BF16)</f>
        <v>192040.53499999997</v>
      </c>
      <c r="BG17" s="54">
        <f>SUM(BG8:BG16)</f>
        <v>1464748.44</v>
      </c>
      <c r="BH17" s="54">
        <f>SUM(BH8:BH16)</f>
        <v>152326.16892000005</v>
      </c>
      <c r="BI17" s="54">
        <f>SUM(BI8:BI16)</f>
        <v>16853.554040000003</v>
      </c>
      <c r="BJ17" s="38"/>
      <c r="BK17" s="54">
        <f>SUM(BK8:BK16)</f>
        <v>43737.323000000004</v>
      </c>
      <c r="BL17" s="54">
        <f>SUM(BL8:BL16)</f>
        <v>6599.580999999999</v>
      </c>
      <c r="BM17" s="54">
        <f>SUM(BM8:BM16)</f>
        <v>50336.904</v>
      </c>
      <c r="BN17" s="54">
        <f>SUM(BN8:BN16)</f>
        <v>5234.774472</v>
      </c>
      <c r="BO17" s="54">
        <f>SUM(BO8:BO16)</f>
        <v>579.181864</v>
      </c>
      <c r="BP17" s="38"/>
      <c r="BQ17" s="54">
        <f>SUM(BQ8:BQ16)</f>
        <v>47156.728500000005</v>
      </c>
      <c r="BR17" s="54">
        <f>SUM(BR8:BR16)</f>
        <v>7115.5395</v>
      </c>
      <c r="BS17" s="54">
        <f>SUM(BS8:BS16)</f>
        <v>54272.268</v>
      </c>
      <c r="BT17" s="54">
        <f>SUM(BT8:BT16)</f>
        <v>5644.031724</v>
      </c>
      <c r="BU17" s="54">
        <f>SUM(BU8:BU16)</f>
        <v>624.462588</v>
      </c>
      <c r="BV17" s="38"/>
      <c r="BW17" s="54">
        <f>SUM(BW8:BW16)</f>
        <v>12456.832499999997</v>
      </c>
      <c r="BX17" s="54">
        <f>SUM(BX8:BX16)</f>
        <v>1879.6274999999998</v>
      </c>
      <c r="BY17" s="54">
        <f>SUM(BY8:BY16)</f>
        <v>14336.459999999995</v>
      </c>
      <c r="BZ17" s="54">
        <f>SUM(BZ8:BZ16)</f>
        <v>1490.9167799999998</v>
      </c>
      <c r="CA17" s="54">
        <f>SUM(CA8:CA16)</f>
        <v>164.95686</v>
      </c>
      <c r="CB17" s="38"/>
      <c r="CC17" s="54">
        <f>SUM(CC8:CC16)</f>
        <v>2767854.411</v>
      </c>
      <c r="CD17" s="54">
        <f>SUM(CD8:CD16)</f>
        <v>417645.11699999997</v>
      </c>
      <c r="CE17" s="54">
        <f>SUM(CE8:CE16)</f>
        <v>3185499.528</v>
      </c>
      <c r="CF17" s="54">
        <f>SUM(CF8:CF16)</f>
        <v>331275.272904</v>
      </c>
      <c r="CG17" s="54">
        <f>SUM(CG8:CG16)</f>
        <v>36652.70224800001</v>
      </c>
      <c r="CH17" s="38"/>
      <c r="CI17" s="54">
        <f>SUM(CI8:CI16)</f>
        <v>37965.956000000006</v>
      </c>
      <c r="CJ17" s="54">
        <f>SUM(CJ8:CJ16)</f>
        <v>5728.732000000001</v>
      </c>
      <c r="CK17" s="54">
        <f>SUM(CK8:CK16)</f>
        <v>43694.68800000001</v>
      </c>
      <c r="CL17" s="54">
        <f>SUM(CL8:CL16)</f>
        <v>4544.018784</v>
      </c>
      <c r="CM17" s="54">
        <f>SUM(CM8:CM16)</f>
        <v>502.75580799999994</v>
      </c>
      <c r="CN17" s="38"/>
      <c r="CO17" s="54">
        <f>SUM(CO8:CO16)</f>
        <v>44982.0105</v>
      </c>
      <c r="CP17" s="54">
        <f>SUM(CP8:CP16)</f>
        <v>6787.393499999998</v>
      </c>
      <c r="CQ17" s="54">
        <f>SUM(CQ8:CQ16)</f>
        <v>51769.403999999995</v>
      </c>
      <c r="CR17" s="54">
        <f>SUM(CR8:CR16)</f>
        <v>5383.746972000001</v>
      </c>
      <c r="CS17" s="54">
        <f>SUM(CS8:CS16)</f>
        <v>595.6643640000001</v>
      </c>
      <c r="CT17" s="38"/>
      <c r="CU17" s="54">
        <f>SUM(CU8:CU16)</f>
        <v>536613.6579999999</v>
      </c>
      <c r="CV17" s="54">
        <f>SUM(CV8:CV16)</f>
        <v>80970.326</v>
      </c>
      <c r="CW17" s="54">
        <f>SUM(CW8:CW16)</f>
        <v>617583.9839999999</v>
      </c>
      <c r="CX17" s="54">
        <f>SUM(CX8:CX16)</f>
        <v>64225.500912</v>
      </c>
      <c r="CY17" s="54">
        <f>SUM(CY8:CY16)</f>
        <v>7105.988144000001</v>
      </c>
      <c r="CZ17" s="38"/>
      <c r="DA17" s="54">
        <f>SUM(DA8:DA16)</f>
        <v>48626.4555</v>
      </c>
      <c r="DB17" s="54">
        <f>SUM(DB8:DB16)</f>
        <v>7337.308500000001</v>
      </c>
      <c r="DC17" s="54">
        <f>SUM(DC8:DC16)</f>
        <v>55963.763999999996</v>
      </c>
      <c r="DD17" s="54">
        <f>SUM(DD8:DD16)</f>
        <v>5819.938452000001</v>
      </c>
      <c r="DE17" s="54">
        <f>SUM(DE8:DE16)</f>
        <v>643.9251240000002</v>
      </c>
      <c r="DF17" s="38"/>
      <c r="DG17" s="54">
        <f>SUM(DG8:DG16)</f>
        <v>183273.76200000002</v>
      </c>
      <c r="DH17" s="54">
        <f>SUM(DH8:DH16)</f>
        <v>27654.413999999997</v>
      </c>
      <c r="DI17" s="54">
        <f>SUM(DI8:DI16)</f>
        <v>210928.176</v>
      </c>
      <c r="DJ17" s="54">
        <f>SUM(DJ8:DJ16)</f>
        <v>21935.425968</v>
      </c>
      <c r="DK17" s="54">
        <f>SUM(DK8:DK16)</f>
        <v>2426.9624160000003</v>
      </c>
      <c r="DL17" s="38"/>
      <c r="DM17" s="54">
        <f>SUM(DM8:DM16)</f>
        <v>426676.8835</v>
      </c>
      <c r="DN17" s="54">
        <f>SUM(DN8:DN16)</f>
        <v>64381.8245</v>
      </c>
      <c r="DO17" s="54">
        <f>SUM(DO8:DO16)</f>
        <v>491058.708</v>
      </c>
      <c r="DP17" s="54">
        <f>SUM(DP8:DP16)</f>
        <v>51067.534644</v>
      </c>
      <c r="DQ17" s="54">
        <f>SUM(DQ8:DQ16)</f>
        <v>5650.174628</v>
      </c>
      <c r="DR17" s="38"/>
      <c r="DS17" s="54">
        <f>SUM(DS8:DS16)</f>
        <v>207287.26899999997</v>
      </c>
      <c r="DT17" s="54">
        <f>SUM(DT8:DT16)</f>
        <v>31277.842999999997</v>
      </c>
      <c r="DU17" s="54">
        <f>SUM(DU8:DU16)</f>
        <v>238565.11199999996</v>
      </c>
      <c r="DV17" s="54">
        <f>SUM(DV8:DV16)</f>
        <v>24809.522616000002</v>
      </c>
      <c r="DW17" s="54">
        <f>SUM(DW8:DW16)</f>
        <v>2744.9559919999997</v>
      </c>
      <c r="DX17" s="38"/>
      <c r="DY17" s="54">
        <f>SUM(DY8:DY16)</f>
        <v>35691.663</v>
      </c>
      <c r="DZ17" s="54">
        <f>SUM(DZ8:DZ16)</f>
        <v>5385.561000000001</v>
      </c>
      <c r="EA17" s="54">
        <f>SUM(EA8:EA16)</f>
        <v>41077.224</v>
      </c>
      <c r="EB17" s="54">
        <f>SUM(EB8:EB16)</f>
        <v>4271.816232</v>
      </c>
      <c r="EC17" s="54">
        <f>SUM(EC8:EC16)</f>
        <v>472.6389840000001</v>
      </c>
      <c r="ED17" s="47"/>
      <c r="EE17" s="54">
        <f>SUM(EE8:EE16)</f>
        <v>46011.615999999995</v>
      </c>
      <c r="EF17" s="54">
        <f>SUM(EF8:EF16)</f>
        <v>6942.751999999999</v>
      </c>
      <c r="EG17" s="54">
        <f>SUM(EG8:EG16)</f>
        <v>52954.36799999999</v>
      </c>
      <c r="EH17" s="54">
        <f>SUM(EH8:EH16)</f>
        <v>5506.977024000001</v>
      </c>
      <c r="EI17" s="54">
        <f>SUM(EI8:EI16)</f>
        <v>609.298688</v>
      </c>
      <c r="EJ17" s="38"/>
      <c r="EK17" s="86">
        <f>SUM(EK8:EK16)</f>
        <v>1205656.0914999999</v>
      </c>
      <c r="EL17" s="86">
        <f>SUM(EL8:EL16)</f>
        <v>181923.0005</v>
      </c>
      <c r="EM17" s="86">
        <f>SUM(EM8:EM16)</f>
        <v>1387579.0920000002</v>
      </c>
      <c r="EN17" s="86">
        <f>SUM(EN8:EN16)</f>
        <v>144300.960756</v>
      </c>
      <c r="EO17" s="86">
        <f>SUM(EO8:EO16)</f>
        <v>15965.635171999998</v>
      </c>
      <c r="EP17" s="38"/>
      <c r="EQ17" s="54">
        <f>SUM(EQ8:EQ16)</f>
        <v>302562.62049999996</v>
      </c>
      <c r="ER17" s="54">
        <f>SUM(ER8:ER16)</f>
        <v>45654.0635</v>
      </c>
      <c r="ES17" s="54">
        <f>SUM(ES8:ES16)</f>
        <v>348216.684</v>
      </c>
      <c r="ET17" s="54">
        <f>SUM(ET8:ET16)</f>
        <v>36212.712011999996</v>
      </c>
      <c r="EU17" s="54">
        <f>SUM(EU8:EU16)</f>
        <v>4006.618844</v>
      </c>
      <c r="EV17" s="38"/>
      <c r="EW17" s="54">
        <f>SUM(EW8:EW16)</f>
        <v>441226.78250000003</v>
      </c>
      <c r="EX17" s="54">
        <f>SUM(EX8:EX16)</f>
        <v>66577.2775</v>
      </c>
      <c r="EY17" s="54">
        <f>SUM(EY8:EY16)</f>
        <v>507804.06000000006</v>
      </c>
      <c r="EZ17" s="54">
        <f>SUM(EZ8:EZ16)</f>
        <v>52808.963579999996</v>
      </c>
      <c r="FA17" s="54">
        <f>SUM(FA8:FA16)</f>
        <v>5842.84846</v>
      </c>
      <c r="FB17" s="38"/>
      <c r="FC17" s="54">
        <f>SUM(FC8:FC16)</f>
        <v>135.42200000000003</v>
      </c>
      <c r="FD17" s="54">
        <f>SUM(FD8:FD16)</f>
        <v>20.434</v>
      </c>
      <c r="FE17" s="54">
        <f>SUM(FE8:FE16)</f>
        <v>155.85600000000002</v>
      </c>
      <c r="FF17" s="54">
        <f>SUM(FF8:FF16)</f>
        <v>16.208208</v>
      </c>
      <c r="FG17" s="54">
        <f>SUM(FG8:FG16)</f>
        <v>1.793296</v>
      </c>
      <c r="FH17" s="38"/>
      <c r="FI17" s="54">
        <f>SUM(FI8:FI16)</f>
        <v>290402.52150000003</v>
      </c>
      <c r="FJ17" s="54">
        <f>SUM(FJ8:FJ16)</f>
        <v>43819.2105</v>
      </c>
      <c r="FK17" s="54">
        <f>SUM(FK8:FK16)</f>
        <v>334221.732</v>
      </c>
      <c r="FL17" s="54">
        <f>SUM(FL8:FL16)</f>
        <v>34757.310276000004</v>
      </c>
      <c r="FM17" s="54">
        <f>SUM(FM8:FM16)</f>
        <v>3845.5914120000007</v>
      </c>
      <c r="FN17" s="38"/>
      <c r="FO17" s="54">
        <f>SUM(FO8:FO16)</f>
        <v>361477.165</v>
      </c>
      <c r="FP17" s="54">
        <f>SUM(FP8:FP16)</f>
        <v>54543.755</v>
      </c>
      <c r="FQ17" s="54">
        <f>SUM(FQ8:FQ16)</f>
        <v>416020.9199999999</v>
      </c>
      <c r="FR17" s="54">
        <f>SUM(FR8:FR16)</f>
        <v>43263.997559999996</v>
      </c>
      <c r="FS17" s="54">
        <f>SUM(FS8:FS16)</f>
        <v>4786.78172</v>
      </c>
      <c r="FT17" s="38"/>
      <c r="FU17" s="54">
        <f>SUM(FU8:FU16)</f>
        <v>423544.25399999996</v>
      </c>
      <c r="FV17" s="54">
        <f>SUM(FV8:FV16)</f>
        <v>63909.138000000006</v>
      </c>
      <c r="FW17" s="54">
        <f>SUM(FW8:FW16)</f>
        <v>487453.392</v>
      </c>
      <c r="FX17" s="54">
        <f>SUM(FX8:FX16)</f>
        <v>50692.60065600001</v>
      </c>
      <c r="FY17" s="54">
        <f>SUM(FY8:FY16)</f>
        <v>5608.6914719999995</v>
      </c>
      <c r="FZ17" s="38"/>
      <c r="GA17" s="54">
        <f>SUM(GA8:GA16)</f>
        <v>1351061.4810000001</v>
      </c>
      <c r="GB17" s="54">
        <f>SUM(GB8:GB16)</f>
        <v>203863.407</v>
      </c>
      <c r="GC17" s="54">
        <f>SUM(GC8:GC16)</f>
        <v>1554924.8879999998</v>
      </c>
      <c r="GD17" s="54">
        <f>SUM(GD8:GD16)</f>
        <v>161704.047384</v>
      </c>
      <c r="GE17" s="54">
        <f>SUM(GE8:GE16)</f>
        <v>17891.134007999997</v>
      </c>
      <c r="GF17" s="38"/>
      <c r="GG17" s="54">
        <f>SUM(GG8:GG16)</f>
        <v>2169004.3865</v>
      </c>
      <c r="GH17" s="54">
        <f>SUM(GH8:GH16)</f>
        <v>327283.8655000001</v>
      </c>
      <c r="GI17" s="54">
        <f>SUM(GI8:GI16)</f>
        <v>2496288.2520000003</v>
      </c>
      <c r="GJ17" s="54">
        <f>SUM(GJ8:GJ16)</f>
        <v>259600.908636</v>
      </c>
      <c r="GK17" s="54">
        <f>SUM(GK8:GK16)</f>
        <v>28722.562731999995</v>
      </c>
      <c r="GL17" s="38"/>
      <c r="GM17" s="54">
        <f>SUM(GM8:GM16)</f>
        <v>6500.256</v>
      </c>
      <c r="GN17" s="54">
        <f>SUM(GN8:GN16)</f>
        <v>980.8320000000002</v>
      </c>
      <c r="GO17" s="54">
        <f>SUM(GO8:GO16)</f>
        <v>7481.088</v>
      </c>
      <c r="GP17" s="54">
        <f>SUM(GP8:GP16)</f>
        <v>777.993984</v>
      </c>
      <c r="GQ17" s="54">
        <f>SUM(GQ8:GQ16)</f>
        <v>86.078208</v>
      </c>
      <c r="GR17" s="38"/>
      <c r="GS17" s="54">
        <f>SUM(GS8:GS16)</f>
        <v>35896.7875</v>
      </c>
      <c r="GT17" s="54">
        <f>SUM(GT8:GT16)</f>
        <v>5416.5125</v>
      </c>
      <c r="GU17" s="54">
        <f>SUM(GU8:GU16)</f>
        <v>41313.3</v>
      </c>
      <c r="GV17" s="54">
        <f>SUM(GV8:GV16)</f>
        <v>4296.3669</v>
      </c>
      <c r="GW17" s="54">
        <f>SUM(GW8:GW16)</f>
        <v>475.35530000000006</v>
      </c>
      <c r="GX17" s="38"/>
      <c r="GY17" s="54">
        <f>SUM(GY8:GY16)</f>
        <v>0</v>
      </c>
      <c r="GZ17" s="54">
        <f>SUM(GZ8:GZ16)</f>
        <v>0</v>
      </c>
      <c r="HA17" s="54">
        <f>SUM(HA8:HA16)</f>
        <v>0</v>
      </c>
      <c r="HB17" s="47"/>
      <c r="HC17" s="47"/>
      <c r="HD17" s="38"/>
      <c r="HE17" s="38"/>
      <c r="HF17" s="38"/>
      <c r="HG17" s="38"/>
      <c r="HH17" s="38"/>
      <c r="HI17" s="38"/>
      <c r="HJ17" s="38"/>
      <c r="HK17" s="38"/>
      <c r="HL17" s="38"/>
      <c r="HM17" s="38"/>
      <c r="HN17" s="38"/>
      <c r="HO17" s="38"/>
      <c r="HP17" s="38"/>
      <c r="HQ17" s="38"/>
      <c r="HR17" s="38"/>
      <c r="HS17" s="38"/>
      <c r="HT17" s="38"/>
      <c r="HU17" s="38"/>
    </row>
    <row r="18" spans="141:145" ht="13.5" thickTop="1">
      <c r="EK18" s="87"/>
      <c r="EL18" s="87"/>
      <c r="EM18" s="87"/>
      <c r="EN18" s="87"/>
      <c r="EO18" s="87"/>
    </row>
    <row r="19" spans="3:27" ht="12.75">
      <c r="C19" s="38">
        <f>I17+O17</f>
        <v>19915000</v>
      </c>
      <c r="D19" s="38">
        <f>J17+P17</f>
        <v>3005000</v>
      </c>
      <c r="F19" s="38">
        <f>L17+R17</f>
        <v>2383560</v>
      </c>
      <c r="G19" s="38">
        <f>M17+S17</f>
        <v>263720</v>
      </c>
      <c r="U19" s="38"/>
      <c r="AA19" s="38"/>
    </row>
  </sheetData>
  <sheetProtection/>
  <printOptions/>
  <pageMargins left="0.75" right="0.75" top="1" bottom="1" header="0.3" footer="0.3"/>
  <pageSetup orientation="portrait" paperSize="3"/>
</worksheet>
</file>

<file path=xl/worksheets/sheet4.xml><?xml version="1.0" encoding="utf-8"?>
<worksheet xmlns="http://schemas.openxmlformats.org/spreadsheetml/2006/main" xmlns:r="http://schemas.openxmlformats.org/officeDocument/2006/relationships">
  <dimension ref="A1:HC17"/>
  <sheetViews>
    <sheetView zoomScale="159" zoomScaleNormal="159" zoomScalePageLayoutView="0" workbookViewId="0" topLeftCell="A1">
      <selection activeCell="D22" sqref="D22"/>
    </sheetView>
  </sheetViews>
  <sheetFormatPr defaultColWidth="8.8515625" defaultRowHeight="12.75"/>
  <cols>
    <col min="1" max="1" width="9.7109375" style="22" customWidth="1"/>
    <col min="2" max="2" width="3.7109375" style="38" customWidth="1"/>
    <col min="3" max="6" width="13.7109375" style="0" customWidth="1"/>
    <col min="7" max="7" width="17.421875" style="0" customWidth="1"/>
    <col min="8" max="8" width="3.7109375" style="0" customWidth="1"/>
    <col min="9" max="12" width="13.7109375" style="0" customWidth="1"/>
    <col min="13" max="13" width="16.7109375" style="0" customWidth="1"/>
    <col min="14" max="14" width="3.7109375" style="0" customWidth="1"/>
    <col min="15" max="18" width="13.7109375" style="23" customWidth="1"/>
    <col min="19" max="19" width="15.8515625" style="23" customWidth="1"/>
    <col min="20" max="20" width="3.7109375" style="23" customWidth="1"/>
    <col min="21" max="24" width="13.7109375" style="23" customWidth="1"/>
    <col min="25" max="25" width="15.421875" style="23" customWidth="1"/>
    <col min="26" max="26" width="3.7109375" style="23" customWidth="1"/>
    <col min="27" max="30" width="13.7109375" style="23" customWidth="1"/>
    <col min="31" max="31" width="16.140625" style="23" customWidth="1"/>
    <col min="32" max="32" width="3.7109375" style="23" customWidth="1"/>
    <col min="33" max="36" width="13.7109375" style="23" customWidth="1"/>
    <col min="37" max="37" width="15.8515625" style="23" customWidth="1"/>
    <col min="38" max="38" width="3.7109375" style="23" customWidth="1"/>
    <col min="39" max="42" width="13.7109375" style="23" customWidth="1"/>
    <col min="43" max="43" width="15.7109375" style="23" customWidth="1"/>
    <col min="44" max="44" width="3.7109375" style="23" customWidth="1"/>
    <col min="45" max="48" width="13.7109375" style="23" customWidth="1"/>
    <col min="49" max="49" width="15.421875" style="23" customWidth="1"/>
    <col min="50" max="50" width="3.7109375" style="23" customWidth="1"/>
    <col min="51" max="54" width="13.7109375" style="23" customWidth="1"/>
    <col min="55" max="55" width="16.421875" style="23" customWidth="1"/>
    <col min="56" max="56" width="3.7109375" style="23" customWidth="1"/>
    <col min="57" max="60" width="13.7109375" style="23" customWidth="1"/>
    <col min="61" max="61" width="16.8515625" style="23" customWidth="1"/>
    <col min="62" max="62" width="3.7109375" style="23" customWidth="1"/>
    <col min="63" max="66" width="13.7109375" style="23" customWidth="1"/>
    <col min="67" max="67" width="16.421875" style="23" customWidth="1"/>
    <col min="68" max="68" width="3.7109375" style="23" customWidth="1"/>
    <col min="69" max="72" width="13.7109375" style="23" customWidth="1"/>
    <col min="73" max="73" width="15.8515625" style="23" customWidth="1"/>
    <col min="74" max="74" width="3.7109375" style="23" customWidth="1"/>
    <col min="75" max="78" width="13.7109375" style="23" customWidth="1"/>
    <col min="79" max="79" width="17.28125" style="23" customWidth="1"/>
    <col min="80" max="80" width="3.7109375" style="23" customWidth="1"/>
    <col min="81" max="84" width="13.7109375" style="23" customWidth="1"/>
    <col min="85" max="85" width="16.421875" style="23" customWidth="1"/>
    <col min="86" max="86" width="3.7109375" style="23" customWidth="1"/>
    <col min="87" max="90" width="13.7109375" style="23" customWidth="1"/>
    <col min="91" max="91" width="15.7109375" style="23" customWidth="1"/>
    <col min="92" max="92" width="3.7109375" style="23" customWidth="1"/>
    <col min="93" max="96" width="13.7109375" style="23" customWidth="1"/>
    <col min="97" max="97" width="16.00390625" style="23" customWidth="1"/>
    <col min="98" max="98" width="3.7109375" style="23" customWidth="1"/>
    <col min="99" max="102" width="13.7109375" style="23" customWidth="1"/>
    <col min="103" max="103" width="16.00390625" style="23" customWidth="1"/>
    <col min="104" max="104" width="3.7109375" style="23" customWidth="1"/>
    <col min="105" max="108" width="13.7109375" style="23" customWidth="1"/>
    <col min="109" max="109" width="16.8515625" style="23" customWidth="1"/>
    <col min="110" max="110" width="3.7109375" style="23" customWidth="1"/>
    <col min="111" max="114" width="13.7109375" style="23" customWidth="1"/>
    <col min="115" max="115" width="16.140625" style="23" customWidth="1"/>
    <col min="116" max="116" width="3.7109375" style="23" customWidth="1"/>
    <col min="117" max="120" width="13.7109375" style="23" customWidth="1"/>
    <col min="121" max="121" width="15.7109375" style="23" customWidth="1"/>
    <col min="122" max="122" width="3.7109375" style="23" customWidth="1"/>
    <col min="123" max="126" width="13.7109375" style="23" customWidth="1"/>
    <col min="127" max="127" width="16.140625" style="23" customWidth="1"/>
    <col min="128" max="128" width="3.7109375" style="23" customWidth="1"/>
    <col min="129" max="132" width="13.7109375" style="23" customWidth="1"/>
    <col min="133" max="133" width="15.421875" style="23" customWidth="1"/>
    <col min="134" max="134" width="3.7109375" style="23" customWidth="1"/>
    <col min="135" max="138" width="13.7109375" style="23" customWidth="1"/>
    <col min="139" max="139" width="15.421875" style="23" customWidth="1"/>
    <col min="140" max="140" width="3.7109375" style="23" customWidth="1"/>
    <col min="141" max="144" width="13.7109375" style="23" customWidth="1"/>
    <col min="145" max="145" width="16.7109375" style="23" customWidth="1"/>
    <col min="146" max="146" width="3.7109375" style="23" customWidth="1"/>
    <col min="147" max="150" width="13.7109375" style="23" customWidth="1"/>
    <col min="151" max="151" width="15.7109375" style="23" customWidth="1"/>
    <col min="152" max="152" width="3.7109375" style="23" customWidth="1"/>
    <col min="153" max="156" width="13.7109375" style="23" customWidth="1"/>
    <col min="157" max="157" width="16.28125" style="23" customWidth="1"/>
    <col min="158" max="158" width="3.7109375" style="23" customWidth="1"/>
    <col min="159" max="162" width="13.7109375" style="23" customWidth="1"/>
    <col min="163" max="163" width="15.8515625" style="23" customWidth="1"/>
    <col min="164" max="164" width="3.7109375" style="23" customWidth="1"/>
    <col min="165" max="168" width="13.7109375" style="23" customWidth="1"/>
    <col min="169" max="169" width="17.421875" style="23" customWidth="1"/>
    <col min="170" max="170" width="3.7109375" style="23" customWidth="1"/>
    <col min="171" max="174" width="13.7109375" style="23" customWidth="1"/>
    <col min="175" max="175" width="15.421875" style="23" customWidth="1"/>
    <col min="176" max="176" width="3.7109375" style="23" customWidth="1"/>
    <col min="177" max="180" width="13.7109375" style="23" customWidth="1"/>
    <col min="181" max="181" width="15.7109375" style="23" customWidth="1"/>
    <col min="182" max="182" width="3.7109375" style="23" customWidth="1"/>
    <col min="183" max="186" width="13.7109375" style="23" customWidth="1"/>
    <col min="187" max="187" width="15.8515625" style="23" customWidth="1"/>
    <col min="188" max="188" width="3.7109375" style="23" customWidth="1"/>
    <col min="189" max="192" width="13.7109375" style="23" customWidth="1"/>
    <col min="193" max="193" width="16.421875" style="23" customWidth="1"/>
    <col min="194" max="194" width="3.7109375" style="23" customWidth="1"/>
  </cols>
  <sheetData>
    <row r="1" spans="1:194" ht="12.75">
      <c r="A1" s="49"/>
      <c r="B1" s="33"/>
      <c r="C1" s="48"/>
      <c r="D1" s="50"/>
      <c r="E1" s="41"/>
      <c r="F1" s="38"/>
      <c r="G1" s="50"/>
      <c r="H1" s="38"/>
      <c r="I1" s="38"/>
      <c r="J1" s="38"/>
      <c r="K1" s="48"/>
      <c r="L1" s="50" t="s">
        <v>24</v>
      </c>
      <c r="M1" s="41"/>
      <c r="N1" s="38"/>
      <c r="O1" s="50"/>
      <c r="P1" s="38"/>
      <c r="Q1" s="38"/>
      <c r="R1" s="38"/>
      <c r="S1" s="50"/>
      <c r="T1" s="50"/>
      <c r="U1" s="41"/>
      <c r="V1" s="38"/>
      <c r="W1" s="48"/>
      <c r="X1" s="50" t="s">
        <v>24</v>
      </c>
      <c r="Y1"/>
      <c r="Z1" s="38"/>
      <c r="AA1"/>
      <c r="AB1"/>
      <c r="AC1"/>
      <c r="AD1" s="38"/>
      <c r="AE1" s="50"/>
      <c r="AF1" s="24"/>
      <c r="AH1" s="38"/>
      <c r="AI1" s="48"/>
      <c r="AJ1" s="50" t="s">
        <v>24</v>
      </c>
      <c r="AL1" s="38"/>
      <c r="AP1" s="38"/>
      <c r="AQ1" s="50"/>
      <c r="AR1" s="24"/>
      <c r="AT1" s="38"/>
      <c r="AU1" s="48"/>
      <c r="AV1" s="50" t="s">
        <v>24</v>
      </c>
      <c r="AX1" s="38"/>
      <c r="BB1" s="38"/>
      <c r="BC1" s="50"/>
      <c r="BD1" s="24"/>
      <c r="BF1" s="38"/>
      <c r="BG1" s="48"/>
      <c r="BH1" s="50" t="s">
        <v>24</v>
      </c>
      <c r="BJ1" s="38"/>
      <c r="BK1" s="50"/>
      <c r="BN1" s="38"/>
      <c r="BO1" s="50"/>
      <c r="BR1" s="38"/>
      <c r="BS1" s="48"/>
      <c r="BT1" s="50" t="s">
        <v>24</v>
      </c>
      <c r="BV1" s="38"/>
      <c r="BZ1" s="38"/>
      <c r="CA1" s="50"/>
      <c r="CD1" s="38"/>
      <c r="CE1" s="48"/>
      <c r="CF1" s="50" t="s">
        <v>24</v>
      </c>
      <c r="CH1" s="38"/>
      <c r="CL1" s="38"/>
      <c r="CM1" s="50"/>
      <c r="CP1" s="38"/>
      <c r="CQ1" s="48"/>
      <c r="CR1" s="50" t="s">
        <v>24</v>
      </c>
      <c r="CT1" s="38"/>
      <c r="CV1" s="24"/>
      <c r="CX1" s="38"/>
      <c r="CY1" s="50"/>
      <c r="DB1" s="38"/>
      <c r="DC1" s="48"/>
      <c r="DD1" s="50" t="s">
        <v>24</v>
      </c>
      <c r="DF1" s="38"/>
      <c r="DG1" s="50"/>
      <c r="DJ1" s="38"/>
      <c r="DK1" s="50"/>
      <c r="DN1" s="38"/>
      <c r="DO1" s="48"/>
      <c r="DP1" s="50" t="s">
        <v>24</v>
      </c>
      <c r="DR1" s="38"/>
      <c r="DS1" s="50"/>
      <c r="DV1" s="38"/>
      <c r="DW1" s="50"/>
      <c r="DZ1" s="38"/>
      <c r="EA1" s="48"/>
      <c r="EB1" s="50" t="s">
        <v>24</v>
      </c>
      <c r="ED1" s="38"/>
      <c r="EH1" s="38"/>
      <c r="EI1" s="50"/>
      <c r="EL1" s="38"/>
      <c r="EM1" s="48"/>
      <c r="EN1" s="50" t="s">
        <v>24</v>
      </c>
      <c r="EP1" s="38"/>
      <c r="ET1" s="38"/>
      <c r="EU1" s="50"/>
      <c r="EX1"/>
      <c r="EY1" s="48"/>
      <c r="EZ1" s="50" t="s">
        <v>24</v>
      </c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</row>
    <row r="2" spans="1:194" ht="12.75">
      <c r="A2" s="49"/>
      <c r="B2" s="33"/>
      <c r="C2" s="48"/>
      <c r="D2" s="50"/>
      <c r="E2" s="41"/>
      <c r="F2" s="38"/>
      <c r="G2" s="50"/>
      <c r="H2" s="38"/>
      <c r="I2" s="38"/>
      <c r="J2" s="38"/>
      <c r="K2" s="50" t="s">
        <v>194</v>
      </c>
      <c r="L2" s="38"/>
      <c r="M2" s="41"/>
      <c r="N2" s="38"/>
      <c r="O2" s="50"/>
      <c r="P2" s="38"/>
      <c r="Q2" s="38"/>
      <c r="R2" s="38"/>
      <c r="S2" s="50"/>
      <c r="T2" s="50"/>
      <c r="U2" s="41"/>
      <c r="V2" s="38"/>
      <c r="W2" s="50" t="str">
        <f>K2</f>
        <v>         Distribution of Debt Services after 2017B Bond Issue</v>
      </c>
      <c r="X2" s="38"/>
      <c r="Y2"/>
      <c r="Z2" s="38"/>
      <c r="AA2"/>
      <c r="AB2"/>
      <c r="AC2"/>
      <c r="AD2" s="38"/>
      <c r="AE2" s="50"/>
      <c r="AF2" s="24"/>
      <c r="AH2" s="38"/>
      <c r="AI2" s="50" t="str">
        <f>W2</f>
        <v>         Distribution of Debt Services after 2017B Bond Issue</v>
      </c>
      <c r="AJ2" s="38"/>
      <c r="AL2" s="38"/>
      <c r="AP2" s="38"/>
      <c r="AQ2" s="50"/>
      <c r="AR2" s="24"/>
      <c r="AT2" s="38"/>
      <c r="AU2" s="50" t="str">
        <f>AI2</f>
        <v>         Distribution of Debt Services after 2017B Bond Issue</v>
      </c>
      <c r="AV2" s="38"/>
      <c r="AX2" s="38"/>
      <c r="BB2" s="38"/>
      <c r="BC2" s="50"/>
      <c r="BD2" s="24"/>
      <c r="BF2" s="38"/>
      <c r="BG2" s="50" t="str">
        <f>AU2</f>
        <v>         Distribution of Debt Services after 2017B Bond Issue</v>
      </c>
      <c r="BH2" s="38"/>
      <c r="BJ2" s="38"/>
      <c r="BK2" s="50"/>
      <c r="BN2" s="38"/>
      <c r="BO2" s="50"/>
      <c r="BR2" s="38"/>
      <c r="BS2" s="50" t="str">
        <f>BG2</f>
        <v>         Distribution of Debt Services after 2017B Bond Issue</v>
      </c>
      <c r="BT2" s="38"/>
      <c r="BV2" s="38"/>
      <c r="BZ2" s="38"/>
      <c r="CA2" s="50"/>
      <c r="CD2" s="38"/>
      <c r="CE2" s="50" t="str">
        <f>BS2</f>
        <v>         Distribution of Debt Services after 2017B Bond Issue</v>
      </c>
      <c r="CF2" s="38"/>
      <c r="CH2" s="38"/>
      <c r="CL2" s="38"/>
      <c r="CM2" s="50"/>
      <c r="CP2" s="38"/>
      <c r="CQ2" s="50" t="str">
        <f>CE2</f>
        <v>         Distribution of Debt Services after 2017B Bond Issue</v>
      </c>
      <c r="CR2" s="38"/>
      <c r="CT2" s="38"/>
      <c r="CV2" s="24"/>
      <c r="CX2" s="38"/>
      <c r="CY2" s="50"/>
      <c r="DB2" s="38"/>
      <c r="DC2" s="50" t="str">
        <f>CQ2</f>
        <v>         Distribution of Debt Services after 2017B Bond Issue</v>
      </c>
      <c r="DD2" s="38"/>
      <c r="DF2" s="38"/>
      <c r="DG2" s="50"/>
      <c r="DJ2" s="38"/>
      <c r="DK2" s="50"/>
      <c r="DN2" s="38"/>
      <c r="DO2" s="50" t="str">
        <f>DC2</f>
        <v>         Distribution of Debt Services after 2017B Bond Issue</v>
      </c>
      <c r="DP2" s="38"/>
      <c r="DR2" s="38"/>
      <c r="DS2" s="50"/>
      <c r="DV2" s="38"/>
      <c r="DW2" s="50"/>
      <c r="DZ2" s="38"/>
      <c r="EA2" s="50" t="str">
        <f>DO2</f>
        <v>         Distribution of Debt Services after 2017B Bond Issue</v>
      </c>
      <c r="EB2" s="38"/>
      <c r="ED2" s="38"/>
      <c r="EH2" s="38"/>
      <c r="EI2" s="50"/>
      <c r="EL2" s="38"/>
      <c r="EM2" s="50" t="str">
        <f>EA2</f>
        <v>         Distribution of Debt Services after 2017B Bond Issue</v>
      </c>
      <c r="EN2" s="38"/>
      <c r="EP2" s="38"/>
      <c r="ET2" s="38"/>
      <c r="EU2" s="50"/>
      <c r="EX2"/>
      <c r="EY2" s="50" t="str">
        <f>EM2</f>
        <v>         Distribution of Debt Services after 2017B Bond Issue</v>
      </c>
      <c r="EZ2" s="38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</row>
    <row r="3" spans="1:194" ht="12.75">
      <c r="A3" s="49"/>
      <c r="B3" s="33"/>
      <c r="C3" s="48"/>
      <c r="D3" s="48"/>
      <c r="E3" s="41"/>
      <c r="F3" s="38"/>
      <c r="G3" s="50"/>
      <c r="H3" s="38"/>
      <c r="I3" s="38"/>
      <c r="J3" s="38"/>
      <c r="K3" s="48"/>
      <c r="L3" s="50" t="s">
        <v>85</v>
      </c>
      <c r="M3" s="41"/>
      <c r="N3" s="38"/>
      <c r="O3" s="50"/>
      <c r="P3" s="38"/>
      <c r="Q3" s="38"/>
      <c r="R3" s="38"/>
      <c r="S3" s="50"/>
      <c r="T3" s="48"/>
      <c r="U3" s="41"/>
      <c r="V3" s="38"/>
      <c r="W3" s="48"/>
      <c r="X3" s="50" t="s">
        <v>85</v>
      </c>
      <c r="Y3"/>
      <c r="Z3" s="38"/>
      <c r="AA3"/>
      <c r="AB3"/>
      <c r="AC3"/>
      <c r="AD3" s="38"/>
      <c r="AE3" s="50"/>
      <c r="AH3" s="38"/>
      <c r="AI3" s="48"/>
      <c r="AJ3" s="50" t="s">
        <v>85</v>
      </c>
      <c r="AL3" s="38"/>
      <c r="AP3" s="38"/>
      <c r="AQ3" s="50"/>
      <c r="AT3" s="38"/>
      <c r="AU3" s="48"/>
      <c r="AV3" s="50" t="s">
        <v>85</v>
      </c>
      <c r="AX3" s="38"/>
      <c r="BB3" s="38"/>
      <c r="BC3" s="50"/>
      <c r="BF3" s="38"/>
      <c r="BG3" s="48"/>
      <c r="BH3" s="50" t="s">
        <v>85</v>
      </c>
      <c r="BJ3" s="38"/>
      <c r="BK3" s="50"/>
      <c r="BN3" s="38"/>
      <c r="BO3" s="50"/>
      <c r="BR3" s="38"/>
      <c r="BS3" s="48"/>
      <c r="BT3" s="50" t="s">
        <v>85</v>
      </c>
      <c r="BV3" s="38"/>
      <c r="BZ3" s="38"/>
      <c r="CA3" s="50"/>
      <c r="CD3" s="38"/>
      <c r="CE3" s="48"/>
      <c r="CF3" s="50" t="s">
        <v>85</v>
      </c>
      <c r="CH3" s="38"/>
      <c r="CL3" s="38"/>
      <c r="CM3" s="50"/>
      <c r="CP3" s="38"/>
      <c r="CQ3" s="48"/>
      <c r="CR3" s="50" t="s">
        <v>85</v>
      </c>
      <c r="CT3" s="38"/>
      <c r="CX3" s="38"/>
      <c r="CY3" s="50"/>
      <c r="DB3" s="38"/>
      <c r="DC3" s="48"/>
      <c r="DD3" s="50" t="s">
        <v>85</v>
      </c>
      <c r="DF3" s="38"/>
      <c r="DG3" s="50"/>
      <c r="DJ3" s="38"/>
      <c r="DK3" s="50"/>
      <c r="DN3" s="38"/>
      <c r="DO3" s="48"/>
      <c r="DP3" s="50" t="s">
        <v>85</v>
      </c>
      <c r="DR3" s="38"/>
      <c r="DS3" s="50"/>
      <c r="DV3" s="38"/>
      <c r="DW3" s="50"/>
      <c r="DZ3" s="38"/>
      <c r="EA3" s="48"/>
      <c r="EB3" s="50" t="s">
        <v>85</v>
      </c>
      <c r="ED3" s="38"/>
      <c r="EH3" s="38"/>
      <c r="EI3" s="50"/>
      <c r="EL3" s="38"/>
      <c r="EM3" s="48"/>
      <c r="EN3" s="50" t="s">
        <v>85</v>
      </c>
      <c r="EP3" s="38"/>
      <c r="ET3" s="38"/>
      <c r="EU3" s="50"/>
      <c r="EX3"/>
      <c r="EY3" s="48"/>
      <c r="EZ3" s="50" t="s">
        <v>85</v>
      </c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</row>
    <row r="4" spans="1:148" ht="12.75">
      <c r="A4" s="49"/>
      <c r="P4" s="24"/>
      <c r="V4" s="24"/>
      <c r="AH4" s="24"/>
      <c r="AZ4" s="24"/>
      <c r="DN4" s="24"/>
      <c r="ER4" s="24"/>
    </row>
    <row r="5" spans="1:194" ht="12.75">
      <c r="A5" s="25" t="s">
        <v>13</v>
      </c>
      <c r="C5" s="42" t="s">
        <v>86</v>
      </c>
      <c r="D5" s="43"/>
      <c r="E5" s="44"/>
      <c r="F5" s="46"/>
      <c r="G5" s="46"/>
      <c r="I5" s="26" t="s">
        <v>147</v>
      </c>
      <c r="J5" s="27"/>
      <c r="K5" s="28"/>
      <c r="L5" s="46"/>
      <c r="M5" s="46"/>
      <c r="O5" s="26" t="s">
        <v>149</v>
      </c>
      <c r="P5" s="27"/>
      <c r="Q5" s="28"/>
      <c r="R5" s="46"/>
      <c r="S5" s="46"/>
      <c r="U5" s="26" t="s">
        <v>151</v>
      </c>
      <c r="V5" s="27"/>
      <c r="W5" s="28"/>
      <c r="X5" s="46"/>
      <c r="Y5" s="46"/>
      <c r="AA5" s="26" t="s">
        <v>153</v>
      </c>
      <c r="AB5" s="27"/>
      <c r="AC5" s="28"/>
      <c r="AD5" s="46"/>
      <c r="AE5" s="46"/>
      <c r="AG5" s="26" t="s">
        <v>155</v>
      </c>
      <c r="AH5" s="27"/>
      <c r="AI5" s="28"/>
      <c r="AJ5" s="46"/>
      <c r="AK5" s="46"/>
      <c r="AL5" s="34"/>
      <c r="AM5" s="26" t="s">
        <v>156</v>
      </c>
      <c r="AN5" s="27"/>
      <c r="AO5" s="28"/>
      <c r="AP5" s="46"/>
      <c r="AQ5" s="46"/>
      <c r="AR5" s="34"/>
      <c r="AS5" s="26" t="s">
        <v>157</v>
      </c>
      <c r="AT5" s="27"/>
      <c r="AU5" s="28"/>
      <c r="AV5" s="46"/>
      <c r="AW5" s="46"/>
      <c r="AX5" s="34"/>
      <c r="AY5" s="26" t="s">
        <v>158</v>
      </c>
      <c r="AZ5" s="27"/>
      <c r="BA5" s="28"/>
      <c r="BB5" s="46"/>
      <c r="BC5" s="46"/>
      <c r="BD5" s="34"/>
      <c r="BE5" s="26" t="s">
        <v>159</v>
      </c>
      <c r="BF5" s="27"/>
      <c r="BG5" s="28"/>
      <c r="BH5" s="46"/>
      <c r="BI5" s="46"/>
      <c r="BJ5" s="34"/>
      <c r="BK5" s="26" t="s">
        <v>160</v>
      </c>
      <c r="BL5" s="27"/>
      <c r="BM5" s="28"/>
      <c r="BN5" s="46"/>
      <c r="BO5" s="46"/>
      <c r="BQ5" s="26" t="s">
        <v>161</v>
      </c>
      <c r="BR5" s="27"/>
      <c r="BS5" s="28"/>
      <c r="BT5" s="46"/>
      <c r="BU5" s="46"/>
      <c r="BW5" s="26" t="s">
        <v>162</v>
      </c>
      <c r="BX5" s="27"/>
      <c r="BY5" s="28"/>
      <c r="BZ5" s="46"/>
      <c r="CA5" s="46"/>
      <c r="CC5" s="26" t="s">
        <v>163</v>
      </c>
      <c r="CD5" s="27"/>
      <c r="CE5" s="28"/>
      <c r="CF5" s="46"/>
      <c r="CG5" s="46"/>
      <c r="CI5" s="26" t="s">
        <v>185</v>
      </c>
      <c r="CJ5" s="27"/>
      <c r="CK5" s="28"/>
      <c r="CL5" s="46"/>
      <c r="CM5" s="46"/>
      <c r="CO5" s="61" t="s">
        <v>165</v>
      </c>
      <c r="CP5" s="27"/>
      <c r="CQ5" s="28"/>
      <c r="CR5" s="46"/>
      <c r="CS5" s="46"/>
      <c r="CU5" s="26" t="s">
        <v>167</v>
      </c>
      <c r="CV5" s="27"/>
      <c r="CW5" s="28"/>
      <c r="CX5" s="46"/>
      <c r="CY5" s="46"/>
      <c r="DA5" s="26" t="s">
        <v>166</v>
      </c>
      <c r="DB5" s="27"/>
      <c r="DC5" s="28"/>
      <c r="DD5" s="46"/>
      <c r="DE5" s="46"/>
      <c r="DG5" s="26" t="s">
        <v>168</v>
      </c>
      <c r="DH5" s="27"/>
      <c r="DI5" s="28"/>
      <c r="DJ5" s="46"/>
      <c r="DK5" s="46"/>
      <c r="DM5" s="61" t="s">
        <v>169</v>
      </c>
      <c r="DN5" s="27"/>
      <c r="DO5" s="28"/>
      <c r="DP5" s="46"/>
      <c r="DQ5" s="46"/>
      <c r="DR5" s="34"/>
      <c r="DS5" s="26" t="s">
        <v>170</v>
      </c>
      <c r="DT5" s="27"/>
      <c r="DU5" s="28"/>
      <c r="DV5" s="46"/>
      <c r="DW5" s="46"/>
      <c r="DY5" s="26" t="s">
        <v>171</v>
      </c>
      <c r="DZ5" s="27"/>
      <c r="EA5" s="28"/>
      <c r="EB5" s="46"/>
      <c r="EC5" s="46"/>
      <c r="EE5" s="26" t="s">
        <v>172</v>
      </c>
      <c r="EF5" s="27"/>
      <c r="EG5" s="28"/>
      <c r="EH5" s="46"/>
      <c r="EI5" s="46"/>
      <c r="EJ5" s="34"/>
      <c r="EK5" s="26" t="s">
        <v>186</v>
      </c>
      <c r="EL5" s="27"/>
      <c r="EM5" s="28"/>
      <c r="EN5" s="46"/>
      <c r="EO5" s="46"/>
      <c r="EP5" s="34"/>
      <c r="EQ5" s="26" t="s">
        <v>174</v>
      </c>
      <c r="ER5" s="27"/>
      <c r="ES5" s="28"/>
      <c r="ET5" s="46"/>
      <c r="EU5" s="46"/>
      <c r="EV5" s="34"/>
      <c r="EW5" s="26" t="s">
        <v>175</v>
      </c>
      <c r="EX5" s="27"/>
      <c r="EY5" s="28"/>
      <c r="EZ5" s="46"/>
      <c r="FA5" s="46"/>
      <c r="FB5" s="34"/>
      <c r="FC5" s="26" t="s">
        <v>176</v>
      </c>
      <c r="FD5" s="27"/>
      <c r="FE5" s="28"/>
      <c r="FF5" s="46"/>
      <c r="FG5" s="46"/>
      <c r="FH5" s="34"/>
      <c r="FI5" s="26" t="s">
        <v>177</v>
      </c>
      <c r="FJ5" s="27"/>
      <c r="FK5" s="28"/>
      <c r="FL5" s="46"/>
      <c r="FM5" s="46"/>
      <c r="FN5" s="34"/>
      <c r="FO5" s="26" t="s">
        <v>178</v>
      </c>
      <c r="FP5" s="27"/>
      <c r="FQ5" s="28"/>
      <c r="FR5" s="46"/>
      <c r="FS5" s="46"/>
      <c r="FT5" s="34"/>
      <c r="FU5" s="26" t="s">
        <v>179</v>
      </c>
      <c r="FV5" s="27"/>
      <c r="FW5" s="28"/>
      <c r="FX5" s="46"/>
      <c r="FY5" s="46"/>
      <c r="FZ5" s="34"/>
      <c r="GA5" s="26" t="s">
        <v>180</v>
      </c>
      <c r="GB5" s="27"/>
      <c r="GC5" s="28"/>
      <c r="GD5" s="46"/>
      <c r="GE5" s="46"/>
      <c r="GF5" s="34"/>
      <c r="GG5" s="26" t="s">
        <v>187</v>
      </c>
      <c r="GH5" s="27"/>
      <c r="GI5" s="28"/>
      <c r="GJ5" s="46"/>
      <c r="GK5" s="46"/>
      <c r="GL5" s="34"/>
    </row>
    <row r="6" spans="1:194" s="13" customFormat="1" ht="12.75">
      <c r="A6" s="51" t="s">
        <v>14</v>
      </c>
      <c r="B6" s="38"/>
      <c r="C6" s="45"/>
      <c r="D6" s="58">
        <v>0.17740910000000007</v>
      </c>
      <c r="E6" s="44"/>
      <c r="F6" s="46" t="s">
        <v>182</v>
      </c>
      <c r="G6" s="46" t="s">
        <v>182</v>
      </c>
      <c r="I6" s="16" t="s">
        <v>148</v>
      </c>
      <c r="J6" s="37">
        <v>0.0071293</v>
      </c>
      <c r="K6" s="53"/>
      <c r="L6" s="46" t="s">
        <v>182</v>
      </c>
      <c r="M6" s="46" t="s">
        <v>182</v>
      </c>
      <c r="O6" s="16" t="s">
        <v>150</v>
      </c>
      <c r="P6" s="37">
        <v>0.0230884</v>
      </c>
      <c r="Q6" s="53"/>
      <c r="R6" s="46" t="s">
        <v>182</v>
      </c>
      <c r="S6" s="46" t="s">
        <v>182</v>
      </c>
      <c r="U6" s="16" t="s">
        <v>152</v>
      </c>
      <c r="V6" s="37">
        <v>0.0013209</v>
      </c>
      <c r="W6" s="53"/>
      <c r="X6" s="46" t="s">
        <v>182</v>
      </c>
      <c r="Y6" s="46" t="s">
        <v>182</v>
      </c>
      <c r="AA6" s="16" t="s">
        <v>154</v>
      </c>
      <c r="AB6" s="37">
        <v>0.0051261</v>
      </c>
      <c r="AC6" s="53"/>
      <c r="AD6" s="46" t="s">
        <v>182</v>
      </c>
      <c r="AE6" s="46" t="s">
        <v>182</v>
      </c>
      <c r="AG6" s="52"/>
      <c r="AH6" s="37">
        <v>0.0132841</v>
      </c>
      <c r="AI6" s="53"/>
      <c r="AJ6" s="46" t="s">
        <v>182</v>
      </c>
      <c r="AK6" s="46" t="s">
        <v>182</v>
      </c>
      <c r="AL6" s="31"/>
      <c r="AM6" s="52"/>
      <c r="AN6" s="37">
        <v>0.0030359</v>
      </c>
      <c r="AO6" s="53"/>
      <c r="AP6" s="46" t="s">
        <v>182</v>
      </c>
      <c r="AQ6" s="46" t="s">
        <v>182</v>
      </c>
      <c r="AR6" s="31"/>
      <c r="AS6" s="52"/>
      <c r="AT6" s="37">
        <v>0.0395322</v>
      </c>
      <c r="AU6" s="53"/>
      <c r="AV6" s="46" t="s">
        <v>182</v>
      </c>
      <c r="AW6" s="46" t="s">
        <v>182</v>
      </c>
      <c r="AX6" s="31"/>
      <c r="AY6" s="52"/>
      <c r="AZ6" s="37">
        <v>0.0012272</v>
      </c>
      <c r="BA6" s="53"/>
      <c r="BB6" s="46" t="s">
        <v>182</v>
      </c>
      <c r="BC6" s="46" t="s">
        <v>182</v>
      </c>
      <c r="BD6" s="31"/>
      <c r="BE6" s="52"/>
      <c r="BF6" s="37">
        <v>0.0015937</v>
      </c>
      <c r="BG6" s="53"/>
      <c r="BH6" s="46" t="s">
        <v>182</v>
      </c>
      <c r="BI6" s="46" t="s">
        <v>182</v>
      </c>
      <c r="BJ6" s="31"/>
      <c r="BK6" s="52"/>
      <c r="BL6" s="37">
        <v>5.49E-05</v>
      </c>
      <c r="BM6" s="53"/>
      <c r="BN6" s="46" t="s">
        <v>182</v>
      </c>
      <c r="BO6" s="46" t="s">
        <v>182</v>
      </c>
      <c r="BQ6" s="52"/>
      <c r="BR6" s="37">
        <v>6.03E-05</v>
      </c>
      <c r="BS6" s="53"/>
      <c r="BT6" s="46" t="s">
        <v>182</v>
      </c>
      <c r="BU6" s="46" t="s">
        <v>182</v>
      </c>
      <c r="BW6" s="52"/>
      <c r="BX6" s="37">
        <v>0.005086</v>
      </c>
      <c r="BY6" s="53"/>
      <c r="BZ6" s="46" t="s">
        <v>182</v>
      </c>
      <c r="CA6" s="46" t="s">
        <v>182</v>
      </c>
      <c r="CC6" s="52"/>
      <c r="CD6" s="37">
        <v>0.0004093</v>
      </c>
      <c r="CE6" s="53"/>
      <c r="CF6" s="46" t="s">
        <v>182</v>
      </c>
      <c r="CG6" s="46" t="s">
        <v>182</v>
      </c>
      <c r="CI6" s="52"/>
      <c r="CJ6" s="37">
        <v>0.000464</v>
      </c>
      <c r="CK6" s="53"/>
      <c r="CL6" s="46" t="s">
        <v>182</v>
      </c>
      <c r="CM6" s="46" t="s">
        <v>182</v>
      </c>
      <c r="CO6" s="52"/>
      <c r="CP6" s="37">
        <v>0.0100903</v>
      </c>
      <c r="CQ6" s="53"/>
      <c r="CR6" s="46" t="s">
        <v>182</v>
      </c>
      <c r="CS6" s="46" t="s">
        <v>182</v>
      </c>
      <c r="CU6" s="52"/>
      <c r="CV6" s="37">
        <v>0.0062968</v>
      </c>
      <c r="CW6" s="53"/>
      <c r="CX6" s="46" t="s">
        <v>182</v>
      </c>
      <c r="CY6" s="46" t="s">
        <v>182</v>
      </c>
      <c r="DA6" s="52"/>
      <c r="DB6" s="37">
        <v>0.000199</v>
      </c>
      <c r="DC6" s="53"/>
      <c r="DD6" s="46" t="s">
        <v>182</v>
      </c>
      <c r="DE6" s="46" t="s">
        <v>182</v>
      </c>
      <c r="DG6" s="52"/>
      <c r="DH6" s="37">
        <v>0.000862</v>
      </c>
      <c r="DI6" s="53"/>
      <c r="DJ6" s="46" t="s">
        <v>182</v>
      </c>
      <c r="DK6" s="46" t="s">
        <v>182</v>
      </c>
      <c r="DM6" s="52"/>
      <c r="DN6" s="37">
        <v>0.0011413</v>
      </c>
      <c r="DO6" s="53"/>
      <c r="DP6" s="46" t="s">
        <v>182</v>
      </c>
      <c r="DQ6" s="46" t="s">
        <v>182</v>
      </c>
      <c r="DR6" s="31"/>
      <c r="DS6" s="52"/>
      <c r="DT6" s="37">
        <v>0.0068315</v>
      </c>
      <c r="DU6" s="53"/>
      <c r="DV6" s="46" t="s">
        <v>182</v>
      </c>
      <c r="DW6" s="46" t="s">
        <v>182</v>
      </c>
      <c r="DY6" s="52"/>
      <c r="DZ6" s="37">
        <v>0.0017145</v>
      </c>
      <c r="EA6" s="53"/>
      <c r="EB6" s="46" t="s">
        <v>182</v>
      </c>
      <c r="EC6" s="46" t="s">
        <v>182</v>
      </c>
      <c r="EE6" s="52"/>
      <c r="EF6" s="37">
        <v>0.0045461</v>
      </c>
      <c r="EG6" s="53"/>
      <c r="EH6" s="46" t="s">
        <v>182</v>
      </c>
      <c r="EI6" s="46" t="s">
        <v>182</v>
      </c>
      <c r="EJ6" s="31"/>
      <c r="EK6" s="52"/>
      <c r="EL6" s="37">
        <v>8.96E-05</v>
      </c>
      <c r="EM6" s="53"/>
      <c r="EN6" s="46" t="s">
        <v>182</v>
      </c>
      <c r="EO6" s="46" t="s">
        <v>182</v>
      </c>
      <c r="EP6" s="31"/>
      <c r="EQ6" s="52"/>
      <c r="ER6" s="37">
        <v>0.0026891</v>
      </c>
      <c r="ES6" s="53"/>
      <c r="ET6" s="46" t="s">
        <v>182</v>
      </c>
      <c r="EU6" s="46" t="s">
        <v>182</v>
      </c>
      <c r="EV6" s="31"/>
      <c r="EW6" s="52"/>
      <c r="EX6" s="37">
        <v>0.0072217</v>
      </c>
      <c r="EY6" s="53"/>
      <c r="EZ6" s="46" t="s">
        <v>182</v>
      </c>
      <c r="FA6" s="46" t="s">
        <v>182</v>
      </c>
      <c r="FB6" s="31"/>
      <c r="FC6" s="52"/>
      <c r="FD6" s="37">
        <v>0.0027764</v>
      </c>
      <c r="FE6" s="53"/>
      <c r="FF6" s="46" t="s">
        <v>182</v>
      </c>
      <c r="FG6" s="46" t="s">
        <v>182</v>
      </c>
      <c r="FH6" s="31"/>
      <c r="FI6" s="52"/>
      <c r="FJ6" s="37">
        <v>0.0196383</v>
      </c>
      <c r="FK6" s="53"/>
      <c r="FL6" s="46" t="s">
        <v>182</v>
      </c>
      <c r="FM6" s="46" t="s">
        <v>182</v>
      </c>
      <c r="FN6" s="31"/>
      <c r="FO6" s="52"/>
      <c r="FP6" s="37">
        <v>0.0066515</v>
      </c>
      <c r="FQ6" s="53"/>
      <c r="FR6" s="46" t="s">
        <v>182</v>
      </c>
      <c r="FS6" s="46" t="s">
        <v>182</v>
      </c>
      <c r="FT6" s="31"/>
      <c r="FU6" s="52"/>
      <c r="FV6" s="37">
        <v>0.0014374</v>
      </c>
      <c r="FW6" s="53"/>
      <c r="FX6" s="46" t="s">
        <v>182</v>
      </c>
      <c r="FY6" s="46" t="s">
        <v>182</v>
      </c>
      <c r="FZ6" s="31"/>
      <c r="GA6" s="52"/>
      <c r="GB6" s="37">
        <v>0.0037906</v>
      </c>
      <c r="GC6" s="53"/>
      <c r="GD6" s="46" t="s">
        <v>182</v>
      </c>
      <c r="GE6" s="46" t="s">
        <v>182</v>
      </c>
      <c r="GF6" s="31"/>
      <c r="GG6" s="52"/>
      <c r="GH6" s="37">
        <v>2.07E-05</v>
      </c>
      <c r="GI6" s="53"/>
      <c r="GJ6" s="46" t="s">
        <v>182</v>
      </c>
      <c r="GK6" s="46" t="s">
        <v>182</v>
      </c>
      <c r="GL6" s="31"/>
    </row>
    <row r="7" spans="1:194" ht="12.75">
      <c r="A7" s="29"/>
      <c r="C7" s="46" t="s">
        <v>15</v>
      </c>
      <c r="D7" s="46" t="s">
        <v>16</v>
      </c>
      <c r="E7" s="46" t="s">
        <v>4</v>
      </c>
      <c r="F7" s="46" t="s">
        <v>183</v>
      </c>
      <c r="G7" s="46" t="s">
        <v>184</v>
      </c>
      <c r="I7" s="30" t="s">
        <v>15</v>
      </c>
      <c r="J7" s="30" t="s">
        <v>16</v>
      </c>
      <c r="K7" s="30" t="s">
        <v>4</v>
      </c>
      <c r="L7" s="46" t="s">
        <v>183</v>
      </c>
      <c r="M7" s="46" t="s">
        <v>184</v>
      </c>
      <c r="O7" s="30" t="s">
        <v>15</v>
      </c>
      <c r="P7" s="30" t="s">
        <v>16</v>
      </c>
      <c r="Q7" s="30" t="s">
        <v>4</v>
      </c>
      <c r="R7" s="46" t="s">
        <v>183</v>
      </c>
      <c r="S7" s="46" t="s">
        <v>184</v>
      </c>
      <c r="U7" s="30" t="s">
        <v>15</v>
      </c>
      <c r="V7" s="30" t="s">
        <v>16</v>
      </c>
      <c r="W7" s="30" t="s">
        <v>4</v>
      </c>
      <c r="X7" s="46" t="s">
        <v>183</v>
      </c>
      <c r="Y7" s="46" t="s">
        <v>184</v>
      </c>
      <c r="AA7" s="30" t="s">
        <v>15</v>
      </c>
      <c r="AB7" s="30" t="s">
        <v>16</v>
      </c>
      <c r="AC7" s="30" t="s">
        <v>4</v>
      </c>
      <c r="AD7" s="46" t="s">
        <v>183</v>
      </c>
      <c r="AE7" s="46" t="s">
        <v>184</v>
      </c>
      <c r="AG7" s="30" t="s">
        <v>15</v>
      </c>
      <c r="AH7" s="30" t="s">
        <v>16</v>
      </c>
      <c r="AI7" s="30" t="s">
        <v>4</v>
      </c>
      <c r="AJ7" s="46" t="s">
        <v>183</v>
      </c>
      <c r="AK7" s="46" t="s">
        <v>184</v>
      </c>
      <c r="AL7" s="35"/>
      <c r="AM7" s="30" t="s">
        <v>15</v>
      </c>
      <c r="AN7" s="30" t="s">
        <v>16</v>
      </c>
      <c r="AO7" s="30" t="s">
        <v>4</v>
      </c>
      <c r="AP7" s="46" t="s">
        <v>183</v>
      </c>
      <c r="AQ7" s="46" t="s">
        <v>184</v>
      </c>
      <c r="AR7" s="35"/>
      <c r="AS7" s="30" t="s">
        <v>15</v>
      </c>
      <c r="AT7" s="30" t="s">
        <v>16</v>
      </c>
      <c r="AU7" s="30" t="s">
        <v>4</v>
      </c>
      <c r="AV7" s="46" t="s">
        <v>183</v>
      </c>
      <c r="AW7" s="46" t="s">
        <v>184</v>
      </c>
      <c r="AX7" s="35"/>
      <c r="AY7" s="30" t="s">
        <v>15</v>
      </c>
      <c r="AZ7" s="30" t="s">
        <v>16</v>
      </c>
      <c r="BA7" s="30" t="s">
        <v>4</v>
      </c>
      <c r="BB7" s="46" t="s">
        <v>183</v>
      </c>
      <c r="BC7" s="46" t="s">
        <v>184</v>
      </c>
      <c r="BD7" s="35"/>
      <c r="BE7" s="30" t="s">
        <v>15</v>
      </c>
      <c r="BF7" s="30" t="s">
        <v>16</v>
      </c>
      <c r="BG7" s="30" t="s">
        <v>4</v>
      </c>
      <c r="BH7" s="46" t="s">
        <v>183</v>
      </c>
      <c r="BI7" s="46" t="s">
        <v>184</v>
      </c>
      <c r="BJ7" s="35"/>
      <c r="BK7" s="30" t="s">
        <v>15</v>
      </c>
      <c r="BL7" s="30" t="s">
        <v>16</v>
      </c>
      <c r="BM7" s="30" t="s">
        <v>4</v>
      </c>
      <c r="BN7" s="46" t="s">
        <v>183</v>
      </c>
      <c r="BO7" s="46" t="s">
        <v>184</v>
      </c>
      <c r="BQ7" s="30" t="s">
        <v>15</v>
      </c>
      <c r="BR7" s="30" t="s">
        <v>16</v>
      </c>
      <c r="BS7" s="30" t="s">
        <v>4</v>
      </c>
      <c r="BT7" s="46" t="s">
        <v>183</v>
      </c>
      <c r="BU7" s="46" t="s">
        <v>184</v>
      </c>
      <c r="BW7" s="30" t="s">
        <v>15</v>
      </c>
      <c r="BX7" s="30" t="s">
        <v>16</v>
      </c>
      <c r="BY7" s="30" t="s">
        <v>4</v>
      </c>
      <c r="BZ7" s="46" t="s">
        <v>183</v>
      </c>
      <c r="CA7" s="46" t="s">
        <v>184</v>
      </c>
      <c r="CC7" s="30" t="s">
        <v>15</v>
      </c>
      <c r="CD7" s="30" t="s">
        <v>16</v>
      </c>
      <c r="CE7" s="30" t="s">
        <v>4</v>
      </c>
      <c r="CF7" s="46" t="s">
        <v>183</v>
      </c>
      <c r="CG7" s="46" t="s">
        <v>184</v>
      </c>
      <c r="CI7" s="30" t="s">
        <v>15</v>
      </c>
      <c r="CJ7" s="30" t="s">
        <v>16</v>
      </c>
      <c r="CK7" s="30" t="s">
        <v>4</v>
      </c>
      <c r="CL7" s="46" t="s">
        <v>183</v>
      </c>
      <c r="CM7" s="46" t="s">
        <v>184</v>
      </c>
      <c r="CO7" s="30" t="s">
        <v>15</v>
      </c>
      <c r="CP7" s="30" t="s">
        <v>16</v>
      </c>
      <c r="CQ7" s="30" t="s">
        <v>4</v>
      </c>
      <c r="CR7" s="46" t="s">
        <v>183</v>
      </c>
      <c r="CS7" s="46" t="s">
        <v>184</v>
      </c>
      <c r="CU7" s="30" t="s">
        <v>15</v>
      </c>
      <c r="CV7" s="30" t="s">
        <v>16</v>
      </c>
      <c r="CW7" s="30" t="s">
        <v>4</v>
      </c>
      <c r="CX7" s="46" t="s">
        <v>183</v>
      </c>
      <c r="CY7" s="46" t="s">
        <v>184</v>
      </c>
      <c r="DA7" s="30" t="s">
        <v>15</v>
      </c>
      <c r="DB7" s="30" t="s">
        <v>16</v>
      </c>
      <c r="DC7" s="30" t="s">
        <v>4</v>
      </c>
      <c r="DD7" s="46" t="s">
        <v>183</v>
      </c>
      <c r="DE7" s="46" t="s">
        <v>184</v>
      </c>
      <c r="DG7" s="30" t="s">
        <v>15</v>
      </c>
      <c r="DH7" s="30" t="s">
        <v>16</v>
      </c>
      <c r="DI7" s="30" t="s">
        <v>4</v>
      </c>
      <c r="DJ7" s="46" t="s">
        <v>183</v>
      </c>
      <c r="DK7" s="46" t="s">
        <v>184</v>
      </c>
      <c r="DM7" s="30" t="s">
        <v>15</v>
      </c>
      <c r="DN7" s="30" t="s">
        <v>16</v>
      </c>
      <c r="DO7" s="30" t="s">
        <v>4</v>
      </c>
      <c r="DP7" s="46" t="s">
        <v>183</v>
      </c>
      <c r="DQ7" s="46" t="s">
        <v>184</v>
      </c>
      <c r="DR7" s="35"/>
      <c r="DS7" s="30" t="s">
        <v>15</v>
      </c>
      <c r="DT7" s="30" t="s">
        <v>16</v>
      </c>
      <c r="DU7" s="30" t="s">
        <v>4</v>
      </c>
      <c r="DV7" s="46" t="s">
        <v>183</v>
      </c>
      <c r="DW7" s="46" t="s">
        <v>184</v>
      </c>
      <c r="DY7" s="30" t="s">
        <v>15</v>
      </c>
      <c r="DZ7" s="30" t="s">
        <v>16</v>
      </c>
      <c r="EA7" s="30" t="s">
        <v>4</v>
      </c>
      <c r="EB7" s="46" t="s">
        <v>183</v>
      </c>
      <c r="EC7" s="46" t="s">
        <v>184</v>
      </c>
      <c r="EE7" s="30" t="s">
        <v>15</v>
      </c>
      <c r="EF7" s="30" t="s">
        <v>16</v>
      </c>
      <c r="EG7" s="30" t="s">
        <v>4</v>
      </c>
      <c r="EH7" s="46" t="s">
        <v>183</v>
      </c>
      <c r="EI7" s="46" t="s">
        <v>184</v>
      </c>
      <c r="EJ7" s="35"/>
      <c r="EK7" s="30" t="s">
        <v>15</v>
      </c>
      <c r="EL7" s="30" t="s">
        <v>16</v>
      </c>
      <c r="EM7" s="30" t="s">
        <v>4</v>
      </c>
      <c r="EN7" s="46" t="s">
        <v>183</v>
      </c>
      <c r="EO7" s="46" t="s">
        <v>184</v>
      </c>
      <c r="EP7" s="35"/>
      <c r="EQ7" s="30" t="s">
        <v>15</v>
      </c>
      <c r="ER7" s="30" t="s">
        <v>16</v>
      </c>
      <c r="ES7" s="30" t="s">
        <v>4</v>
      </c>
      <c r="ET7" s="46" t="s">
        <v>183</v>
      </c>
      <c r="EU7" s="46" t="s">
        <v>184</v>
      </c>
      <c r="EV7" s="35"/>
      <c r="EW7" s="30" t="s">
        <v>15</v>
      </c>
      <c r="EX7" s="30" t="s">
        <v>16</v>
      </c>
      <c r="EY7" s="30" t="s">
        <v>4</v>
      </c>
      <c r="EZ7" s="46" t="s">
        <v>183</v>
      </c>
      <c r="FA7" s="46" t="s">
        <v>184</v>
      </c>
      <c r="FB7" s="35"/>
      <c r="FC7" s="30" t="s">
        <v>15</v>
      </c>
      <c r="FD7" s="30" t="s">
        <v>16</v>
      </c>
      <c r="FE7" s="30" t="s">
        <v>4</v>
      </c>
      <c r="FF7" s="46" t="s">
        <v>183</v>
      </c>
      <c r="FG7" s="46" t="s">
        <v>184</v>
      </c>
      <c r="FH7" s="35"/>
      <c r="FI7" s="30" t="s">
        <v>15</v>
      </c>
      <c r="FJ7" s="30" t="s">
        <v>16</v>
      </c>
      <c r="FK7" s="30" t="s">
        <v>4</v>
      </c>
      <c r="FL7" s="46" t="s">
        <v>183</v>
      </c>
      <c r="FM7" s="46" t="s">
        <v>184</v>
      </c>
      <c r="FN7" s="35"/>
      <c r="FO7" s="30" t="s">
        <v>15</v>
      </c>
      <c r="FP7" s="30" t="s">
        <v>16</v>
      </c>
      <c r="FQ7" s="30" t="s">
        <v>4</v>
      </c>
      <c r="FR7" s="46" t="s">
        <v>183</v>
      </c>
      <c r="FS7" s="46" t="s">
        <v>184</v>
      </c>
      <c r="FT7" s="35"/>
      <c r="FU7" s="30" t="s">
        <v>15</v>
      </c>
      <c r="FV7" s="30" t="s">
        <v>16</v>
      </c>
      <c r="FW7" s="30" t="s">
        <v>4</v>
      </c>
      <c r="FX7" s="46" t="s">
        <v>183</v>
      </c>
      <c r="FY7" s="46" t="s">
        <v>184</v>
      </c>
      <c r="FZ7" s="35"/>
      <c r="GA7" s="30" t="s">
        <v>15</v>
      </c>
      <c r="GB7" s="30" t="s">
        <v>16</v>
      </c>
      <c r="GC7" s="30" t="s">
        <v>4</v>
      </c>
      <c r="GD7" s="46" t="s">
        <v>183</v>
      </c>
      <c r="GE7" s="46" t="s">
        <v>184</v>
      </c>
      <c r="GF7" s="35"/>
      <c r="GG7" s="30" t="s">
        <v>15</v>
      </c>
      <c r="GH7" s="30" t="s">
        <v>16</v>
      </c>
      <c r="GI7" s="30" t="s">
        <v>4</v>
      </c>
      <c r="GJ7" s="46" t="s">
        <v>183</v>
      </c>
      <c r="GK7" s="46" t="s">
        <v>184</v>
      </c>
      <c r="GL7" s="35"/>
    </row>
    <row r="8" spans="1:211" s="57" customFormat="1" ht="12.75">
      <c r="A8" s="56">
        <v>43739</v>
      </c>
      <c r="B8" s="55"/>
      <c r="C8" s="38">
        <f aca="true" t="shared" si="0" ref="C8:G15">I8+O8+U8+AA8+AG8+AM8+AS8+AY8+BE8+BK8+BQ8+BW8+CC8+CI8+CO8+CU8+DA8+DG8+DM8+DS8+DY8+EE8+EK8+EQ8+EW8+FC8+FI8+FO8+FU8+GA8+GG8</f>
        <v>0</v>
      </c>
      <c r="D8" s="38">
        <f t="shared" si="0"/>
        <v>88327.5556625</v>
      </c>
      <c r="E8" s="38">
        <f aca="true" t="shared" si="1" ref="E8:E15">C8+D8</f>
        <v>88327.5556625</v>
      </c>
      <c r="F8" s="38">
        <f t="shared" si="0"/>
        <v>52858.15429949999</v>
      </c>
      <c r="G8" s="38">
        <f t="shared" si="0"/>
        <v>5848.290981499999</v>
      </c>
      <c r="I8" s="38">
        <f>J$6*'2017B'!$C8</f>
        <v>0</v>
      </c>
      <c r="J8" s="38">
        <f>J$6*'2017B'!$D8</f>
        <v>3549.5002375</v>
      </c>
      <c r="K8" s="38">
        <f aca="true" t="shared" si="2" ref="K8:K15">I8+J8</f>
        <v>3549.5002375</v>
      </c>
      <c r="L8" s="38">
        <f>J$6*'2017B'!$F8</f>
        <v>2124.1392885</v>
      </c>
      <c r="M8" s="38">
        <f>J$6*'2017B'!$G8</f>
        <v>235.0173745</v>
      </c>
      <c r="O8" s="38">
        <f>P$6*'2017B'!$C8</f>
        <v>0</v>
      </c>
      <c r="P8" s="38">
        <f>P$6*'2017B'!$D8</f>
        <v>11495.137149999999</v>
      </c>
      <c r="Q8" s="38">
        <f aca="true" t="shared" si="3" ref="Q8:Q15">O8+P8</f>
        <v>11495.137149999999</v>
      </c>
      <c r="R8" s="38">
        <f>P$6*'2017B'!$F8</f>
        <v>6879.073337999999</v>
      </c>
      <c r="S8" s="38">
        <f>P$6*'2017B'!$G8</f>
        <v>761.109106</v>
      </c>
      <c r="T8" s="55"/>
      <c r="U8" s="38">
        <f>V$6*'2017B'!$C8</f>
        <v>0</v>
      </c>
      <c r="V8" s="38">
        <f>V$6*'2017B'!$D8</f>
        <v>657.6430875</v>
      </c>
      <c r="W8" s="38">
        <f aca="true" t="shared" si="4" ref="W8:W15">U8+V8</f>
        <v>657.6430875</v>
      </c>
      <c r="X8" s="38">
        <f>V$6*'2017B'!$F8</f>
        <v>393.55555050000004</v>
      </c>
      <c r="Y8" s="38">
        <f>V$6*'2017B'!$G8</f>
        <v>43.5434685</v>
      </c>
      <c r="Z8" s="55"/>
      <c r="AA8" s="38">
        <f>AB$6*'2017B'!$C8</f>
        <v>0</v>
      </c>
      <c r="AB8" s="38">
        <f>AB$6*'2017B'!$D8</f>
        <v>2552.1570374999997</v>
      </c>
      <c r="AC8" s="38">
        <f aca="true" t="shared" si="5" ref="AC8:AC15">AA8+AB8</f>
        <v>2552.1570374999997</v>
      </c>
      <c r="AD8" s="38">
        <f>AB$6*'2017B'!$F8</f>
        <v>1527.2958644999999</v>
      </c>
      <c r="AE8" s="38">
        <f>AB$6*'2017B'!$G8</f>
        <v>168.9818865</v>
      </c>
      <c r="AF8" s="55"/>
      <c r="AG8" s="38">
        <f>AH$6*'2017B'!$C8</f>
        <v>0</v>
      </c>
      <c r="AH8" s="38">
        <f>AH$6*'2017B'!$D8</f>
        <v>6613.8212875</v>
      </c>
      <c r="AI8" s="38">
        <f aca="true" t="shared" si="6" ref="AI8:AI15">AG8+AH8</f>
        <v>6613.8212875</v>
      </c>
      <c r="AJ8" s="38">
        <f>AH$6*'2017B'!$F8</f>
        <v>3957.9311745</v>
      </c>
      <c r="AK8" s="38">
        <f>AH$6*'2017B'!$G8</f>
        <v>437.9103565</v>
      </c>
      <c r="AL8" s="55"/>
      <c r="AM8" s="38">
        <f>AN$6*'2017B'!$C8</f>
        <v>0</v>
      </c>
      <c r="AN8" s="38">
        <f>AN$6*'2017B'!$D8</f>
        <v>1511.4987125</v>
      </c>
      <c r="AO8" s="38">
        <f aca="true" t="shared" si="7" ref="AO8:AO15">AM8+AN8</f>
        <v>1511.4987125</v>
      </c>
      <c r="AP8" s="38">
        <f>AN$6*'2017B'!$F8</f>
        <v>904.5312254999999</v>
      </c>
      <c r="AQ8" s="38">
        <f>AN$6*'2017B'!$G8</f>
        <v>100.07844349999999</v>
      </c>
      <c r="AR8" s="55"/>
      <c r="AS8" s="38">
        <f>AT$6*'2017B'!$C8</f>
        <v>0</v>
      </c>
      <c r="AT8" s="38">
        <f>AT$6*'2017B'!$D8</f>
        <v>19682.094075</v>
      </c>
      <c r="AU8" s="38">
        <f aca="true" t="shared" si="8" ref="AU8:AU15">AS8+AT8</f>
        <v>19682.094075</v>
      </c>
      <c r="AV8" s="38">
        <f>AT$6*'2017B'!$F8</f>
        <v>11778.421329</v>
      </c>
      <c r="AW8" s="38">
        <f>AT$6*'2017B'!$G8</f>
        <v>1303.178973</v>
      </c>
      <c r="AX8" s="55"/>
      <c r="AY8" s="38">
        <f>AZ$6*'2017B'!$C8</f>
        <v>0</v>
      </c>
      <c r="AZ8" s="38">
        <f>AZ$6*'2017B'!$D8</f>
        <v>610.9921999999999</v>
      </c>
      <c r="BA8" s="38">
        <f aca="true" t="shared" si="9" ref="BA8:BA15">AY8+AZ8</f>
        <v>610.9921999999999</v>
      </c>
      <c r="BB8" s="38">
        <f>AZ$6*'2017B'!$F8</f>
        <v>365.638104</v>
      </c>
      <c r="BC8" s="38">
        <f>AZ$6*'2017B'!$G8</f>
        <v>40.454648</v>
      </c>
      <c r="BD8" s="55"/>
      <c r="BE8" s="38">
        <f>BF$6*'2017B'!$C8</f>
        <v>0</v>
      </c>
      <c r="BF8" s="38">
        <f>BF$6*'2017B'!$D8</f>
        <v>793.4633875</v>
      </c>
      <c r="BG8" s="38">
        <f aca="true" t="shared" si="10" ref="BG8:BG15">BE8+BF8</f>
        <v>793.4633875</v>
      </c>
      <c r="BH8" s="38">
        <f>BF$6*'2017B'!$F8</f>
        <v>474.8349465</v>
      </c>
      <c r="BI8" s="38">
        <f>BF$6*'2017B'!$G8</f>
        <v>52.5363205</v>
      </c>
      <c r="BJ8" s="55"/>
      <c r="BK8" s="38">
        <f>BL$6*'2017B'!$C8</f>
        <v>0</v>
      </c>
      <c r="BL8" s="38">
        <f>BL$6*'2017B'!$D8</f>
        <v>27.3333375</v>
      </c>
      <c r="BM8" s="38">
        <f aca="true" t="shared" si="11" ref="BM8:BM15">BK8+BL8</f>
        <v>27.3333375</v>
      </c>
      <c r="BN8" s="38">
        <f>BL$6*'2017B'!$F8</f>
        <v>16.3571805</v>
      </c>
      <c r="BO8" s="38">
        <f>BL$6*'2017B'!$G8</f>
        <v>1.8097785</v>
      </c>
      <c r="BP8" s="55"/>
      <c r="BQ8" s="38">
        <f>BR$6*'2017B'!$C8</f>
        <v>0</v>
      </c>
      <c r="BR8" s="38">
        <f>BR$6*'2017B'!$D8</f>
        <v>30.0218625</v>
      </c>
      <c r="BS8" s="38">
        <f aca="true" t="shared" si="12" ref="BS8:BS15">BQ8+BR8</f>
        <v>30.0218625</v>
      </c>
      <c r="BT8" s="38">
        <f>BR$6*'2017B'!$F8</f>
        <v>17.9660835</v>
      </c>
      <c r="BU8" s="38">
        <f>BR$6*'2017B'!$G8</f>
        <v>1.9877895</v>
      </c>
      <c r="BV8" s="55"/>
      <c r="BW8" s="38">
        <f>BX$6*'2017B'!$C8</f>
        <v>0</v>
      </c>
      <c r="BX8" s="38">
        <f>BX$6*'2017B'!$D8</f>
        <v>2532.19225</v>
      </c>
      <c r="BY8" s="38">
        <f aca="true" t="shared" si="13" ref="BY8:BY15">BW8+BX8</f>
        <v>2532.19225</v>
      </c>
      <c r="BZ8" s="38">
        <f>BX$6*'2017B'!$F8</f>
        <v>1515.3482700000002</v>
      </c>
      <c r="CA8" s="38">
        <f>BX$6*'2017B'!$G8</f>
        <v>167.65999000000002</v>
      </c>
      <c r="CB8" s="55"/>
      <c r="CC8" s="38">
        <f>CD$6*'2017B'!$C8</f>
        <v>0</v>
      </c>
      <c r="CD8" s="38">
        <f>CD$6*'2017B'!$D8</f>
        <v>203.7802375</v>
      </c>
      <c r="CE8" s="38">
        <f aca="true" t="shared" si="14" ref="CE8:CE15">CC8+CD8</f>
        <v>203.7802375</v>
      </c>
      <c r="CF8" s="38">
        <f>CD$6*'2017B'!$F8</f>
        <v>121.9488885</v>
      </c>
      <c r="CG8" s="38">
        <f>CD$6*'2017B'!$G8</f>
        <v>13.4925745</v>
      </c>
      <c r="CH8" s="55"/>
      <c r="CI8" s="38">
        <f>CJ$6*'2017B'!$C8</f>
        <v>0</v>
      </c>
      <c r="CJ8" s="38">
        <f>CJ$6*'2017B'!$D8</f>
        <v>231.014</v>
      </c>
      <c r="CK8" s="38">
        <f aca="true" t="shared" si="15" ref="CK8:CK15">CI8+CJ8</f>
        <v>231.014</v>
      </c>
      <c r="CL8" s="38">
        <f>CJ$6*'2017B'!$F8</f>
        <v>138.24648</v>
      </c>
      <c r="CM8" s="38">
        <f>CJ$6*'2017B'!$G8</f>
        <v>15.29576</v>
      </c>
      <c r="CN8" s="55"/>
      <c r="CO8" s="38">
        <f>CP$6*'2017B'!$C8</f>
        <v>0</v>
      </c>
      <c r="CP8" s="38">
        <f>CP$6*'2017B'!$D8</f>
        <v>5023.7081125</v>
      </c>
      <c r="CQ8" s="38">
        <f aca="true" t="shared" si="16" ref="CQ8:CQ15">CO8+CP8</f>
        <v>5023.7081125</v>
      </c>
      <c r="CR8" s="38">
        <f>CP$6*'2017B'!$F8</f>
        <v>3006.3544335</v>
      </c>
      <c r="CS8" s="38">
        <f>CP$6*'2017B'!$G8</f>
        <v>332.6267395</v>
      </c>
      <c r="CT8" s="55"/>
      <c r="CU8" s="38">
        <f>CV$6*'2017B'!$C8</f>
        <v>0</v>
      </c>
      <c r="CV8" s="38">
        <f>CV$6*'2017B'!$D8</f>
        <v>3135.0193</v>
      </c>
      <c r="CW8" s="38">
        <f aca="true" t="shared" si="17" ref="CW8:CW15">CU8+CV8</f>
        <v>3135.0193</v>
      </c>
      <c r="CX8" s="38">
        <f>CV$6*'2017B'!$F8</f>
        <v>1876.100076</v>
      </c>
      <c r="CY8" s="38">
        <f>CV$6*'2017B'!$G8</f>
        <v>207.574012</v>
      </c>
      <c r="CZ8" s="55"/>
      <c r="DA8" s="38">
        <f>DB$6*'2017B'!$C8</f>
        <v>0</v>
      </c>
      <c r="DB8" s="38">
        <f>DB$6*'2017B'!$D8</f>
        <v>99.07712500000001</v>
      </c>
      <c r="DC8" s="38">
        <f aca="true" t="shared" si="18" ref="DC8:DC15">DA8+DB8</f>
        <v>99.07712500000001</v>
      </c>
      <c r="DD8" s="38">
        <f>DB$6*'2017B'!$F8</f>
        <v>59.29105500000001</v>
      </c>
      <c r="DE8" s="38">
        <f>DB$6*'2017B'!$G8</f>
        <v>6.560035</v>
      </c>
      <c r="DF8" s="55"/>
      <c r="DG8" s="38">
        <f>DH$6*'2017B'!$C8</f>
        <v>0</v>
      </c>
      <c r="DH8" s="38">
        <f>DH$6*'2017B'!$D8</f>
        <v>429.16825</v>
      </c>
      <c r="DI8" s="38">
        <f aca="true" t="shared" si="19" ref="DI8:DI15">DG8+DH8</f>
        <v>429.16825</v>
      </c>
      <c r="DJ8" s="38">
        <f>DH$6*'2017B'!$F8</f>
        <v>256.82859</v>
      </c>
      <c r="DK8" s="38">
        <f>DH$6*'2017B'!$G8</f>
        <v>28.41583</v>
      </c>
      <c r="DL8" s="55"/>
      <c r="DM8" s="38">
        <f>DN$6*'2017B'!$C8</f>
        <v>0</v>
      </c>
      <c r="DN8" s="38">
        <f>DN$6*'2017B'!$D8</f>
        <v>568.2247375000001</v>
      </c>
      <c r="DO8" s="38">
        <f aca="true" t="shared" si="20" ref="DO8:DO15">DM8+DN8</f>
        <v>568.2247375000001</v>
      </c>
      <c r="DP8" s="38">
        <f>DN$6*'2017B'!$F8</f>
        <v>340.0446285</v>
      </c>
      <c r="DQ8" s="38">
        <f>DN$6*'2017B'!$G8</f>
        <v>37.6229545</v>
      </c>
      <c r="DR8" s="55"/>
      <c r="DS8" s="38">
        <f>DT$6*'2017B'!$C8</f>
        <v>0</v>
      </c>
      <c r="DT8" s="38">
        <f>DT$6*'2017B'!$D8</f>
        <v>3401.2330625</v>
      </c>
      <c r="DU8" s="38">
        <f aca="true" t="shared" si="21" ref="DU8:DU15">DS8+DT8</f>
        <v>3401.2330625</v>
      </c>
      <c r="DV8" s="38">
        <f>DT$6*'2017B'!$F8</f>
        <v>2035.4112675</v>
      </c>
      <c r="DW8" s="38">
        <f>DT$6*'2017B'!$G8</f>
        <v>225.2003975</v>
      </c>
      <c r="DX8" s="55"/>
      <c r="DY8" s="38">
        <f>DZ$6*'2017B'!$C8</f>
        <v>0</v>
      </c>
      <c r="DZ8" s="38">
        <f>DZ$6*'2017B'!$D8</f>
        <v>853.6066875</v>
      </c>
      <c r="EA8" s="38">
        <f aca="true" t="shared" si="22" ref="EA8:EA15">DY8+DZ8</f>
        <v>853.6066875</v>
      </c>
      <c r="EB8" s="38">
        <f>DZ$6*'2017B'!$F8</f>
        <v>510.8267025</v>
      </c>
      <c r="EC8" s="38">
        <f>DZ$6*'2017B'!$G8</f>
        <v>56.5184925</v>
      </c>
      <c r="ED8" s="55"/>
      <c r="EE8" s="38">
        <f>EF$6*'2017B'!$C8</f>
        <v>0</v>
      </c>
      <c r="EF8" s="38">
        <f>EF$6*'2017B'!$D8</f>
        <v>2263.3895375</v>
      </c>
      <c r="EG8" s="38">
        <f aca="true" t="shared" si="23" ref="EG8:EG15">EE8+EF8</f>
        <v>2263.3895375</v>
      </c>
      <c r="EH8" s="38">
        <f>EF$6*'2017B'!$F8</f>
        <v>1354.4877645</v>
      </c>
      <c r="EI8" s="38">
        <f>EF$6*'2017B'!$G8</f>
        <v>149.8621865</v>
      </c>
      <c r="EJ8" s="55"/>
      <c r="EK8" s="38">
        <f>EL$6*'2017B'!$C8</f>
        <v>0</v>
      </c>
      <c r="EL8" s="38">
        <f>EL$6*'2017B'!$D8</f>
        <v>44.6096</v>
      </c>
      <c r="EM8" s="38">
        <f aca="true" t="shared" si="24" ref="EM8:EM15">EK8+EL8</f>
        <v>44.6096</v>
      </c>
      <c r="EN8" s="38">
        <f>EL$6*'2017B'!$F8</f>
        <v>26.695871999999998</v>
      </c>
      <c r="EO8" s="38">
        <f>EL$6*'2017B'!$G8</f>
        <v>2.953664</v>
      </c>
      <c r="EP8" s="55"/>
      <c r="EQ8" s="38">
        <f>ER$6*'2017B'!$C8</f>
        <v>0</v>
      </c>
      <c r="ER8" s="38">
        <f>ER$6*'2017B'!$D8</f>
        <v>1338.8356625</v>
      </c>
      <c r="ES8" s="38">
        <f aca="true" t="shared" si="25" ref="ES8:ES15">EQ8+ER8</f>
        <v>1338.8356625</v>
      </c>
      <c r="ET8" s="38">
        <f>ER$6*'2017B'!$F8</f>
        <v>801.2038994999999</v>
      </c>
      <c r="EU8" s="38">
        <f>ER$6*'2017B'!$G8</f>
        <v>88.6461815</v>
      </c>
      <c r="EV8" s="55"/>
      <c r="EW8" s="38">
        <f>EX$6*'2017B'!$C8</f>
        <v>0</v>
      </c>
      <c r="EX8" s="38">
        <f>EX$6*'2017B'!$D8</f>
        <v>3595.5038875</v>
      </c>
      <c r="EY8" s="38">
        <f aca="true" t="shared" si="26" ref="EY8:EY15">EW8+EX8</f>
        <v>3595.5038875</v>
      </c>
      <c r="EZ8" s="38">
        <f>EX$6*'2017B'!$F8</f>
        <v>2151.6694065</v>
      </c>
      <c r="FA8" s="38">
        <f>EX$6*'2017B'!$G8</f>
        <v>238.0633405</v>
      </c>
      <c r="FB8" s="55"/>
      <c r="FC8" s="38">
        <f>FD$6*'2017B'!$C8</f>
        <v>0</v>
      </c>
      <c r="FD8" s="38">
        <f>FD$6*'2017B'!$D8</f>
        <v>1382.30015</v>
      </c>
      <c r="FE8" s="38">
        <f aca="true" t="shared" si="27" ref="FE8:FE15">FC8+FD8</f>
        <v>1382.30015</v>
      </c>
      <c r="FF8" s="38">
        <f>FD$6*'2017B'!$F8</f>
        <v>827.214498</v>
      </c>
      <c r="FG8" s="38">
        <f>FD$6*'2017B'!$G8</f>
        <v>91.524026</v>
      </c>
      <c r="FH8" s="55"/>
      <c r="FI8" s="38">
        <f>FJ$6*'2017B'!$C8</f>
        <v>0</v>
      </c>
      <c r="FJ8" s="38">
        <f>FJ$6*'2017B'!$D8</f>
        <v>9777.4186125</v>
      </c>
      <c r="FK8" s="38">
        <f aca="true" t="shared" si="28" ref="FK8:FK15">FI8+FJ8</f>
        <v>9777.4186125</v>
      </c>
      <c r="FL8" s="38">
        <f>FJ$6*'2017B'!$F8</f>
        <v>5851.1332935</v>
      </c>
      <c r="FM8" s="38">
        <f>FJ$6*'2017B'!$G8</f>
        <v>647.3765595</v>
      </c>
      <c r="FN8" s="55"/>
      <c r="FO8" s="38">
        <f>FP$6*'2017B'!$C8</f>
        <v>0</v>
      </c>
      <c r="FP8" s="38">
        <f>FP$6*'2017B'!$D8</f>
        <v>3311.6155625</v>
      </c>
      <c r="FQ8" s="38">
        <f aca="true" t="shared" si="29" ref="FQ8:FQ15">FO8+FP8</f>
        <v>3311.6155625</v>
      </c>
      <c r="FR8" s="38">
        <f>FP$6*'2017B'!$F8</f>
        <v>1981.7811675</v>
      </c>
      <c r="FS8" s="38">
        <f>FP$6*'2017B'!$G8</f>
        <v>219.26669750000002</v>
      </c>
      <c r="FT8" s="55"/>
      <c r="FU8" s="38">
        <f>FV$6*'2017B'!$C8</f>
        <v>0</v>
      </c>
      <c r="FV8" s="38">
        <f>FV$6*'2017B'!$D8</f>
        <v>715.6455249999999</v>
      </c>
      <c r="FW8" s="38">
        <f aca="true" t="shared" si="30" ref="FW8:FW15">FU8+FV8</f>
        <v>715.6455249999999</v>
      </c>
      <c r="FX8" s="38">
        <f>FV$6*'2017B'!$F8</f>
        <v>428.266143</v>
      </c>
      <c r="FY8" s="38">
        <f>FV$6*'2017B'!$G8</f>
        <v>47.383891</v>
      </c>
      <c r="FZ8" s="55"/>
      <c r="GA8" s="38">
        <f>GB$6*'2017B'!$C8</f>
        <v>0</v>
      </c>
      <c r="GB8" s="38">
        <f>GB$6*'2017B'!$D8</f>
        <v>1887.2449749999998</v>
      </c>
      <c r="GC8" s="38">
        <f aca="true" t="shared" si="31" ref="GC8:GC15">GA8+GB8</f>
        <v>1887.2449749999998</v>
      </c>
      <c r="GD8" s="38">
        <f>GB$6*'2017B'!$F8</f>
        <v>1129.3903169999999</v>
      </c>
      <c r="GE8" s="38">
        <f>GB$6*'2017B'!$G8</f>
        <v>124.957129</v>
      </c>
      <c r="GF8" s="55"/>
      <c r="GG8" s="38">
        <f>GH$6*'2017B'!$C8</f>
        <v>0</v>
      </c>
      <c r="GH8" s="38">
        <f>GH$6*'2017B'!$D8</f>
        <v>10.3060125</v>
      </c>
      <c r="GI8" s="38">
        <f aca="true" t="shared" si="32" ref="GI8:GI15">GG8+GH8</f>
        <v>10.3060125</v>
      </c>
      <c r="GJ8" s="38">
        <f>GH$6*'2017B'!$F8</f>
        <v>6.1674615</v>
      </c>
      <c r="GK8" s="38">
        <f>GH$6*'2017B'!$G8</f>
        <v>0.6823754999999999</v>
      </c>
      <c r="GL8" s="55"/>
      <c r="GM8" s="55"/>
      <c r="GN8" s="55"/>
      <c r="GO8" s="55"/>
      <c r="GP8" s="55"/>
      <c r="GQ8" s="55"/>
      <c r="GR8" s="55"/>
      <c r="GS8" s="55"/>
      <c r="GT8" s="55"/>
      <c r="GU8" s="55"/>
      <c r="GV8" s="55"/>
      <c r="GW8" s="55"/>
      <c r="GX8" s="55"/>
      <c r="GY8" s="55"/>
      <c r="GZ8" s="55"/>
      <c r="HA8" s="55"/>
      <c r="HB8" s="55"/>
      <c r="HC8" s="55"/>
    </row>
    <row r="9" spans="1:211" s="57" customFormat="1" ht="12.75">
      <c r="A9" s="56">
        <v>43922</v>
      </c>
      <c r="B9" s="55"/>
      <c r="C9" s="38">
        <f t="shared" si="0"/>
        <v>0</v>
      </c>
      <c r="D9" s="38">
        <f t="shared" si="0"/>
        <v>88327.5556625</v>
      </c>
      <c r="E9" s="38">
        <f t="shared" si="1"/>
        <v>88327.5556625</v>
      </c>
      <c r="F9" s="38">
        <f t="shared" si="0"/>
        <v>52858.15429949999</v>
      </c>
      <c r="G9" s="38">
        <f t="shared" si="0"/>
        <v>5848.290981499999</v>
      </c>
      <c r="I9" s="38">
        <f>J$6*'2017B'!$C9</f>
        <v>0</v>
      </c>
      <c r="J9" s="38">
        <f>J$6*'2017B'!$D9</f>
        <v>3549.5002375</v>
      </c>
      <c r="K9" s="38">
        <f t="shared" si="2"/>
        <v>3549.5002375</v>
      </c>
      <c r="L9" s="38">
        <f>J$6*'2017B'!$F9</f>
        <v>2124.1392885</v>
      </c>
      <c r="M9" s="38">
        <f>J$6*'2017B'!$G9</f>
        <v>235.0173745</v>
      </c>
      <c r="O9" s="38">
        <f>P$6*'2017B'!$C9</f>
        <v>0</v>
      </c>
      <c r="P9" s="38">
        <f>P$6*'2017B'!$D9</f>
        <v>11495.137149999999</v>
      </c>
      <c r="Q9" s="38">
        <f t="shared" si="3"/>
        <v>11495.137149999999</v>
      </c>
      <c r="R9" s="38">
        <f>P$6*'2017B'!$F9</f>
        <v>6879.073337999999</v>
      </c>
      <c r="S9" s="38">
        <f>P$6*'2017B'!$G9</f>
        <v>761.109106</v>
      </c>
      <c r="T9" s="55"/>
      <c r="U9" s="38">
        <f>V$6*'2017B'!$C9</f>
        <v>0</v>
      </c>
      <c r="V9" s="38">
        <f>V$6*'2017B'!$D9</f>
        <v>657.6430875</v>
      </c>
      <c r="W9" s="38">
        <f t="shared" si="4"/>
        <v>657.6430875</v>
      </c>
      <c r="X9" s="38">
        <f>V$6*'2017B'!$F9</f>
        <v>393.55555050000004</v>
      </c>
      <c r="Y9" s="38">
        <f>V$6*'2017B'!$G9</f>
        <v>43.5434685</v>
      </c>
      <c r="Z9" s="55"/>
      <c r="AA9" s="38">
        <f>AB$6*'2017B'!$C9</f>
        <v>0</v>
      </c>
      <c r="AB9" s="38">
        <f>AB$6*'2017B'!$D9</f>
        <v>2552.1570374999997</v>
      </c>
      <c r="AC9" s="38">
        <f t="shared" si="5"/>
        <v>2552.1570374999997</v>
      </c>
      <c r="AD9" s="38">
        <f>AB$6*'2017B'!$F9</f>
        <v>1527.2958644999999</v>
      </c>
      <c r="AE9" s="38">
        <f>AB$6*'2017B'!$G9</f>
        <v>168.9818865</v>
      </c>
      <c r="AF9" s="55"/>
      <c r="AG9" s="38">
        <f>AH$6*'2017B'!$C9</f>
        <v>0</v>
      </c>
      <c r="AH9" s="38">
        <f>AH$6*'2017B'!$D9</f>
        <v>6613.8212875</v>
      </c>
      <c r="AI9" s="38">
        <f t="shared" si="6"/>
        <v>6613.8212875</v>
      </c>
      <c r="AJ9" s="38">
        <f>AH$6*'2017B'!$F9</f>
        <v>3957.9311745</v>
      </c>
      <c r="AK9" s="38">
        <f>AH$6*'2017B'!$G9</f>
        <v>437.9103565</v>
      </c>
      <c r="AL9" s="55"/>
      <c r="AM9" s="38">
        <f>AN$6*'2017B'!$C9</f>
        <v>0</v>
      </c>
      <c r="AN9" s="38">
        <f>AN$6*'2017B'!$D9</f>
        <v>1511.4987125</v>
      </c>
      <c r="AO9" s="38">
        <f t="shared" si="7"/>
        <v>1511.4987125</v>
      </c>
      <c r="AP9" s="38">
        <f>AN$6*'2017B'!$F9</f>
        <v>904.5312254999999</v>
      </c>
      <c r="AQ9" s="38">
        <f>AN$6*'2017B'!$G9</f>
        <v>100.07844349999999</v>
      </c>
      <c r="AR9" s="55"/>
      <c r="AS9" s="38">
        <f>AT$6*'2017B'!$C9</f>
        <v>0</v>
      </c>
      <c r="AT9" s="38">
        <f>AT$6*'2017B'!$D9</f>
        <v>19682.094075</v>
      </c>
      <c r="AU9" s="38">
        <f t="shared" si="8"/>
        <v>19682.094075</v>
      </c>
      <c r="AV9" s="38">
        <f>AT$6*'2017B'!$F9</f>
        <v>11778.421329</v>
      </c>
      <c r="AW9" s="38">
        <f>AT$6*'2017B'!$G9</f>
        <v>1303.178973</v>
      </c>
      <c r="AX9" s="55"/>
      <c r="AY9" s="38">
        <f>AZ$6*'2017B'!$C9</f>
        <v>0</v>
      </c>
      <c r="AZ9" s="38">
        <f>AZ$6*'2017B'!$D9</f>
        <v>610.9921999999999</v>
      </c>
      <c r="BA9" s="38">
        <f t="shared" si="9"/>
        <v>610.9921999999999</v>
      </c>
      <c r="BB9" s="38">
        <f>AZ$6*'2017B'!$F9</f>
        <v>365.638104</v>
      </c>
      <c r="BC9" s="38">
        <f>AZ$6*'2017B'!$G9</f>
        <v>40.454648</v>
      </c>
      <c r="BD9" s="55"/>
      <c r="BE9" s="38">
        <f>BF$6*'2017B'!$C9</f>
        <v>0</v>
      </c>
      <c r="BF9" s="38">
        <f>BF$6*'2017B'!$D9</f>
        <v>793.4633875</v>
      </c>
      <c r="BG9" s="38">
        <f t="shared" si="10"/>
        <v>793.4633875</v>
      </c>
      <c r="BH9" s="38">
        <f>BF$6*'2017B'!$F9</f>
        <v>474.8349465</v>
      </c>
      <c r="BI9" s="38">
        <f>BF$6*'2017B'!$G9</f>
        <v>52.5363205</v>
      </c>
      <c r="BJ9" s="55"/>
      <c r="BK9" s="38">
        <f>BL$6*'2017B'!$C9</f>
        <v>0</v>
      </c>
      <c r="BL9" s="38">
        <f>BL$6*'2017B'!$D9</f>
        <v>27.3333375</v>
      </c>
      <c r="BM9" s="38">
        <f t="shared" si="11"/>
        <v>27.3333375</v>
      </c>
      <c r="BN9" s="38">
        <f>BL$6*'2017B'!$F9</f>
        <v>16.3571805</v>
      </c>
      <c r="BO9" s="38">
        <f>BL$6*'2017B'!$G9</f>
        <v>1.8097785</v>
      </c>
      <c r="BP9" s="55"/>
      <c r="BQ9" s="38">
        <f>BR$6*'2017B'!$C9</f>
        <v>0</v>
      </c>
      <c r="BR9" s="38">
        <f>BR$6*'2017B'!$D9</f>
        <v>30.0218625</v>
      </c>
      <c r="BS9" s="38">
        <f t="shared" si="12"/>
        <v>30.0218625</v>
      </c>
      <c r="BT9" s="38">
        <f>BR$6*'2017B'!$F9</f>
        <v>17.9660835</v>
      </c>
      <c r="BU9" s="38">
        <f>BR$6*'2017B'!$G9</f>
        <v>1.9877895</v>
      </c>
      <c r="BV9" s="55"/>
      <c r="BW9" s="38">
        <f>BX$6*'2017B'!$C9</f>
        <v>0</v>
      </c>
      <c r="BX9" s="38">
        <f>BX$6*'2017B'!$D9</f>
        <v>2532.19225</v>
      </c>
      <c r="BY9" s="38">
        <f t="shared" si="13"/>
        <v>2532.19225</v>
      </c>
      <c r="BZ9" s="38">
        <f>BX$6*'2017B'!$F9</f>
        <v>1515.3482700000002</v>
      </c>
      <c r="CA9" s="38">
        <f>BX$6*'2017B'!$G9</f>
        <v>167.65999000000002</v>
      </c>
      <c r="CB9" s="55"/>
      <c r="CC9" s="38">
        <f>CD$6*'2017B'!$C9</f>
        <v>0</v>
      </c>
      <c r="CD9" s="38">
        <f>CD$6*'2017B'!$D9</f>
        <v>203.7802375</v>
      </c>
      <c r="CE9" s="38">
        <f t="shared" si="14"/>
        <v>203.7802375</v>
      </c>
      <c r="CF9" s="38">
        <f>CD$6*'2017B'!$F9</f>
        <v>121.9488885</v>
      </c>
      <c r="CG9" s="38">
        <f>CD$6*'2017B'!$G9</f>
        <v>13.4925745</v>
      </c>
      <c r="CH9" s="55"/>
      <c r="CI9" s="38">
        <f>CJ$6*'2017B'!$C9</f>
        <v>0</v>
      </c>
      <c r="CJ9" s="38">
        <f>CJ$6*'2017B'!$D9</f>
        <v>231.014</v>
      </c>
      <c r="CK9" s="38">
        <f t="shared" si="15"/>
        <v>231.014</v>
      </c>
      <c r="CL9" s="38">
        <f>CJ$6*'2017B'!$F9</f>
        <v>138.24648</v>
      </c>
      <c r="CM9" s="38">
        <f>CJ$6*'2017B'!$G9</f>
        <v>15.29576</v>
      </c>
      <c r="CN9" s="55"/>
      <c r="CO9" s="38">
        <f>CP$6*'2017B'!$C9</f>
        <v>0</v>
      </c>
      <c r="CP9" s="38">
        <f>CP$6*'2017B'!$D9</f>
        <v>5023.7081125</v>
      </c>
      <c r="CQ9" s="38">
        <f t="shared" si="16"/>
        <v>5023.7081125</v>
      </c>
      <c r="CR9" s="38">
        <f>CP$6*'2017B'!$F9</f>
        <v>3006.3544335</v>
      </c>
      <c r="CS9" s="38">
        <f>CP$6*'2017B'!$G9</f>
        <v>332.6267395</v>
      </c>
      <c r="CT9" s="55"/>
      <c r="CU9" s="38">
        <f>CV$6*'2017B'!$C9</f>
        <v>0</v>
      </c>
      <c r="CV9" s="38">
        <f>CV$6*'2017B'!$D9</f>
        <v>3135.0193</v>
      </c>
      <c r="CW9" s="38">
        <f t="shared" si="17"/>
        <v>3135.0193</v>
      </c>
      <c r="CX9" s="38">
        <f>CV$6*'2017B'!$F9</f>
        <v>1876.100076</v>
      </c>
      <c r="CY9" s="38">
        <f>CV$6*'2017B'!$G9</f>
        <v>207.574012</v>
      </c>
      <c r="CZ9" s="55"/>
      <c r="DA9" s="38">
        <f>DB$6*'2017B'!$C9</f>
        <v>0</v>
      </c>
      <c r="DB9" s="38">
        <f>DB$6*'2017B'!$D9</f>
        <v>99.07712500000001</v>
      </c>
      <c r="DC9" s="38">
        <f t="shared" si="18"/>
        <v>99.07712500000001</v>
      </c>
      <c r="DD9" s="38">
        <f>DB$6*'2017B'!$F9</f>
        <v>59.29105500000001</v>
      </c>
      <c r="DE9" s="38">
        <f>DB$6*'2017B'!$G9</f>
        <v>6.560035</v>
      </c>
      <c r="DF9" s="55"/>
      <c r="DG9" s="38">
        <f>DH$6*'2017B'!$C9</f>
        <v>0</v>
      </c>
      <c r="DH9" s="38">
        <f>DH$6*'2017B'!$D9</f>
        <v>429.16825</v>
      </c>
      <c r="DI9" s="38">
        <f t="shared" si="19"/>
        <v>429.16825</v>
      </c>
      <c r="DJ9" s="38">
        <f>DH$6*'2017B'!$F9</f>
        <v>256.82859</v>
      </c>
      <c r="DK9" s="38">
        <f>DH$6*'2017B'!$G9</f>
        <v>28.41583</v>
      </c>
      <c r="DL9" s="55"/>
      <c r="DM9" s="38">
        <f>DN$6*'2017B'!$C9</f>
        <v>0</v>
      </c>
      <c r="DN9" s="38">
        <f>DN$6*'2017B'!$D9</f>
        <v>568.2247375000001</v>
      </c>
      <c r="DO9" s="38">
        <f t="shared" si="20"/>
        <v>568.2247375000001</v>
      </c>
      <c r="DP9" s="38">
        <f>DN$6*'2017B'!$F9</f>
        <v>340.0446285</v>
      </c>
      <c r="DQ9" s="38">
        <f>DN$6*'2017B'!$G9</f>
        <v>37.6229545</v>
      </c>
      <c r="DR9" s="55"/>
      <c r="DS9" s="38">
        <f>DT$6*'2017B'!$C9</f>
        <v>0</v>
      </c>
      <c r="DT9" s="38">
        <f>DT$6*'2017B'!$D9</f>
        <v>3401.2330625</v>
      </c>
      <c r="DU9" s="38">
        <f t="shared" si="21"/>
        <v>3401.2330625</v>
      </c>
      <c r="DV9" s="38">
        <f>DT$6*'2017B'!$F9</f>
        <v>2035.4112675</v>
      </c>
      <c r="DW9" s="38">
        <f>DT$6*'2017B'!$G9</f>
        <v>225.2003975</v>
      </c>
      <c r="DX9" s="55"/>
      <c r="DY9" s="38">
        <f>DZ$6*'2017B'!$C9</f>
        <v>0</v>
      </c>
      <c r="DZ9" s="38">
        <f>DZ$6*'2017B'!$D9</f>
        <v>853.6066875</v>
      </c>
      <c r="EA9" s="38">
        <f t="shared" si="22"/>
        <v>853.6066875</v>
      </c>
      <c r="EB9" s="38">
        <f>DZ$6*'2017B'!$F9</f>
        <v>510.8267025</v>
      </c>
      <c r="EC9" s="38">
        <f>DZ$6*'2017B'!$G9</f>
        <v>56.5184925</v>
      </c>
      <c r="ED9" s="55"/>
      <c r="EE9" s="38">
        <f>EF$6*'2017B'!$C9</f>
        <v>0</v>
      </c>
      <c r="EF9" s="38">
        <f>EF$6*'2017B'!$D9</f>
        <v>2263.3895375</v>
      </c>
      <c r="EG9" s="38">
        <f t="shared" si="23"/>
        <v>2263.3895375</v>
      </c>
      <c r="EH9" s="38">
        <f>EF$6*'2017B'!$F9</f>
        <v>1354.4877645</v>
      </c>
      <c r="EI9" s="38">
        <f>EF$6*'2017B'!$G9</f>
        <v>149.8621865</v>
      </c>
      <c r="EJ9" s="55"/>
      <c r="EK9" s="38">
        <f>EL$6*'2017B'!$C9</f>
        <v>0</v>
      </c>
      <c r="EL9" s="38">
        <f>EL$6*'2017B'!$D9</f>
        <v>44.6096</v>
      </c>
      <c r="EM9" s="38">
        <f t="shared" si="24"/>
        <v>44.6096</v>
      </c>
      <c r="EN9" s="38">
        <f>EL$6*'2017B'!$F9</f>
        <v>26.695871999999998</v>
      </c>
      <c r="EO9" s="38">
        <f>EL$6*'2017B'!$G9</f>
        <v>2.953664</v>
      </c>
      <c r="EP9" s="55"/>
      <c r="EQ9" s="38">
        <f>ER$6*'2017B'!$C9</f>
        <v>0</v>
      </c>
      <c r="ER9" s="38">
        <f>ER$6*'2017B'!$D9</f>
        <v>1338.8356625</v>
      </c>
      <c r="ES9" s="38">
        <f t="shared" si="25"/>
        <v>1338.8356625</v>
      </c>
      <c r="ET9" s="38">
        <f>ER$6*'2017B'!$F9</f>
        <v>801.2038994999999</v>
      </c>
      <c r="EU9" s="38">
        <f>ER$6*'2017B'!$G9</f>
        <v>88.6461815</v>
      </c>
      <c r="EV9" s="55"/>
      <c r="EW9" s="38">
        <f>EX$6*'2017B'!$C9</f>
        <v>0</v>
      </c>
      <c r="EX9" s="38">
        <f>EX$6*'2017B'!$D9</f>
        <v>3595.5038875</v>
      </c>
      <c r="EY9" s="38">
        <f t="shared" si="26"/>
        <v>3595.5038875</v>
      </c>
      <c r="EZ9" s="38">
        <f>EX$6*'2017B'!$F9</f>
        <v>2151.6694065</v>
      </c>
      <c r="FA9" s="38">
        <f>EX$6*'2017B'!$G9</f>
        <v>238.0633405</v>
      </c>
      <c r="FB9" s="55"/>
      <c r="FC9" s="38">
        <f>FD$6*'2017B'!$C9</f>
        <v>0</v>
      </c>
      <c r="FD9" s="38">
        <f>FD$6*'2017B'!$D9</f>
        <v>1382.30015</v>
      </c>
      <c r="FE9" s="38">
        <f t="shared" si="27"/>
        <v>1382.30015</v>
      </c>
      <c r="FF9" s="38">
        <f>FD$6*'2017B'!$F9</f>
        <v>827.214498</v>
      </c>
      <c r="FG9" s="38">
        <f>FD$6*'2017B'!$G9</f>
        <v>91.524026</v>
      </c>
      <c r="FH9" s="55"/>
      <c r="FI9" s="38">
        <f>FJ$6*'2017B'!$C9</f>
        <v>0</v>
      </c>
      <c r="FJ9" s="38">
        <f>FJ$6*'2017B'!$D9</f>
        <v>9777.4186125</v>
      </c>
      <c r="FK9" s="38">
        <f t="shared" si="28"/>
        <v>9777.4186125</v>
      </c>
      <c r="FL9" s="38">
        <f>FJ$6*'2017B'!$F9</f>
        <v>5851.1332935</v>
      </c>
      <c r="FM9" s="38">
        <f>FJ$6*'2017B'!$G9</f>
        <v>647.3765595</v>
      </c>
      <c r="FN9" s="55"/>
      <c r="FO9" s="38">
        <f>FP$6*'2017B'!$C9</f>
        <v>0</v>
      </c>
      <c r="FP9" s="38">
        <f>FP$6*'2017B'!$D9</f>
        <v>3311.6155625</v>
      </c>
      <c r="FQ9" s="38">
        <f t="shared" si="29"/>
        <v>3311.6155625</v>
      </c>
      <c r="FR9" s="38">
        <f>FP$6*'2017B'!$F9</f>
        <v>1981.7811675</v>
      </c>
      <c r="FS9" s="38">
        <f>FP$6*'2017B'!$G9</f>
        <v>219.26669750000002</v>
      </c>
      <c r="FT9" s="55"/>
      <c r="FU9" s="38">
        <f>FV$6*'2017B'!$C9</f>
        <v>0</v>
      </c>
      <c r="FV9" s="38">
        <f>FV$6*'2017B'!$D9</f>
        <v>715.6455249999999</v>
      </c>
      <c r="FW9" s="38">
        <f t="shared" si="30"/>
        <v>715.6455249999999</v>
      </c>
      <c r="FX9" s="38">
        <f>FV$6*'2017B'!$F9</f>
        <v>428.266143</v>
      </c>
      <c r="FY9" s="38">
        <f>FV$6*'2017B'!$G9</f>
        <v>47.383891</v>
      </c>
      <c r="FZ9" s="55"/>
      <c r="GA9" s="38">
        <f>GB$6*'2017B'!$C9</f>
        <v>0</v>
      </c>
      <c r="GB9" s="38">
        <f>GB$6*'2017B'!$D9</f>
        <v>1887.2449749999998</v>
      </c>
      <c r="GC9" s="38">
        <f t="shared" si="31"/>
        <v>1887.2449749999998</v>
      </c>
      <c r="GD9" s="38">
        <f>GB$6*'2017B'!$F9</f>
        <v>1129.3903169999999</v>
      </c>
      <c r="GE9" s="38">
        <f>GB$6*'2017B'!$G9</f>
        <v>124.957129</v>
      </c>
      <c r="GF9" s="55"/>
      <c r="GG9" s="38">
        <f>GH$6*'2017B'!$C9</f>
        <v>0</v>
      </c>
      <c r="GH9" s="38">
        <f>GH$6*'2017B'!$D9</f>
        <v>10.3060125</v>
      </c>
      <c r="GI9" s="38">
        <f t="shared" si="32"/>
        <v>10.3060125</v>
      </c>
      <c r="GJ9" s="38">
        <f>GH$6*'2017B'!$F9</f>
        <v>6.1674615</v>
      </c>
      <c r="GK9" s="38">
        <f>GH$6*'2017B'!$G9</f>
        <v>0.6823754999999999</v>
      </c>
      <c r="GL9" s="55"/>
      <c r="GM9" s="55"/>
      <c r="GN9" s="55"/>
      <c r="GO9" s="55"/>
      <c r="GP9" s="55"/>
      <c r="GQ9" s="55"/>
      <c r="GR9" s="55"/>
      <c r="GS9" s="55"/>
      <c r="GT9" s="55"/>
      <c r="GU9" s="55"/>
      <c r="GV9" s="55"/>
      <c r="GW9" s="55"/>
      <c r="GX9" s="55"/>
      <c r="GY9" s="55"/>
      <c r="GZ9" s="55"/>
      <c r="HA9" s="55"/>
      <c r="HB9" s="55"/>
      <c r="HC9" s="55"/>
    </row>
    <row r="10" spans="1:211" s="57" customFormat="1" ht="12.75">
      <c r="A10" s="56">
        <v>44105</v>
      </c>
      <c r="B10" s="55"/>
      <c r="C10" s="38">
        <f t="shared" si="0"/>
        <v>0</v>
      </c>
      <c r="D10" s="38">
        <f t="shared" si="0"/>
        <v>88327.5556625</v>
      </c>
      <c r="E10" s="38">
        <f t="shared" si="1"/>
        <v>88327.5556625</v>
      </c>
      <c r="F10" s="38">
        <f t="shared" si="0"/>
        <v>52858.15429949999</v>
      </c>
      <c r="G10" s="38">
        <f t="shared" si="0"/>
        <v>5848.290981499999</v>
      </c>
      <c r="I10" s="38">
        <f>J$6*'2017B'!$C10</f>
        <v>0</v>
      </c>
      <c r="J10" s="38">
        <f>J$6*'2017B'!$D10</f>
        <v>3549.5002375</v>
      </c>
      <c r="K10" s="38">
        <f t="shared" si="2"/>
        <v>3549.5002375</v>
      </c>
      <c r="L10" s="38">
        <f>J$6*'2017B'!$F10</f>
        <v>2124.1392885</v>
      </c>
      <c r="M10" s="38">
        <f>J$6*'2017B'!$G10</f>
        <v>235.0173745</v>
      </c>
      <c r="O10" s="38">
        <f>P$6*'2017B'!$C10</f>
        <v>0</v>
      </c>
      <c r="P10" s="38">
        <f>P$6*'2017B'!$D10</f>
        <v>11495.137149999999</v>
      </c>
      <c r="Q10" s="38">
        <f t="shared" si="3"/>
        <v>11495.137149999999</v>
      </c>
      <c r="R10" s="38">
        <f>P$6*'2017B'!$F10</f>
        <v>6879.073337999999</v>
      </c>
      <c r="S10" s="38">
        <f>P$6*'2017B'!$G10</f>
        <v>761.109106</v>
      </c>
      <c r="T10" s="55"/>
      <c r="U10" s="38">
        <f>V$6*'2017B'!$C10</f>
        <v>0</v>
      </c>
      <c r="V10" s="38">
        <f>V$6*'2017B'!$D10</f>
        <v>657.6430875</v>
      </c>
      <c r="W10" s="38">
        <f t="shared" si="4"/>
        <v>657.6430875</v>
      </c>
      <c r="X10" s="38">
        <f>V$6*'2017B'!$F10</f>
        <v>393.55555050000004</v>
      </c>
      <c r="Y10" s="38">
        <f>V$6*'2017B'!$G10</f>
        <v>43.5434685</v>
      </c>
      <c r="Z10" s="55"/>
      <c r="AA10" s="38">
        <f>AB$6*'2017B'!$C10</f>
        <v>0</v>
      </c>
      <c r="AB10" s="38">
        <f>AB$6*'2017B'!$D10</f>
        <v>2552.1570374999997</v>
      </c>
      <c r="AC10" s="38">
        <f t="shared" si="5"/>
        <v>2552.1570374999997</v>
      </c>
      <c r="AD10" s="38">
        <f>AB$6*'2017B'!$F10</f>
        <v>1527.2958644999999</v>
      </c>
      <c r="AE10" s="38">
        <f>AB$6*'2017B'!$G10</f>
        <v>168.9818865</v>
      </c>
      <c r="AF10" s="55"/>
      <c r="AG10" s="38">
        <f>AH$6*'2017B'!$C10</f>
        <v>0</v>
      </c>
      <c r="AH10" s="38">
        <f>AH$6*'2017B'!$D10</f>
        <v>6613.8212875</v>
      </c>
      <c r="AI10" s="38">
        <f t="shared" si="6"/>
        <v>6613.8212875</v>
      </c>
      <c r="AJ10" s="38">
        <f>AH$6*'2017B'!$F10</f>
        <v>3957.9311745</v>
      </c>
      <c r="AK10" s="38">
        <f>AH$6*'2017B'!$G10</f>
        <v>437.9103565</v>
      </c>
      <c r="AL10" s="55"/>
      <c r="AM10" s="38">
        <f>AN$6*'2017B'!$C10</f>
        <v>0</v>
      </c>
      <c r="AN10" s="38">
        <f>AN$6*'2017B'!$D10</f>
        <v>1511.4987125</v>
      </c>
      <c r="AO10" s="38">
        <f t="shared" si="7"/>
        <v>1511.4987125</v>
      </c>
      <c r="AP10" s="38">
        <f>AN$6*'2017B'!$F10</f>
        <v>904.5312254999999</v>
      </c>
      <c r="AQ10" s="38">
        <f>AN$6*'2017B'!$G10</f>
        <v>100.07844349999999</v>
      </c>
      <c r="AR10" s="55"/>
      <c r="AS10" s="38">
        <f>AT$6*'2017B'!$C10</f>
        <v>0</v>
      </c>
      <c r="AT10" s="38">
        <f>AT$6*'2017B'!$D10</f>
        <v>19682.094075</v>
      </c>
      <c r="AU10" s="38">
        <f t="shared" si="8"/>
        <v>19682.094075</v>
      </c>
      <c r="AV10" s="38">
        <f>AT$6*'2017B'!$F10</f>
        <v>11778.421329</v>
      </c>
      <c r="AW10" s="38">
        <f>AT$6*'2017B'!$G10</f>
        <v>1303.178973</v>
      </c>
      <c r="AX10" s="55"/>
      <c r="AY10" s="38">
        <f>AZ$6*'2017B'!$C10</f>
        <v>0</v>
      </c>
      <c r="AZ10" s="38">
        <f>AZ$6*'2017B'!$D10</f>
        <v>610.9921999999999</v>
      </c>
      <c r="BA10" s="38">
        <f t="shared" si="9"/>
        <v>610.9921999999999</v>
      </c>
      <c r="BB10" s="38">
        <f>AZ$6*'2017B'!$F10</f>
        <v>365.638104</v>
      </c>
      <c r="BC10" s="38">
        <f>AZ$6*'2017B'!$G10</f>
        <v>40.454648</v>
      </c>
      <c r="BD10" s="55"/>
      <c r="BE10" s="38">
        <f>BF$6*'2017B'!$C10</f>
        <v>0</v>
      </c>
      <c r="BF10" s="38">
        <f>BF$6*'2017B'!$D10</f>
        <v>793.4633875</v>
      </c>
      <c r="BG10" s="38">
        <f t="shared" si="10"/>
        <v>793.4633875</v>
      </c>
      <c r="BH10" s="38">
        <f>BF$6*'2017B'!$F10</f>
        <v>474.8349465</v>
      </c>
      <c r="BI10" s="38">
        <f>BF$6*'2017B'!$G10</f>
        <v>52.5363205</v>
      </c>
      <c r="BJ10" s="55"/>
      <c r="BK10" s="38">
        <f>BL$6*'2017B'!$C10</f>
        <v>0</v>
      </c>
      <c r="BL10" s="38">
        <f>BL$6*'2017B'!$D10</f>
        <v>27.3333375</v>
      </c>
      <c r="BM10" s="38">
        <f t="shared" si="11"/>
        <v>27.3333375</v>
      </c>
      <c r="BN10" s="38">
        <f>BL$6*'2017B'!$F10</f>
        <v>16.3571805</v>
      </c>
      <c r="BO10" s="38">
        <f>BL$6*'2017B'!$G10</f>
        <v>1.8097785</v>
      </c>
      <c r="BP10" s="55"/>
      <c r="BQ10" s="38">
        <f>BR$6*'2017B'!$C10</f>
        <v>0</v>
      </c>
      <c r="BR10" s="38">
        <f>BR$6*'2017B'!$D10</f>
        <v>30.0218625</v>
      </c>
      <c r="BS10" s="38">
        <f t="shared" si="12"/>
        <v>30.0218625</v>
      </c>
      <c r="BT10" s="38">
        <f>BR$6*'2017B'!$F10</f>
        <v>17.9660835</v>
      </c>
      <c r="BU10" s="38">
        <f>BR$6*'2017B'!$G10</f>
        <v>1.9877895</v>
      </c>
      <c r="BV10" s="55"/>
      <c r="BW10" s="38">
        <f>BX$6*'2017B'!$C10</f>
        <v>0</v>
      </c>
      <c r="BX10" s="38">
        <f>BX$6*'2017B'!$D10</f>
        <v>2532.19225</v>
      </c>
      <c r="BY10" s="38">
        <f t="shared" si="13"/>
        <v>2532.19225</v>
      </c>
      <c r="BZ10" s="38">
        <f>BX$6*'2017B'!$F10</f>
        <v>1515.3482700000002</v>
      </c>
      <c r="CA10" s="38">
        <f>BX$6*'2017B'!$G10</f>
        <v>167.65999000000002</v>
      </c>
      <c r="CB10" s="55"/>
      <c r="CC10" s="38">
        <f>CD$6*'2017B'!$C10</f>
        <v>0</v>
      </c>
      <c r="CD10" s="38">
        <f>CD$6*'2017B'!$D10</f>
        <v>203.7802375</v>
      </c>
      <c r="CE10" s="38">
        <f t="shared" si="14"/>
        <v>203.7802375</v>
      </c>
      <c r="CF10" s="38">
        <f>CD$6*'2017B'!$F10</f>
        <v>121.9488885</v>
      </c>
      <c r="CG10" s="38">
        <f>CD$6*'2017B'!$G10</f>
        <v>13.4925745</v>
      </c>
      <c r="CH10" s="55"/>
      <c r="CI10" s="38">
        <f>CJ$6*'2017B'!$C10</f>
        <v>0</v>
      </c>
      <c r="CJ10" s="38">
        <f>CJ$6*'2017B'!$D10</f>
        <v>231.014</v>
      </c>
      <c r="CK10" s="38">
        <f t="shared" si="15"/>
        <v>231.014</v>
      </c>
      <c r="CL10" s="38">
        <f>CJ$6*'2017B'!$F10</f>
        <v>138.24648</v>
      </c>
      <c r="CM10" s="38">
        <f>CJ$6*'2017B'!$G10</f>
        <v>15.29576</v>
      </c>
      <c r="CN10" s="55"/>
      <c r="CO10" s="38">
        <f>CP$6*'2017B'!$C10</f>
        <v>0</v>
      </c>
      <c r="CP10" s="38">
        <f>CP$6*'2017B'!$D10</f>
        <v>5023.7081125</v>
      </c>
      <c r="CQ10" s="38">
        <f t="shared" si="16"/>
        <v>5023.7081125</v>
      </c>
      <c r="CR10" s="38">
        <f>CP$6*'2017B'!$F10</f>
        <v>3006.3544335</v>
      </c>
      <c r="CS10" s="38">
        <f>CP$6*'2017B'!$G10</f>
        <v>332.6267395</v>
      </c>
      <c r="CT10" s="55"/>
      <c r="CU10" s="38">
        <f>CV$6*'2017B'!$C10</f>
        <v>0</v>
      </c>
      <c r="CV10" s="38">
        <f>CV$6*'2017B'!$D10</f>
        <v>3135.0193</v>
      </c>
      <c r="CW10" s="38">
        <f t="shared" si="17"/>
        <v>3135.0193</v>
      </c>
      <c r="CX10" s="38">
        <f>CV$6*'2017B'!$F10</f>
        <v>1876.100076</v>
      </c>
      <c r="CY10" s="38">
        <f>CV$6*'2017B'!$G10</f>
        <v>207.574012</v>
      </c>
      <c r="CZ10" s="55"/>
      <c r="DA10" s="38">
        <f>DB$6*'2017B'!$C10</f>
        <v>0</v>
      </c>
      <c r="DB10" s="38">
        <f>DB$6*'2017B'!$D10</f>
        <v>99.07712500000001</v>
      </c>
      <c r="DC10" s="38">
        <f t="shared" si="18"/>
        <v>99.07712500000001</v>
      </c>
      <c r="DD10" s="38">
        <f>DB$6*'2017B'!$F10</f>
        <v>59.29105500000001</v>
      </c>
      <c r="DE10" s="38">
        <f>DB$6*'2017B'!$G10</f>
        <v>6.560035</v>
      </c>
      <c r="DF10" s="55"/>
      <c r="DG10" s="38">
        <f>DH$6*'2017B'!$C10</f>
        <v>0</v>
      </c>
      <c r="DH10" s="38">
        <f>DH$6*'2017B'!$D10</f>
        <v>429.16825</v>
      </c>
      <c r="DI10" s="38">
        <f t="shared" si="19"/>
        <v>429.16825</v>
      </c>
      <c r="DJ10" s="38">
        <f>DH$6*'2017B'!$F10</f>
        <v>256.82859</v>
      </c>
      <c r="DK10" s="38">
        <f>DH$6*'2017B'!$G10</f>
        <v>28.41583</v>
      </c>
      <c r="DL10" s="55"/>
      <c r="DM10" s="38">
        <f>DN$6*'2017B'!$C10</f>
        <v>0</v>
      </c>
      <c r="DN10" s="38">
        <f>DN$6*'2017B'!$D10</f>
        <v>568.2247375000001</v>
      </c>
      <c r="DO10" s="38">
        <f t="shared" si="20"/>
        <v>568.2247375000001</v>
      </c>
      <c r="DP10" s="38">
        <f>DN$6*'2017B'!$F10</f>
        <v>340.0446285</v>
      </c>
      <c r="DQ10" s="38">
        <f>DN$6*'2017B'!$G10</f>
        <v>37.6229545</v>
      </c>
      <c r="DR10" s="55"/>
      <c r="DS10" s="38">
        <f>DT$6*'2017B'!$C10</f>
        <v>0</v>
      </c>
      <c r="DT10" s="38">
        <f>DT$6*'2017B'!$D10</f>
        <v>3401.2330625</v>
      </c>
      <c r="DU10" s="38">
        <f t="shared" si="21"/>
        <v>3401.2330625</v>
      </c>
      <c r="DV10" s="38">
        <f>DT$6*'2017B'!$F10</f>
        <v>2035.4112675</v>
      </c>
      <c r="DW10" s="38">
        <f>DT$6*'2017B'!$G10</f>
        <v>225.2003975</v>
      </c>
      <c r="DX10" s="55"/>
      <c r="DY10" s="38">
        <f>DZ$6*'2017B'!$C10</f>
        <v>0</v>
      </c>
      <c r="DZ10" s="38">
        <f>DZ$6*'2017B'!$D10</f>
        <v>853.6066875</v>
      </c>
      <c r="EA10" s="38">
        <f t="shared" si="22"/>
        <v>853.6066875</v>
      </c>
      <c r="EB10" s="38">
        <f>DZ$6*'2017B'!$F10</f>
        <v>510.8267025</v>
      </c>
      <c r="EC10" s="38">
        <f>DZ$6*'2017B'!$G10</f>
        <v>56.5184925</v>
      </c>
      <c r="ED10" s="55"/>
      <c r="EE10" s="38">
        <f>EF$6*'2017B'!$C10</f>
        <v>0</v>
      </c>
      <c r="EF10" s="38">
        <f>EF$6*'2017B'!$D10</f>
        <v>2263.3895375</v>
      </c>
      <c r="EG10" s="38">
        <f t="shared" si="23"/>
        <v>2263.3895375</v>
      </c>
      <c r="EH10" s="38">
        <f>EF$6*'2017B'!$F10</f>
        <v>1354.4877645</v>
      </c>
      <c r="EI10" s="38">
        <f>EF$6*'2017B'!$G10</f>
        <v>149.8621865</v>
      </c>
      <c r="EJ10" s="55"/>
      <c r="EK10" s="38">
        <f>EL$6*'2017B'!$C10</f>
        <v>0</v>
      </c>
      <c r="EL10" s="38">
        <f>EL$6*'2017B'!$D10</f>
        <v>44.6096</v>
      </c>
      <c r="EM10" s="38">
        <f t="shared" si="24"/>
        <v>44.6096</v>
      </c>
      <c r="EN10" s="38">
        <f>EL$6*'2017B'!$F10</f>
        <v>26.695871999999998</v>
      </c>
      <c r="EO10" s="38">
        <f>EL$6*'2017B'!$G10</f>
        <v>2.953664</v>
      </c>
      <c r="EP10" s="55"/>
      <c r="EQ10" s="38">
        <f>ER$6*'2017B'!$C10</f>
        <v>0</v>
      </c>
      <c r="ER10" s="38">
        <f>ER$6*'2017B'!$D10</f>
        <v>1338.8356625</v>
      </c>
      <c r="ES10" s="38">
        <f t="shared" si="25"/>
        <v>1338.8356625</v>
      </c>
      <c r="ET10" s="38">
        <f>ER$6*'2017B'!$F10</f>
        <v>801.2038994999999</v>
      </c>
      <c r="EU10" s="38">
        <f>ER$6*'2017B'!$G10</f>
        <v>88.6461815</v>
      </c>
      <c r="EV10" s="55"/>
      <c r="EW10" s="38">
        <f>EX$6*'2017B'!$C10</f>
        <v>0</v>
      </c>
      <c r="EX10" s="38">
        <f>EX$6*'2017B'!$D10</f>
        <v>3595.5038875</v>
      </c>
      <c r="EY10" s="38">
        <f t="shared" si="26"/>
        <v>3595.5038875</v>
      </c>
      <c r="EZ10" s="38">
        <f>EX$6*'2017B'!$F10</f>
        <v>2151.6694065</v>
      </c>
      <c r="FA10" s="38">
        <f>EX$6*'2017B'!$G10</f>
        <v>238.0633405</v>
      </c>
      <c r="FB10" s="55"/>
      <c r="FC10" s="38">
        <f>FD$6*'2017B'!$C10</f>
        <v>0</v>
      </c>
      <c r="FD10" s="38">
        <f>FD$6*'2017B'!$D10</f>
        <v>1382.30015</v>
      </c>
      <c r="FE10" s="38">
        <f t="shared" si="27"/>
        <v>1382.30015</v>
      </c>
      <c r="FF10" s="38">
        <f>FD$6*'2017B'!$F10</f>
        <v>827.214498</v>
      </c>
      <c r="FG10" s="38">
        <f>FD$6*'2017B'!$G10</f>
        <v>91.524026</v>
      </c>
      <c r="FH10" s="55"/>
      <c r="FI10" s="38">
        <f>FJ$6*'2017B'!$C10</f>
        <v>0</v>
      </c>
      <c r="FJ10" s="38">
        <f>FJ$6*'2017B'!$D10</f>
        <v>9777.4186125</v>
      </c>
      <c r="FK10" s="38">
        <f t="shared" si="28"/>
        <v>9777.4186125</v>
      </c>
      <c r="FL10" s="38">
        <f>FJ$6*'2017B'!$F10</f>
        <v>5851.1332935</v>
      </c>
      <c r="FM10" s="38">
        <f>FJ$6*'2017B'!$G10</f>
        <v>647.3765595</v>
      </c>
      <c r="FN10" s="55"/>
      <c r="FO10" s="38">
        <f>FP$6*'2017B'!$C10</f>
        <v>0</v>
      </c>
      <c r="FP10" s="38">
        <f>FP$6*'2017B'!$D10</f>
        <v>3311.6155625</v>
      </c>
      <c r="FQ10" s="38">
        <f t="shared" si="29"/>
        <v>3311.6155625</v>
      </c>
      <c r="FR10" s="38">
        <f>FP$6*'2017B'!$F10</f>
        <v>1981.7811675</v>
      </c>
      <c r="FS10" s="38">
        <f>FP$6*'2017B'!$G10</f>
        <v>219.26669750000002</v>
      </c>
      <c r="FT10" s="55"/>
      <c r="FU10" s="38">
        <f>FV$6*'2017B'!$C10</f>
        <v>0</v>
      </c>
      <c r="FV10" s="38">
        <f>FV$6*'2017B'!$D10</f>
        <v>715.6455249999999</v>
      </c>
      <c r="FW10" s="38">
        <f t="shared" si="30"/>
        <v>715.6455249999999</v>
      </c>
      <c r="FX10" s="38">
        <f>FV$6*'2017B'!$F10</f>
        <v>428.266143</v>
      </c>
      <c r="FY10" s="38">
        <f>FV$6*'2017B'!$G10</f>
        <v>47.383891</v>
      </c>
      <c r="FZ10" s="55"/>
      <c r="GA10" s="38">
        <f>GB$6*'2017B'!$C10</f>
        <v>0</v>
      </c>
      <c r="GB10" s="38">
        <f>GB$6*'2017B'!$D10</f>
        <v>1887.2449749999998</v>
      </c>
      <c r="GC10" s="38">
        <f t="shared" si="31"/>
        <v>1887.2449749999998</v>
      </c>
      <c r="GD10" s="38">
        <f>GB$6*'2017B'!$F10</f>
        <v>1129.3903169999999</v>
      </c>
      <c r="GE10" s="38">
        <f>GB$6*'2017B'!$G10</f>
        <v>124.957129</v>
      </c>
      <c r="GF10" s="55"/>
      <c r="GG10" s="38">
        <f>GH$6*'2017B'!$C10</f>
        <v>0</v>
      </c>
      <c r="GH10" s="38">
        <f>GH$6*'2017B'!$D10</f>
        <v>10.3060125</v>
      </c>
      <c r="GI10" s="38">
        <f t="shared" si="32"/>
        <v>10.3060125</v>
      </c>
      <c r="GJ10" s="38">
        <f>GH$6*'2017B'!$F10</f>
        <v>6.1674615</v>
      </c>
      <c r="GK10" s="38">
        <f>GH$6*'2017B'!$G10</f>
        <v>0.6823754999999999</v>
      </c>
      <c r="GL10" s="55"/>
      <c r="GM10" s="55"/>
      <c r="GN10" s="55"/>
      <c r="GO10" s="55"/>
      <c r="GP10" s="55"/>
      <c r="GQ10" s="55"/>
      <c r="GR10" s="55"/>
      <c r="GS10" s="55"/>
      <c r="GT10" s="55"/>
      <c r="GU10" s="55"/>
      <c r="GV10" s="55"/>
      <c r="GW10" s="55"/>
      <c r="GX10" s="55"/>
      <c r="GY10" s="55"/>
      <c r="GZ10" s="55"/>
      <c r="HA10" s="55"/>
      <c r="HB10" s="55"/>
      <c r="HC10" s="55"/>
    </row>
    <row r="11" spans="1:211" s="57" customFormat="1" ht="12.75">
      <c r="A11" s="56">
        <v>44287</v>
      </c>
      <c r="B11" s="55"/>
      <c r="C11" s="38">
        <f t="shared" si="0"/>
        <v>1154933.241</v>
      </c>
      <c r="D11" s="38">
        <f t="shared" si="0"/>
        <v>88327.5556625</v>
      </c>
      <c r="E11" s="38">
        <f t="shared" si="1"/>
        <v>1243260.7966625</v>
      </c>
      <c r="F11" s="38">
        <f t="shared" si="0"/>
        <v>52858.15429949999</v>
      </c>
      <c r="G11" s="38">
        <f t="shared" si="0"/>
        <v>5848.290981499999</v>
      </c>
      <c r="I11" s="38">
        <f>J$6*'2017B'!$C11</f>
        <v>46411.743</v>
      </c>
      <c r="J11" s="38">
        <f>J$6*'2017B'!$D11</f>
        <v>3549.5002375</v>
      </c>
      <c r="K11" s="38">
        <f t="shared" si="2"/>
        <v>49961.2432375</v>
      </c>
      <c r="L11" s="38">
        <f>J$6*'2017B'!$F11</f>
        <v>2124.1392885</v>
      </c>
      <c r="M11" s="38">
        <f>J$6*'2017B'!$G11</f>
        <v>235.0173745</v>
      </c>
      <c r="O11" s="38">
        <f>P$6*'2017B'!$C11</f>
        <v>150305.484</v>
      </c>
      <c r="P11" s="38">
        <f>P$6*'2017B'!$D11</f>
        <v>11495.137149999999</v>
      </c>
      <c r="Q11" s="38">
        <f t="shared" si="3"/>
        <v>161800.62115</v>
      </c>
      <c r="R11" s="38">
        <f>P$6*'2017B'!$F11</f>
        <v>6879.073337999999</v>
      </c>
      <c r="S11" s="38">
        <f>P$6*'2017B'!$G11</f>
        <v>761.109106</v>
      </c>
      <c r="T11" s="55"/>
      <c r="U11" s="38">
        <f>V$6*'2017B'!$C11</f>
        <v>8599.059000000001</v>
      </c>
      <c r="V11" s="38">
        <f>V$6*'2017B'!$D11</f>
        <v>657.6430875</v>
      </c>
      <c r="W11" s="38">
        <f t="shared" si="4"/>
        <v>9256.702087500002</v>
      </c>
      <c r="X11" s="38">
        <f>V$6*'2017B'!$F11</f>
        <v>393.55555050000004</v>
      </c>
      <c r="Y11" s="38">
        <f>V$6*'2017B'!$G11</f>
        <v>43.5434685</v>
      </c>
      <c r="Z11" s="55"/>
      <c r="AA11" s="38">
        <f>AB$6*'2017B'!$C11</f>
        <v>33370.911</v>
      </c>
      <c r="AB11" s="38">
        <f>AB$6*'2017B'!$D11</f>
        <v>2552.1570374999997</v>
      </c>
      <c r="AC11" s="38">
        <f t="shared" si="5"/>
        <v>35923.0680375</v>
      </c>
      <c r="AD11" s="38">
        <f>AB$6*'2017B'!$F11</f>
        <v>1527.2958644999999</v>
      </c>
      <c r="AE11" s="38">
        <f>AB$6*'2017B'!$G11</f>
        <v>168.9818865</v>
      </c>
      <c r="AF11" s="55"/>
      <c r="AG11" s="38">
        <f>AH$6*'2017B'!$C11</f>
        <v>86479.491</v>
      </c>
      <c r="AH11" s="38">
        <f>AH$6*'2017B'!$D11</f>
        <v>6613.8212875</v>
      </c>
      <c r="AI11" s="38">
        <f t="shared" si="6"/>
        <v>93093.3122875</v>
      </c>
      <c r="AJ11" s="38">
        <f>AH$6*'2017B'!$F11</f>
        <v>3957.9311745</v>
      </c>
      <c r="AK11" s="38">
        <f>AH$6*'2017B'!$G11</f>
        <v>437.9103565</v>
      </c>
      <c r="AL11" s="55"/>
      <c r="AM11" s="38">
        <f>AN$6*'2017B'!$C11</f>
        <v>19763.709</v>
      </c>
      <c r="AN11" s="38">
        <f>AN$6*'2017B'!$D11</f>
        <v>1511.4987125</v>
      </c>
      <c r="AO11" s="38">
        <f t="shared" si="7"/>
        <v>21275.2077125</v>
      </c>
      <c r="AP11" s="38">
        <f>AN$6*'2017B'!$F11</f>
        <v>904.5312254999999</v>
      </c>
      <c r="AQ11" s="38">
        <f>AN$6*'2017B'!$G11</f>
        <v>100.07844349999999</v>
      </c>
      <c r="AR11" s="55"/>
      <c r="AS11" s="38">
        <f>AT$6*'2017B'!$C11</f>
        <v>257354.62200000003</v>
      </c>
      <c r="AT11" s="38">
        <f>AT$6*'2017B'!$D11</f>
        <v>19682.094075</v>
      </c>
      <c r="AU11" s="38">
        <f t="shared" si="8"/>
        <v>277036.716075</v>
      </c>
      <c r="AV11" s="38">
        <f>AT$6*'2017B'!$F11</f>
        <v>11778.421329</v>
      </c>
      <c r="AW11" s="38">
        <f>AT$6*'2017B'!$G11</f>
        <v>1303.178973</v>
      </c>
      <c r="AX11" s="55"/>
      <c r="AY11" s="38">
        <f>AZ$6*'2017B'!$C11</f>
        <v>7989.071999999999</v>
      </c>
      <c r="AZ11" s="38">
        <f>AZ$6*'2017B'!$D11</f>
        <v>610.9921999999999</v>
      </c>
      <c r="BA11" s="38">
        <f t="shared" si="9"/>
        <v>8600.064199999999</v>
      </c>
      <c r="BB11" s="38">
        <f>AZ$6*'2017B'!$F11</f>
        <v>365.638104</v>
      </c>
      <c r="BC11" s="38">
        <f>AZ$6*'2017B'!$G11</f>
        <v>40.454648</v>
      </c>
      <c r="BD11" s="55"/>
      <c r="BE11" s="38">
        <f>BF$6*'2017B'!$C11</f>
        <v>10374.987</v>
      </c>
      <c r="BF11" s="38">
        <f>BF$6*'2017B'!$D11</f>
        <v>793.4633875</v>
      </c>
      <c r="BG11" s="38">
        <f t="shared" si="10"/>
        <v>11168.4503875</v>
      </c>
      <c r="BH11" s="38">
        <f>BF$6*'2017B'!$F11</f>
        <v>474.8349465</v>
      </c>
      <c r="BI11" s="38">
        <f>BF$6*'2017B'!$G11</f>
        <v>52.5363205</v>
      </c>
      <c r="BJ11" s="55"/>
      <c r="BK11" s="38">
        <f>BL$6*'2017B'!$C11</f>
        <v>357.399</v>
      </c>
      <c r="BL11" s="38">
        <f>BL$6*'2017B'!$D11</f>
        <v>27.3333375</v>
      </c>
      <c r="BM11" s="38">
        <f t="shared" si="11"/>
        <v>384.73233749999997</v>
      </c>
      <c r="BN11" s="38">
        <f>BL$6*'2017B'!$F11</f>
        <v>16.3571805</v>
      </c>
      <c r="BO11" s="38">
        <f>BL$6*'2017B'!$G11</f>
        <v>1.8097785</v>
      </c>
      <c r="BP11" s="55"/>
      <c r="BQ11" s="38">
        <f>BR$6*'2017B'!$C11</f>
        <v>392.553</v>
      </c>
      <c r="BR11" s="38">
        <f>BR$6*'2017B'!$D11</f>
        <v>30.0218625</v>
      </c>
      <c r="BS11" s="38">
        <f t="shared" si="12"/>
        <v>422.5748625</v>
      </c>
      <c r="BT11" s="38">
        <f>BR$6*'2017B'!$F11</f>
        <v>17.9660835</v>
      </c>
      <c r="BU11" s="38">
        <f>BR$6*'2017B'!$G11</f>
        <v>1.9877895</v>
      </c>
      <c r="BV11" s="55"/>
      <c r="BW11" s="38">
        <f>BX$6*'2017B'!$C11</f>
        <v>33109.86</v>
      </c>
      <c r="BX11" s="38">
        <f>BX$6*'2017B'!$D11</f>
        <v>2532.19225</v>
      </c>
      <c r="BY11" s="38">
        <f t="shared" si="13"/>
        <v>35642.05225</v>
      </c>
      <c r="BZ11" s="38">
        <f>BX$6*'2017B'!$F11</f>
        <v>1515.3482700000002</v>
      </c>
      <c r="CA11" s="38">
        <f>BX$6*'2017B'!$G11</f>
        <v>167.65999000000002</v>
      </c>
      <c r="CB11" s="55"/>
      <c r="CC11" s="38">
        <f>CD$6*'2017B'!$C11</f>
        <v>2664.5429999999997</v>
      </c>
      <c r="CD11" s="38">
        <f>CD$6*'2017B'!$D11</f>
        <v>203.7802375</v>
      </c>
      <c r="CE11" s="38">
        <f t="shared" si="14"/>
        <v>2868.3232375</v>
      </c>
      <c r="CF11" s="38">
        <f>CD$6*'2017B'!$F11</f>
        <v>121.9488885</v>
      </c>
      <c r="CG11" s="38">
        <f>CD$6*'2017B'!$G11</f>
        <v>13.4925745</v>
      </c>
      <c r="CH11" s="55"/>
      <c r="CI11" s="38">
        <f>CJ$6*'2017B'!$C11</f>
        <v>3020.64</v>
      </c>
      <c r="CJ11" s="38">
        <f>CJ$6*'2017B'!$D11</f>
        <v>231.014</v>
      </c>
      <c r="CK11" s="38">
        <f t="shared" si="15"/>
        <v>3251.654</v>
      </c>
      <c r="CL11" s="38">
        <f>CJ$6*'2017B'!$F11</f>
        <v>138.24648</v>
      </c>
      <c r="CM11" s="38">
        <f>CJ$6*'2017B'!$G11</f>
        <v>15.29576</v>
      </c>
      <c r="CN11" s="55"/>
      <c r="CO11" s="38">
        <f>CP$6*'2017B'!$C11</f>
        <v>65687.853</v>
      </c>
      <c r="CP11" s="38">
        <f>CP$6*'2017B'!$D11</f>
        <v>5023.7081125</v>
      </c>
      <c r="CQ11" s="38">
        <f t="shared" si="16"/>
        <v>70711.5611125</v>
      </c>
      <c r="CR11" s="38">
        <f>CP$6*'2017B'!$F11</f>
        <v>3006.3544335</v>
      </c>
      <c r="CS11" s="38">
        <f>CP$6*'2017B'!$G11</f>
        <v>332.6267395</v>
      </c>
      <c r="CT11" s="55"/>
      <c r="CU11" s="38">
        <f>CV$6*'2017B'!$C11</f>
        <v>40992.168</v>
      </c>
      <c r="CV11" s="38">
        <f>CV$6*'2017B'!$D11</f>
        <v>3135.0193</v>
      </c>
      <c r="CW11" s="38">
        <f t="shared" si="17"/>
        <v>44127.1873</v>
      </c>
      <c r="CX11" s="38">
        <f>CV$6*'2017B'!$F11</f>
        <v>1876.100076</v>
      </c>
      <c r="CY11" s="38">
        <f>CV$6*'2017B'!$G11</f>
        <v>207.574012</v>
      </c>
      <c r="CZ11" s="55"/>
      <c r="DA11" s="38">
        <f>DB$6*'2017B'!$C11</f>
        <v>1295.49</v>
      </c>
      <c r="DB11" s="38">
        <f>DB$6*'2017B'!$D11</f>
        <v>99.07712500000001</v>
      </c>
      <c r="DC11" s="38">
        <f t="shared" si="18"/>
        <v>1394.567125</v>
      </c>
      <c r="DD11" s="38">
        <f>DB$6*'2017B'!$F11</f>
        <v>59.29105500000001</v>
      </c>
      <c r="DE11" s="38">
        <f>DB$6*'2017B'!$G11</f>
        <v>6.560035</v>
      </c>
      <c r="DF11" s="55"/>
      <c r="DG11" s="38">
        <f>DH$6*'2017B'!$C11</f>
        <v>5611.62</v>
      </c>
      <c r="DH11" s="38">
        <f>DH$6*'2017B'!$D11</f>
        <v>429.16825</v>
      </c>
      <c r="DI11" s="38">
        <f t="shared" si="19"/>
        <v>6040.78825</v>
      </c>
      <c r="DJ11" s="38">
        <f>DH$6*'2017B'!$F11</f>
        <v>256.82859</v>
      </c>
      <c r="DK11" s="38">
        <f>DH$6*'2017B'!$G11</f>
        <v>28.41583</v>
      </c>
      <c r="DL11" s="55"/>
      <c r="DM11" s="38">
        <f>DN$6*'2017B'!$C11</f>
        <v>7429.863</v>
      </c>
      <c r="DN11" s="38">
        <f>DN$6*'2017B'!$D11</f>
        <v>568.2247375000001</v>
      </c>
      <c r="DO11" s="38">
        <f t="shared" si="20"/>
        <v>7998.0877375</v>
      </c>
      <c r="DP11" s="38">
        <f>DN$6*'2017B'!$F11</f>
        <v>340.0446285</v>
      </c>
      <c r="DQ11" s="38">
        <f>DN$6*'2017B'!$G11</f>
        <v>37.6229545</v>
      </c>
      <c r="DR11" s="55"/>
      <c r="DS11" s="38">
        <f>DT$6*'2017B'!$C11</f>
        <v>44473.065</v>
      </c>
      <c r="DT11" s="38">
        <f>DT$6*'2017B'!$D11</f>
        <v>3401.2330625</v>
      </c>
      <c r="DU11" s="38">
        <f t="shared" si="21"/>
        <v>47874.298062500005</v>
      </c>
      <c r="DV11" s="38">
        <f>DT$6*'2017B'!$F11</f>
        <v>2035.4112675</v>
      </c>
      <c r="DW11" s="38">
        <f>DT$6*'2017B'!$G11</f>
        <v>225.2003975</v>
      </c>
      <c r="DX11" s="55"/>
      <c r="DY11" s="38">
        <f>DZ$6*'2017B'!$C11</f>
        <v>11161.395</v>
      </c>
      <c r="DZ11" s="38">
        <f>DZ$6*'2017B'!$D11</f>
        <v>853.6066875</v>
      </c>
      <c r="EA11" s="38">
        <f t="shared" si="22"/>
        <v>12015.0016875</v>
      </c>
      <c r="EB11" s="38">
        <f>DZ$6*'2017B'!$F11</f>
        <v>510.8267025</v>
      </c>
      <c r="EC11" s="38">
        <f>DZ$6*'2017B'!$G11</f>
        <v>56.5184925</v>
      </c>
      <c r="ED11" s="55"/>
      <c r="EE11" s="38">
        <f>EF$6*'2017B'!$C11</f>
        <v>29595.111</v>
      </c>
      <c r="EF11" s="38">
        <f>EF$6*'2017B'!$D11</f>
        <v>2263.3895375</v>
      </c>
      <c r="EG11" s="38">
        <f t="shared" si="23"/>
        <v>31858.5005375</v>
      </c>
      <c r="EH11" s="38">
        <f>EF$6*'2017B'!$F11</f>
        <v>1354.4877645</v>
      </c>
      <c r="EI11" s="38">
        <f>EF$6*'2017B'!$G11</f>
        <v>149.8621865</v>
      </c>
      <c r="EJ11" s="55"/>
      <c r="EK11" s="38">
        <f>EL$6*'2017B'!$C11</f>
        <v>583.2959999999999</v>
      </c>
      <c r="EL11" s="38">
        <f>EL$6*'2017B'!$D11</f>
        <v>44.6096</v>
      </c>
      <c r="EM11" s="38">
        <f t="shared" si="24"/>
        <v>627.9055999999999</v>
      </c>
      <c r="EN11" s="38">
        <f>EL$6*'2017B'!$F11</f>
        <v>26.695871999999998</v>
      </c>
      <c r="EO11" s="38">
        <f>EL$6*'2017B'!$G11</f>
        <v>2.953664</v>
      </c>
      <c r="EP11" s="55"/>
      <c r="EQ11" s="38">
        <f>ER$6*'2017B'!$C11</f>
        <v>17506.040999999997</v>
      </c>
      <c r="ER11" s="38">
        <f>ER$6*'2017B'!$D11</f>
        <v>1338.8356625</v>
      </c>
      <c r="ES11" s="38">
        <f t="shared" si="25"/>
        <v>18844.8766625</v>
      </c>
      <c r="ET11" s="38">
        <f>ER$6*'2017B'!$F11</f>
        <v>801.2038994999999</v>
      </c>
      <c r="EU11" s="38">
        <f>ER$6*'2017B'!$G11</f>
        <v>88.6461815</v>
      </c>
      <c r="EV11" s="55"/>
      <c r="EW11" s="38">
        <f>EX$6*'2017B'!$C11</f>
        <v>47013.267</v>
      </c>
      <c r="EX11" s="38">
        <f>EX$6*'2017B'!$D11</f>
        <v>3595.5038875</v>
      </c>
      <c r="EY11" s="38">
        <f t="shared" si="26"/>
        <v>50608.7708875</v>
      </c>
      <c r="EZ11" s="38">
        <f>EX$6*'2017B'!$F11</f>
        <v>2151.6694065</v>
      </c>
      <c r="FA11" s="38">
        <f>EX$6*'2017B'!$G11</f>
        <v>238.0633405</v>
      </c>
      <c r="FB11" s="55"/>
      <c r="FC11" s="38">
        <f>FD$6*'2017B'!$C11</f>
        <v>18074.364</v>
      </c>
      <c r="FD11" s="38">
        <f>FD$6*'2017B'!$D11</f>
        <v>1382.30015</v>
      </c>
      <c r="FE11" s="38">
        <f t="shared" si="27"/>
        <v>19456.66415</v>
      </c>
      <c r="FF11" s="38">
        <f>FD$6*'2017B'!$F11</f>
        <v>827.214498</v>
      </c>
      <c r="FG11" s="38">
        <f>FD$6*'2017B'!$G11</f>
        <v>91.524026</v>
      </c>
      <c r="FH11" s="55"/>
      <c r="FI11" s="38">
        <f>FJ$6*'2017B'!$C11</f>
        <v>127845.333</v>
      </c>
      <c r="FJ11" s="38">
        <f>FJ$6*'2017B'!$D11</f>
        <v>9777.4186125</v>
      </c>
      <c r="FK11" s="38">
        <f t="shared" si="28"/>
        <v>137622.7516125</v>
      </c>
      <c r="FL11" s="38">
        <f>FJ$6*'2017B'!$F11</f>
        <v>5851.1332935</v>
      </c>
      <c r="FM11" s="38">
        <f>FJ$6*'2017B'!$G11</f>
        <v>647.3765595</v>
      </c>
      <c r="FN11" s="55"/>
      <c r="FO11" s="38">
        <f>FP$6*'2017B'!$C11</f>
        <v>43301.265</v>
      </c>
      <c r="FP11" s="38">
        <f>FP$6*'2017B'!$D11</f>
        <v>3311.6155625</v>
      </c>
      <c r="FQ11" s="38">
        <f t="shared" si="29"/>
        <v>46612.8805625</v>
      </c>
      <c r="FR11" s="38">
        <f>FP$6*'2017B'!$F11</f>
        <v>1981.7811675</v>
      </c>
      <c r="FS11" s="38">
        <f>FP$6*'2017B'!$G11</f>
        <v>219.26669750000002</v>
      </c>
      <c r="FT11" s="55"/>
      <c r="FU11" s="38">
        <f>FV$6*'2017B'!$C11</f>
        <v>9357.474</v>
      </c>
      <c r="FV11" s="38">
        <f>FV$6*'2017B'!$D11</f>
        <v>715.6455249999999</v>
      </c>
      <c r="FW11" s="38">
        <f t="shared" si="30"/>
        <v>10073.119525</v>
      </c>
      <c r="FX11" s="38">
        <f>FV$6*'2017B'!$F11</f>
        <v>428.266143</v>
      </c>
      <c r="FY11" s="38">
        <f>FV$6*'2017B'!$G11</f>
        <v>47.383891</v>
      </c>
      <c r="FZ11" s="55"/>
      <c r="GA11" s="38">
        <f>GB$6*'2017B'!$C11</f>
        <v>24676.806</v>
      </c>
      <c r="GB11" s="38">
        <f>GB$6*'2017B'!$D11</f>
        <v>1887.2449749999998</v>
      </c>
      <c r="GC11" s="38">
        <f t="shared" si="31"/>
        <v>26564.050975000002</v>
      </c>
      <c r="GD11" s="38">
        <f>GB$6*'2017B'!$F11</f>
        <v>1129.3903169999999</v>
      </c>
      <c r="GE11" s="38">
        <f>GB$6*'2017B'!$G11</f>
        <v>124.957129</v>
      </c>
      <c r="GF11" s="55"/>
      <c r="GG11" s="38">
        <f>GH$6*'2017B'!$C11</f>
        <v>134.75699999999998</v>
      </c>
      <c r="GH11" s="38">
        <f>GH$6*'2017B'!$D11</f>
        <v>10.3060125</v>
      </c>
      <c r="GI11" s="38">
        <f t="shared" si="32"/>
        <v>145.06301249999999</v>
      </c>
      <c r="GJ11" s="38">
        <f>GH$6*'2017B'!$F11</f>
        <v>6.1674615</v>
      </c>
      <c r="GK11" s="38">
        <f>GH$6*'2017B'!$G11</f>
        <v>0.6823754999999999</v>
      </c>
      <c r="GL11" s="55"/>
      <c r="GM11" s="55"/>
      <c r="GN11" s="55"/>
      <c r="GO11" s="55"/>
      <c r="GP11" s="55"/>
      <c r="GQ11" s="55"/>
      <c r="GR11" s="55"/>
      <c r="GS11" s="55"/>
      <c r="GT11" s="55"/>
      <c r="GU11" s="55"/>
      <c r="GV11" s="55"/>
      <c r="GW11" s="55"/>
      <c r="GX11" s="55"/>
      <c r="GY11" s="55"/>
      <c r="GZ11" s="55"/>
      <c r="HA11" s="55"/>
      <c r="HB11" s="55"/>
      <c r="HC11" s="55"/>
    </row>
    <row r="12" spans="1:211" s="57" customFormat="1" ht="12.75">
      <c r="A12" s="56">
        <v>44470</v>
      </c>
      <c r="B12" s="55"/>
      <c r="C12" s="38">
        <f t="shared" si="0"/>
        <v>0</v>
      </c>
      <c r="D12" s="38">
        <f t="shared" si="0"/>
        <v>59454.22463750001</v>
      </c>
      <c r="E12" s="38">
        <f t="shared" si="1"/>
        <v>59454.22463750001</v>
      </c>
      <c r="F12" s="38">
        <f t="shared" si="0"/>
        <v>52858.15429949999</v>
      </c>
      <c r="G12" s="38">
        <f t="shared" si="0"/>
        <v>5848.290981499999</v>
      </c>
      <c r="I12" s="38">
        <f>J$6*'2017B'!$C12</f>
        <v>0</v>
      </c>
      <c r="J12" s="38">
        <f>J$6*'2017B'!$D12</f>
        <v>2389.2066624999998</v>
      </c>
      <c r="K12" s="38">
        <f t="shared" si="2"/>
        <v>2389.2066624999998</v>
      </c>
      <c r="L12" s="38">
        <f>J$6*'2017B'!$F12</f>
        <v>2124.1392885</v>
      </c>
      <c r="M12" s="38">
        <f>J$6*'2017B'!$G12</f>
        <v>235.0173745</v>
      </c>
      <c r="O12" s="38">
        <f>P$6*'2017B'!$C12</f>
        <v>0</v>
      </c>
      <c r="P12" s="38">
        <f>P$6*'2017B'!$D12</f>
        <v>7737.50005</v>
      </c>
      <c r="Q12" s="38">
        <f t="shared" si="3"/>
        <v>7737.50005</v>
      </c>
      <c r="R12" s="38">
        <f>P$6*'2017B'!$F12</f>
        <v>6879.073337999999</v>
      </c>
      <c r="S12" s="38">
        <f>P$6*'2017B'!$G12</f>
        <v>761.109106</v>
      </c>
      <c r="T12" s="55"/>
      <c r="U12" s="38">
        <f>V$6*'2017B'!$C12</f>
        <v>0</v>
      </c>
      <c r="V12" s="38">
        <f>V$6*'2017B'!$D12</f>
        <v>442.66661250000004</v>
      </c>
      <c r="W12" s="38">
        <f t="shared" si="4"/>
        <v>442.66661250000004</v>
      </c>
      <c r="X12" s="38">
        <f>V$6*'2017B'!$F12</f>
        <v>393.55555050000004</v>
      </c>
      <c r="Y12" s="38">
        <f>V$6*'2017B'!$G12</f>
        <v>43.5434685</v>
      </c>
      <c r="Z12" s="55"/>
      <c r="AA12" s="38">
        <f>AB$6*'2017B'!$C12</f>
        <v>0</v>
      </c>
      <c r="AB12" s="38">
        <f>AB$6*'2017B'!$D12</f>
        <v>1717.8842625</v>
      </c>
      <c r="AC12" s="38">
        <f t="shared" si="5"/>
        <v>1717.8842625</v>
      </c>
      <c r="AD12" s="38">
        <f>AB$6*'2017B'!$F12</f>
        <v>1527.2958644999999</v>
      </c>
      <c r="AE12" s="38">
        <f>AB$6*'2017B'!$G12</f>
        <v>168.9818865</v>
      </c>
      <c r="AF12" s="55"/>
      <c r="AG12" s="38">
        <f>AH$6*'2017B'!$C12</f>
        <v>0</v>
      </c>
      <c r="AH12" s="38">
        <f>AH$6*'2017B'!$D12</f>
        <v>4451.8340125</v>
      </c>
      <c r="AI12" s="38">
        <f t="shared" si="6"/>
        <v>4451.8340125</v>
      </c>
      <c r="AJ12" s="38">
        <f>AH$6*'2017B'!$F12</f>
        <v>3957.9311745</v>
      </c>
      <c r="AK12" s="38">
        <f>AH$6*'2017B'!$G12</f>
        <v>437.9103565</v>
      </c>
      <c r="AL12" s="55"/>
      <c r="AM12" s="38">
        <f>AN$6*'2017B'!$C12</f>
        <v>0</v>
      </c>
      <c r="AN12" s="38">
        <f>AN$6*'2017B'!$D12</f>
        <v>1017.4059874999999</v>
      </c>
      <c r="AO12" s="38">
        <f t="shared" si="7"/>
        <v>1017.4059874999999</v>
      </c>
      <c r="AP12" s="38">
        <f>AN$6*'2017B'!$F12</f>
        <v>904.5312254999999</v>
      </c>
      <c r="AQ12" s="38">
        <f>AN$6*'2017B'!$G12</f>
        <v>100.07844349999999</v>
      </c>
      <c r="AR12" s="55"/>
      <c r="AS12" s="38">
        <f>AT$6*'2017B'!$C12</f>
        <v>0</v>
      </c>
      <c r="AT12" s="38">
        <f>AT$6*'2017B'!$D12</f>
        <v>13248.228525</v>
      </c>
      <c r="AU12" s="38">
        <f t="shared" si="8"/>
        <v>13248.228525</v>
      </c>
      <c r="AV12" s="38">
        <f>AT$6*'2017B'!$F12</f>
        <v>11778.421329</v>
      </c>
      <c r="AW12" s="38">
        <f>AT$6*'2017B'!$G12</f>
        <v>1303.178973</v>
      </c>
      <c r="AX12" s="55"/>
      <c r="AY12" s="38">
        <f>AZ$6*'2017B'!$C12</f>
        <v>0</v>
      </c>
      <c r="AZ12" s="38">
        <f>AZ$6*'2017B'!$D12</f>
        <v>411.26539999999994</v>
      </c>
      <c r="BA12" s="38">
        <f t="shared" si="9"/>
        <v>411.26539999999994</v>
      </c>
      <c r="BB12" s="38">
        <f>AZ$6*'2017B'!$F12</f>
        <v>365.638104</v>
      </c>
      <c r="BC12" s="38">
        <f>AZ$6*'2017B'!$G12</f>
        <v>40.454648</v>
      </c>
      <c r="BD12" s="55"/>
      <c r="BE12" s="38">
        <f>BF$6*'2017B'!$C12</f>
        <v>0</v>
      </c>
      <c r="BF12" s="38">
        <f>BF$6*'2017B'!$D12</f>
        <v>534.0887125</v>
      </c>
      <c r="BG12" s="38">
        <f t="shared" si="10"/>
        <v>534.0887125</v>
      </c>
      <c r="BH12" s="38">
        <f>BF$6*'2017B'!$F12</f>
        <v>474.8349465</v>
      </c>
      <c r="BI12" s="38">
        <f>BF$6*'2017B'!$G12</f>
        <v>52.5363205</v>
      </c>
      <c r="BJ12" s="55"/>
      <c r="BK12" s="38">
        <f>BL$6*'2017B'!$C12</f>
        <v>0</v>
      </c>
      <c r="BL12" s="38">
        <f>BL$6*'2017B'!$D12</f>
        <v>18.3983625</v>
      </c>
      <c r="BM12" s="38">
        <f t="shared" si="11"/>
        <v>18.3983625</v>
      </c>
      <c r="BN12" s="38">
        <f>BL$6*'2017B'!$F12</f>
        <v>16.3571805</v>
      </c>
      <c r="BO12" s="38">
        <f>BL$6*'2017B'!$G12</f>
        <v>1.8097785</v>
      </c>
      <c r="BP12" s="55"/>
      <c r="BQ12" s="38">
        <f>BR$6*'2017B'!$C12</f>
        <v>0</v>
      </c>
      <c r="BR12" s="38">
        <f>BR$6*'2017B'!$D12</f>
        <v>20.2080375</v>
      </c>
      <c r="BS12" s="38">
        <f t="shared" si="12"/>
        <v>20.2080375</v>
      </c>
      <c r="BT12" s="38">
        <f>BR$6*'2017B'!$F12</f>
        <v>17.9660835</v>
      </c>
      <c r="BU12" s="38">
        <f>BR$6*'2017B'!$G12</f>
        <v>1.9877895</v>
      </c>
      <c r="BV12" s="55"/>
      <c r="BW12" s="38">
        <f>BX$6*'2017B'!$C12</f>
        <v>0</v>
      </c>
      <c r="BX12" s="38">
        <f>BX$6*'2017B'!$D12</f>
        <v>1704.44575</v>
      </c>
      <c r="BY12" s="38">
        <f t="shared" si="13"/>
        <v>1704.44575</v>
      </c>
      <c r="BZ12" s="38">
        <f>BX$6*'2017B'!$F12</f>
        <v>1515.3482700000002</v>
      </c>
      <c r="CA12" s="38">
        <f>BX$6*'2017B'!$G12</f>
        <v>167.65999000000002</v>
      </c>
      <c r="CB12" s="55"/>
      <c r="CC12" s="38">
        <f>CD$6*'2017B'!$C12</f>
        <v>0</v>
      </c>
      <c r="CD12" s="38">
        <f>CD$6*'2017B'!$D12</f>
        <v>137.1666625</v>
      </c>
      <c r="CE12" s="38">
        <f t="shared" si="14"/>
        <v>137.1666625</v>
      </c>
      <c r="CF12" s="38">
        <f>CD$6*'2017B'!$F12</f>
        <v>121.9488885</v>
      </c>
      <c r="CG12" s="38">
        <f>CD$6*'2017B'!$G12</f>
        <v>13.4925745</v>
      </c>
      <c r="CH12" s="55"/>
      <c r="CI12" s="38">
        <f>CJ$6*'2017B'!$C12</f>
        <v>0</v>
      </c>
      <c r="CJ12" s="38">
        <f>CJ$6*'2017B'!$D12</f>
        <v>155.498</v>
      </c>
      <c r="CK12" s="38">
        <f t="shared" si="15"/>
        <v>155.498</v>
      </c>
      <c r="CL12" s="38">
        <f>CJ$6*'2017B'!$F12</f>
        <v>138.24648</v>
      </c>
      <c r="CM12" s="38">
        <f>CJ$6*'2017B'!$G12</f>
        <v>15.29576</v>
      </c>
      <c r="CN12" s="55"/>
      <c r="CO12" s="38">
        <f>CP$6*'2017B'!$C12</f>
        <v>0</v>
      </c>
      <c r="CP12" s="38">
        <f>CP$6*'2017B'!$D12</f>
        <v>3381.5117875</v>
      </c>
      <c r="CQ12" s="38">
        <f t="shared" si="16"/>
        <v>3381.5117875</v>
      </c>
      <c r="CR12" s="38">
        <f>CP$6*'2017B'!$F12</f>
        <v>3006.3544335</v>
      </c>
      <c r="CS12" s="38">
        <f>CP$6*'2017B'!$G12</f>
        <v>332.6267395</v>
      </c>
      <c r="CT12" s="55"/>
      <c r="CU12" s="38">
        <f>CV$6*'2017B'!$C12</f>
        <v>0</v>
      </c>
      <c r="CV12" s="38">
        <f>CV$6*'2017B'!$D12</f>
        <v>2110.2151</v>
      </c>
      <c r="CW12" s="38">
        <f t="shared" si="17"/>
        <v>2110.2151</v>
      </c>
      <c r="CX12" s="38">
        <f>CV$6*'2017B'!$F12</f>
        <v>1876.100076</v>
      </c>
      <c r="CY12" s="38">
        <f>CV$6*'2017B'!$G12</f>
        <v>207.574012</v>
      </c>
      <c r="CZ12" s="55"/>
      <c r="DA12" s="38">
        <f>DB$6*'2017B'!$C12</f>
        <v>0</v>
      </c>
      <c r="DB12" s="38">
        <f>DB$6*'2017B'!$D12</f>
        <v>66.689875</v>
      </c>
      <c r="DC12" s="38">
        <f t="shared" si="18"/>
        <v>66.689875</v>
      </c>
      <c r="DD12" s="38">
        <f>DB$6*'2017B'!$F12</f>
        <v>59.29105500000001</v>
      </c>
      <c r="DE12" s="38">
        <f>DB$6*'2017B'!$G12</f>
        <v>6.560035</v>
      </c>
      <c r="DF12" s="55"/>
      <c r="DG12" s="38">
        <f>DH$6*'2017B'!$C12</f>
        <v>0</v>
      </c>
      <c r="DH12" s="38">
        <f>DH$6*'2017B'!$D12</f>
        <v>288.87775</v>
      </c>
      <c r="DI12" s="38">
        <f t="shared" si="19"/>
        <v>288.87775</v>
      </c>
      <c r="DJ12" s="38">
        <f>DH$6*'2017B'!$F12</f>
        <v>256.82859</v>
      </c>
      <c r="DK12" s="38">
        <f>DH$6*'2017B'!$G12</f>
        <v>28.41583</v>
      </c>
      <c r="DL12" s="55"/>
      <c r="DM12" s="38">
        <f>DN$6*'2017B'!$C12</f>
        <v>0</v>
      </c>
      <c r="DN12" s="38">
        <f>DN$6*'2017B'!$D12</f>
        <v>382.4781625</v>
      </c>
      <c r="DO12" s="38">
        <f t="shared" si="20"/>
        <v>382.4781625</v>
      </c>
      <c r="DP12" s="38">
        <f>DN$6*'2017B'!$F12</f>
        <v>340.0446285</v>
      </c>
      <c r="DQ12" s="38">
        <f>DN$6*'2017B'!$G12</f>
        <v>37.6229545</v>
      </c>
      <c r="DR12" s="55"/>
      <c r="DS12" s="38">
        <f>DT$6*'2017B'!$C12</f>
        <v>0</v>
      </c>
      <c r="DT12" s="38">
        <f>DT$6*'2017B'!$D12</f>
        <v>2289.4064375</v>
      </c>
      <c r="DU12" s="38">
        <f t="shared" si="21"/>
        <v>2289.4064375</v>
      </c>
      <c r="DV12" s="38">
        <f>DT$6*'2017B'!$F12</f>
        <v>2035.4112675</v>
      </c>
      <c r="DW12" s="38">
        <f>DT$6*'2017B'!$G12</f>
        <v>225.2003975</v>
      </c>
      <c r="DX12" s="55"/>
      <c r="DY12" s="38">
        <f>DZ$6*'2017B'!$C12</f>
        <v>0</v>
      </c>
      <c r="DZ12" s="38">
        <f>DZ$6*'2017B'!$D12</f>
        <v>574.5718125000001</v>
      </c>
      <c r="EA12" s="38">
        <f t="shared" si="22"/>
        <v>574.5718125000001</v>
      </c>
      <c r="EB12" s="38">
        <f>DZ$6*'2017B'!$F12</f>
        <v>510.8267025</v>
      </c>
      <c r="EC12" s="38">
        <f>DZ$6*'2017B'!$G12</f>
        <v>56.5184925</v>
      </c>
      <c r="ED12" s="55"/>
      <c r="EE12" s="38">
        <f>EF$6*'2017B'!$C12</f>
        <v>0</v>
      </c>
      <c r="EF12" s="38">
        <f>EF$6*'2017B'!$D12</f>
        <v>1523.5117625</v>
      </c>
      <c r="EG12" s="38">
        <f t="shared" si="23"/>
        <v>1523.5117625</v>
      </c>
      <c r="EH12" s="38">
        <f>EF$6*'2017B'!$F12</f>
        <v>1354.4877645</v>
      </c>
      <c r="EI12" s="38">
        <f>EF$6*'2017B'!$G12</f>
        <v>149.8621865</v>
      </c>
      <c r="EJ12" s="55"/>
      <c r="EK12" s="38">
        <f>EL$6*'2017B'!$C12</f>
        <v>0</v>
      </c>
      <c r="EL12" s="38">
        <f>EL$6*'2017B'!$D12</f>
        <v>30.027199999999997</v>
      </c>
      <c r="EM12" s="38">
        <f t="shared" si="24"/>
        <v>30.027199999999997</v>
      </c>
      <c r="EN12" s="38">
        <f>EL$6*'2017B'!$F12</f>
        <v>26.695871999999998</v>
      </c>
      <c r="EO12" s="38">
        <f>EL$6*'2017B'!$G12</f>
        <v>2.953664</v>
      </c>
      <c r="EP12" s="55"/>
      <c r="EQ12" s="38">
        <f>ER$6*'2017B'!$C12</f>
        <v>0</v>
      </c>
      <c r="ER12" s="38">
        <f>ER$6*'2017B'!$D12</f>
        <v>901.1846374999999</v>
      </c>
      <c r="ES12" s="38">
        <f t="shared" si="25"/>
        <v>901.1846374999999</v>
      </c>
      <c r="ET12" s="38">
        <f>ER$6*'2017B'!$F12</f>
        <v>801.2038994999999</v>
      </c>
      <c r="EU12" s="38">
        <f>ER$6*'2017B'!$G12</f>
        <v>88.6461815</v>
      </c>
      <c r="EV12" s="55"/>
      <c r="EW12" s="38">
        <f>EX$6*'2017B'!$C12</f>
        <v>0</v>
      </c>
      <c r="EX12" s="38">
        <f>EX$6*'2017B'!$D12</f>
        <v>2420.1722125</v>
      </c>
      <c r="EY12" s="38">
        <f t="shared" si="26"/>
        <v>2420.1722125</v>
      </c>
      <c r="EZ12" s="38">
        <f>EX$6*'2017B'!$F12</f>
        <v>2151.6694065</v>
      </c>
      <c r="FA12" s="38">
        <f>EX$6*'2017B'!$G12</f>
        <v>238.0633405</v>
      </c>
      <c r="FB12" s="55"/>
      <c r="FC12" s="38">
        <f>FD$6*'2017B'!$C12</f>
        <v>0</v>
      </c>
      <c r="FD12" s="38">
        <f>FD$6*'2017B'!$D12</f>
        <v>930.44105</v>
      </c>
      <c r="FE12" s="38">
        <f t="shared" si="27"/>
        <v>930.44105</v>
      </c>
      <c r="FF12" s="38">
        <f>FD$6*'2017B'!$F12</f>
        <v>827.214498</v>
      </c>
      <c r="FG12" s="38">
        <f>FD$6*'2017B'!$G12</f>
        <v>91.524026</v>
      </c>
      <c r="FH12" s="55"/>
      <c r="FI12" s="38">
        <f>FJ$6*'2017B'!$C12</f>
        <v>0</v>
      </c>
      <c r="FJ12" s="38">
        <f>FJ$6*'2017B'!$D12</f>
        <v>6581.2852875</v>
      </c>
      <c r="FK12" s="38">
        <f t="shared" si="28"/>
        <v>6581.2852875</v>
      </c>
      <c r="FL12" s="38">
        <f>FJ$6*'2017B'!$F12</f>
        <v>5851.1332935</v>
      </c>
      <c r="FM12" s="38">
        <f>FJ$6*'2017B'!$G12</f>
        <v>647.3765595</v>
      </c>
      <c r="FN12" s="55"/>
      <c r="FO12" s="38">
        <f>FP$6*'2017B'!$C12</f>
        <v>0</v>
      </c>
      <c r="FP12" s="38">
        <f>FP$6*'2017B'!$D12</f>
        <v>2229.0839375</v>
      </c>
      <c r="FQ12" s="38">
        <f t="shared" si="29"/>
        <v>2229.0839375</v>
      </c>
      <c r="FR12" s="38">
        <f>FP$6*'2017B'!$F12</f>
        <v>1981.7811675</v>
      </c>
      <c r="FS12" s="38">
        <f>FP$6*'2017B'!$G12</f>
        <v>219.26669750000002</v>
      </c>
      <c r="FT12" s="55"/>
      <c r="FU12" s="38">
        <f>FV$6*'2017B'!$C12</f>
        <v>0</v>
      </c>
      <c r="FV12" s="38">
        <f>FV$6*'2017B'!$D12</f>
        <v>481.70867499999997</v>
      </c>
      <c r="FW12" s="38">
        <f t="shared" si="30"/>
        <v>481.70867499999997</v>
      </c>
      <c r="FX12" s="38">
        <f>FV$6*'2017B'!$F12</f>
        <v>428.266143</v>
      </c>
      <c r="FY12" s="38">
        <f>FV$6*'2017B'!$G12</f>
        <v>47.383891</v>
      </c>
      <c r="FZ12" s="55"/>
      <c r="GA12" s="38">
        <f>GB$6*'2017B'!$C12</f>
        <v>0</v>
      </c>
      <c r="GB12" s="38">
        <f>GB$6*'2017B'!$D12</f>
        <v>1270.324825</v>
      </c>
      <c r="GC12" s="38">
        <f t="shared" si="31"/>
        <v>1270.324825</v>
      </c>
      <c r="GD12" s="38">
        <f>GB$6*'2017B'!$F12</f>
        <v>1129.3903169999999</v>
      </c>
      <c r="GE12" s="38">
        <f>GB$6*'2017B'!$G12</f>
        <v>124.957129</v>
      </c>
      <c r="GF12" s="55"/>
      <c r="GG12" s="38">
        <f>GH$6*'2017B'!$C12</f>
        <v>0</v>
      </c>
      <c r="GH12" s="38">
        <f>GH$6*'2017B'!$D12</f>
        <v>6.9370875</v>
      </c>
      <c r="GI12" s="38">
        <f t="shared" si="32"/>
        <v>6.9370875</v>
      </c>
      <c r="GJ12" s="38">
        <f>GH$6*'2017B'!$F12</f>
        <v>6.1674615</v>
      </c>
      <c r="GK12" s="38">
        <f>GH$6*'2017B'!$G12</f>
        <v>0.6823754999999999</v>
      </c>
      <c r="GL12" s="55"/>
      <c r="GM12" s="55"/>
      <c r="GN12" s="55"/>
      <c r="GO12" s="55"/>
      <c r="GP12" s="55"/>
      <c r="GQ12" s="55"/>
      <c r="GR12" s="55"/>
      <c r="GS12" s="55"/>
      <c r="GT12" s="55"/>
      <c r="GU12" s="55"/>
      <c r="GV12" s="55"/>
      <c r="GW12" s="55"/>
      <c r="GX12" s="55"/>
      <c r="GY12" s="55"/>
      <c r="GZ12" s="55"/>
      <c r="HA12" s="55"/>
      <c r="HB12" s="55"/>
      <c r="HC12" s="55"/>
    </row>
    <row r="13" spans="1:211" s="57" customFormat="1" ht="12.75">
      <c r="A13" s="56">
        <v>44652</v>
      </c>
      <c r="B13" s="55"/>
      <c r="C13" s="38">
        <f t="shared" si="0"/>
        <v>1160255.514</v>
      </c>
      <c r="D13" s="38">
        <f t="shared" si="0"/>
        <v>59454.22463750001</v>
      </c>
      <c r="E13" s="38">
        <f t="shared" si="1"/>
        <v>1219709.7386375</v>
      </c>
      <c r="F13" s="38">
        <f t="shared" si="0"/>
        <v>52858.15429949999</v>
      </c>
      <c r="G13" s="38">
        <f t="shared" si="0"/>
        <v>5848.290981499999</v>
      </c>
      <c r="I13" s="38">
        <f>J$6*'2017B'!$C13</f>
        <v>46625.621999999996</v>
      </c>
      <c r="J13" s="38">
        <f>J$6*'2017B'!$D13</f>
        <v>2389.2066624999998</v>
      </c>
      <c r="K13" s="38">
        <f t="shared" si="2"/>
        <v>49014.8286625</v>
      </c>
      <c r="L13" s="38">
        <f>J$6*'2017B'!$F13</f>
        <v>2124.1392885</v>
      </c>
      <c r="M13" s="38">
        <f>J$6*'2017B'!$G13</f>
        <v>235.0173745</v>
      </c>
      <c r="O13" s="38">
        <f>P$6*'2017B'!$C13</f>
        <v>150998.136</v>
      </c>
      <c r="P13" s="38">
        <f>P$6*'2017B'!$D13</f>
        <v>7737.50005</v>
      </c>
      <c r="Q13" s="38">
        <f t="shared" si="3"/>
        <v>158735.63605</v>
      </c>
      <c r="R13" s="38">
        <f>P$6*'2017B'!$F13</f>
        <v>6879.073337999999</v>
      </c>
      <c r="S13" s="38">
        <f>P$6*'2017B'!$G13</f>
        <v>761.109106</v>
      </c>
      <c r="T13" s="55"/>
      <c r="U13" s="38">
        <f>V$6*'2017B'!$C13</f>
        <v>8638.686</v>
      </c>
      <c r="V13" s="38">
        <f>V$6*'2017B'!$D13</f>
        <v>442.66661250000004</v>
      </c>
      <c r="W13" s="38">
        <f t="shared" si="4"/>
        <v>9081.352612499999</v>
      </c>
      <c r="X13" s="38">
        <f>V$6*'2017B'!$F13</f>
        <v>393.55555050000004</v>
      </c>
      <c r="Y13" s="38">
        <f>V$6*'2017B'!$G13</f>
        <v>43.5434685</v>
      </c>
      <c r="Z13" s="55"/>
      <c r="AA13" s="38">
        <f>AB$6*'2017B'!$C13</f>
        <v>33524.693999999996</v>
      </c>
      <c r="AB13" s="38">
        <f>AB$6*'2017B'!$D13</f>
        <v>1717.8842625</v>
      </c>
      <c r="AC13" s="38">
        <f t="shared" si="5"/>
        <v>35242.5782625</v>
      </c>
      <c r="AD13" s="38">
        <f>AB$6*'2017B'!$F13</f>
        <v>1527.2958644999999</v>
      </c>
      <c r="AE13" s="38">
        <f>AB$6*'2017B'!$G13</f>
        <v>168.9818865</v>
      </c>
      <c r="AF13" s="55"/>
      <c r="AG13" s="38">
        <f>AH$6*'2017B'!$C13</f>
        <v>86878.014</v>
      </c>
      <c r="AH13" s="38">
        <f>AH$6*'2017B'!$D13</f>
        <v>4451.8340125</v>
      </c>
      <c r="AI13" s="38">
        <f t="shared" si="6"/>
        <v>91329.84801249999</v>
      </c>
      <c r="AJ13" s="38">
        <f>AH$6*'2017B'!$F13</f>
        <v>3957.9311745</v>
      </c>
      <c r="AK13" s="38">
        <f>AH$6*'2017B'!$G13</f>
        <v>437.9103565</v>
      </c>
      <c r="AL13" s="55"/>
      <c r="AM13" s="38">
        <f>AN$6*'2017B'!$C13</f>
        <v>19854.786</v>
      </c>
      <c r="AN13" s="38">
        <f>AN$6*'2017B'!$D13</f>
        <v>1017.4059874999999</v>
      </c>
      <c r="AO13" s="38">
        <f t="shared" si="7"/>
        <v>20872.1919875</v>
      </c>
      <c r="AP13" s="38">
        <f>AN$6*'2017B'!$F13</f>
        <v>904.5312254999999</v>
      </c>
      <c r="AQ13" s="38">
        <f>AN$6*'2017B'!$G13</f>
        <v>100.07844349999999</v>
      </c>
      <c r="AR13" s="55"/>
      <c r="AS13" s="38">
        <f>AT$6*'2017B'!$C13</f>
        <v>258540.58800000002</v>
      </c>
      <c r="AT13" s="38">
        <f>AT$6*'2017B'!$D13</f>
        <v>13248.228525</v>
      </c>
      <c r="AU13" s="38">
        <f t="shared" si="8"/>
        <v>271788.81652500003</v>
      </c>
      <c r="AV13" s="38">
        <f>AT$6*'2017B'!$F13</f>
        <v>11778.421329</v>
      </c>
      <c r="AW13" s="38">
        <f>AT$6*'2017B'!$G13</f>
        <v>1303.178973</v>
      </c>
      <c r="AX13" s="55"/>
      <c r="AY13" s="38">
        <f>AZ$6*'2017B'!$C13</f>
        <v>8025.887999999999</v>
      </c>
      <c r="AZ13" s="38">
        <f>AZ$6*'2017B'!$D13</f>
        <v>411.26539999999994</v>
      </c>
      <c r="BA13" s="38">
        <f t="shared" si="9"/>
        <v>8437.1534</v>
      </c>
      <c r="BB13" s="38">
        <f>AZ$6*'2017B'!$F13</f>
        <v>365.638104</v>
      </c>
      <c r="BC13" s="38">
        <f>AZ$6*'2017B'!$G13</f>
        <v>40.454648</v>
      </c>
      <c r="BD13" s="55"/>
      <c r="BE13" s="38">
        <f>BF$6*'2017B'!$C13</f>
        <v>10422.798</v>
      </c>
      <c r="BF13" s="38">
        <f>BF$6*'2017B'!$D13</f>
        <v>534.0887125</v>
      </c>
      <c r="BG13" s="38">
        <f t="shared" si="10"/>
        <v>10956.886712500002</v>
      </c>
      <c r="BH13" s="38">
        <f>BF$6*'2017B'!$F13</f>
        <v>474.8349465</v>
      </c>
      <c r="BI13" s="38">
        <f>BF$6*'2017B'!$G13</f>
        <v>52.5363205</v>
      </c>
      <c r="BJ13" s="55"/>
      <c r="BK13" s="38">
        <f>BL$6*'2017B'!$C13</f>
        <v>359.046</v>
      </c>
      <c r="BL13" s="38">
        <f>BL$6*'2017B'!$D13</f>
        <v>18.3983625</v>
      </c>
      <c r="BM13" s="38">
        <f t="shared" si="11"/>
        <v>377.4443625</v>
      </c>
      <c r="BN13" s="38">
        <f>BL$6*'2017B'!$F13</f>
        <v>16.3571805</v>
      </c>
      <c r="BO13" s="38">
        <f>BL$6*'2017B'!$G13</f>
        <v>1.8097785</v>
      </c>
      <c r="BP13" s="55"/>
      <c r="BQ13" s="38">
        <f>BR$6*'2017B'!$C13</f>
        <v>394.362</v>
      </c>
      <c r="BR13" s="38">
        <f>BR$6*'2017B'!$D13</f>
        <v>20.2080375</v>
      </c>
      <c r="BS13" s="38">
        <f t="shared" si="12"/>
        <v>414.5700375</v>
      </c>
      <c r="BT13" s="38">
        <f>BR$6*'2017B'!$F13</f>
        <v>17.9660835</v>
      </c>
      <c r="BU13" s="38">
        <f>BR$6*'2017B'!$G13</f>
        <v>1.9877895</v>
      </c>
      <c r="BV13" s="55"/>
      <c r="BW13" s="38">
        <f>BX$6*'2017B'!$C13</f>
        <v>33262.44</v>
      </c>
      <c r="BX13" s="38">
        <f>BX$6*'2017B'!$D13</f>
        <v>1704.44575</v>
      </c>
      <c r="BY13" s="38">
        <f t="shared" si="13"/>
        <v>34966.88575</v>
      </c>
      <c r="BZ13" s="38">
        <f>BX$6*'2017B'!$F13</f>
        <v>1515.3482700000002</v>
      </c>
      <c r="CA13" s="38">
        <f>BX$6*'2017B'!$G13</f>
        <v>167.65999000000002</v>
      </c>
      <c r="CB13" s="55"/>
      <c r="CC13" s="38">
        <f>CD$6*'2017B'!$C13</f>
        <v>2676.8219999999997</v>
      </c>
      <c r="CD13" s="38">
        <f>CD$6*'2017B'!$D13</f>
        <v>137.1666625</v>
      </c>
      <c r="CE13" s="38">
        <f t="shared" si="14"/>
        <v>2813.9886624999995</v>
      </c>
      <c r="CF13" s="38">
        <f>CD$6*'2017B'!$F13</f>
        <v>121.9488885</v>
      </c>
      <c r="CG13" s="38">
        <f>CD$6*'2017B'!$G13</f>
        <v>13.4925745</v>
      </c>
      <c r="CH13" s="55"/>
      <c r="CI13" s="38">
        <f>CJ$6*'2017B'!$C13</f>
        <v>3034.56</v>
      </c>
      <c r="CJ13" s="38">
        <f>CJ$6*'2017B'!$D13</f>
        <v>155.498</v>
      </c>
      <c r="CK13" s="38">
        <f t="shared" si="15"/>
        <v>3190.058</v>
      </c>
      <c r="CL13" s="38">
        <f>CJ$6*'2017B'!$F13</f>
        <v>138.24648</v>
      </c>
      <c r="CM13" s="38">
        <f>CJ$6*'2017B'!$G13</f>
        <v>15.29576</v>
      </c>
      <c r="CN13" s="55"/>
      <c r="CO13" s="38">
        <f>CP$6*'2017B'!$C13</f>
        <v>65990.562</v>
      </c>
      <c r="CP13" s="38">
        <f>CP$6*'2017B'!$D13</f>
        <v>3381.5117875</v>
      </c>
      <c r="CQ13" s="38">
        <f t="shared" si="16"/>
        <v>69372.0737875</v>
      </c>
      <c r="CR13" s="38">
        <f>CP$6*'2017B'!$F13</f>
        <v>3006.3544335</v>
      </c>
      <c r="CS13" s="38">
        <f>CP$6*'2017B'!$G13</f>
        <v>332.6267395</v>
      </c>
      <c r="CT13" s="55"/>
      <c r="CU13" s="38">
        <f>CV$6*'2017B'!$C13</f>
        <v>41181.072</v>
      </c>
      <c r="CV13" s="38">
        <f>CV$6*'2017B'!$D13</f>
        <v>2110.2151</v>
      </c>
      <c r="CW13" s="38">
        <f t="shared" si="17"/>
        <v>43291.2871</v>
      </c>
      <c r="CX13" s="38">
        <f>CV$6*'2017B'!$F13</f>
        <v>1876.100076</v>
      </c>
      <c r="CY13" s="38">
        <f>CV$6*'2017B'!$G13</f>
        <v>207.574012</v>
      </c>
      <c r="CZ13" s="55"/>
      <c r="DA13" s="38">
        <f>DB$6*'2017B'!$C13</f>
        <v>1301.46</v>
      </c>
      <c r="DB13" s="38">
        <f>DB$6*'2017B'!$D13</f>
        <v>66.689875</v>
      </c>
      <c r="DC13" s="38">
        <f t="shared" si="18"/>
        <v>1368.149875</v>
      </c>
      <c r="DD13" s="38">
        <f>DB$6*'2017B'!$F13</f>
        <v>59.29105500000001</v>
      </c>
      <c r="DE13" s="38">
        <f>DB$6*'2017B'!$G13</f>
        <v>6.560035</v>
      </c>
      <c r="DF13" s="55"/>
      <c r="DG13" s="38">
        <f>DH$6*'2017B'!$C13</f>
        <v>5637.4800000000005</v>
      </c>
      <c r="DH13" s="38">
        <f>DH$6*'2017B'!$D13</f>
        <v>288.87775</v>
      </c>
      <c r="DI13" s="38">
        <f t="shared" si="19"/>
        <v>5926.35775</v>
      </c>
      <c r="DJ13" s="38">
        <f>DH$6*'2017B'!$F13</f>
        <v>256.82859</v>
      </c>
      <c r="DK13" s="38">
        <f>DH$6*'2017B'!$G13</f>
        <v>28.41583</v>
      </c>
      <c r="DL13" s="55"/>
      <c r="DM13" s="38">
        <f>DN$6*'2017B'!$C13</f>
        <v>7464.102</v>
      </c>
      <c r="DN13" s="38">
        <f>DN$6*'2017B'!$D13</f>
        <v>382.4781625</v>
      </c>
      <c r="DO13" s="38">
        <f t="shared" si="20"/>
        <v>7846.5801624999995</v>
      </c>
      <c r="DP13" s="38">
        <f>DN$6*'2017B'!$F13</f>
        <v>340.0446285</v>
      </c>
      <c r="DQ13" s="38">
        <f>DN$6*'2017B'!$G13</f>
        <v>37.6229545</v>
      </c>
      <c r="DR13" s="55"/>
      <c r="DS13" s="38">
        <f>DT$6*'2017B'!$C13</f>
        <v>44678.01</v>
      </c>
      <c r="DT13" s="38">
        <f>DT$6*'2017B'!$D13</f>
        <v>2289.4064375</v>
      </c>
      <c r="DU13" s="38">
        <f t="shared" si="21"/>
        <v>46967.416437500004</v>
      </c>
      <c r="DV13" s="38">
        <f>DT$6*'2017B'!$F13</f>
        <v>2035.4112675</v>
      </c>
      <c r="DW13" s="38">
        <f>DT$6*'2017B'!$G13</f>
        <v>225.2003975</v>
      </c>
      <c r="DX13" s="55"/>
      <c r="DY13" s="38">
        <f>DZ$6*'2017B'!$C13</f>
        <v>11212.83</v>
      </c>
      <c r="DZ13" s="38">
        <f>DZ$6*'2017B'!$D13</f>
        <v>574.5718125000001</v>
      </c>
      <c r="EA13" s="38">
        <f t="shared" si="22"/>
        <v>11787.4018125</v>
      </c>
      <c r="EB13" s="38">
        <f>DZ$6*'2017B'!$F13</f>
        <v>510.8267025</v>
      </c>
      <c r="EC13" s="38">
        <f>DZ$6*'2017B'!$G13</f>
        <v>56.5184925</v>
      </c>
      <c r="ED13" s="55"/>
      <c r="EE13" s="38">
        <f>EF$6*'2017B'!$C13</f>
        <v>29731.494</v>
      </c>
      <c r="EF13" s="38">
        <f>EF$6*'2017B'!$D13</f>
        <v>1523.5117625</v>
      </c>
      <c r="EG13" s="38">
        <f t="shared" si="23"/>
        <v>31255.005762499997</v>
      </c>
      <c r="EH13" s="38">
        <f>EF$6*'2017B'!$F13</f>
        <v>1354.4877645</v>
      </c>
      <c r="EI13" s="38">
        <f>EF$6*'2017B'!$G13</f>
        <v>149.8621865</v>
      </c>
      <c r="EJ13" s="55"/>
      <c r="EK13" s="38">
        <f>EL$6*'2017B'!$C13</f>
        <v>585.9839999999999</v>
      </c>
      <c r="EL13" s="38">
        <f>EL$6*'2017B'!$D13</f>
        <v>30.027199999999997</v>
      </c>
      <c r="EM13" s="38">
        <f t="shared" si="24"/>
        <v>616.0111999999999</v>
      </c>
      <c r="EN13" s="38">
        <f>EL$6*'2017B'!$F13</f>
        <v>26.695871999999998</v>
      </c>
      <c r="EO13" s="38">
        <f>EL$6*'2017B'!$G13</f>
        <v>2.953664</v>
      </c>
      <c r="EP13" s="55"/>
      <c r="EQ13" s="38">
        <f>ER$6*'2017B'!$C13</f>
        <v>17586.714</v>
      </c>
      <c r="ER13" s="38">
        <f>ER$6*'2017B'!$D13</f>
        <v>901.1846374999999</v>
      </c>
      <c r="ES13" s="38">
        <f t="shared" si="25"/>
        <v>18487.8986375</v>
      </c>
      <c r="ET13" s="38">
        <f>ER$6*'2017B'!$F13</f>
        <v>801.2038994999999</v>
      </c>
      <c r="EU13" s="38">
        <f>ER$6*'2017B'!$G13</f>
        <v>88.6461815</v>
      </c>
      <c r="EV13" s="55"/>
      <c r="EW13" s="38">
        <f>EX$6*'2017B'!$C13</f>
        <v>47229.918</v>
      </c>
      <c r="EX13" s="38">
        <f>EX$6*'2017B'!$D13</f>
        <v>2420.1722125</v>
      </c>
      <c r="EY13" s="38">
        <f t="shared" si="26"/>
        <v>49650.0902125</v>
      </c>
      <c r="EZ13" s="38">
        <f>EX$6*'2017B'!$F13</f>
        <v>2151.6694065</v>
      </c>
      <c r="FA13" s="38">
        <f>EX$6*'2017B'!$G13</f>
        <v>238.0633405</v>
      </c>
      <c r="FB13" s="55"/>
      <c r="FC13" s="38">
        <f>FD$6*'2017B'!$C13</f>
        <v>18157.656</v>
      </c>
      <c r="FD13" s="38">
        <f>FD$6*'2017B'!$D13</f>
        <v>930.44105</v>
      </c>
      <c r="FE13" s="38">
        <f t="shared" si="27"/>
        <v>19088.09705</v>
      </c>
      <c r="FF13" s="38">
        <f>FD$6*'2017B'!$F13</f>
        <v>827.214498</v>
      </c>
      <c r="FG13" s="38">
        <f>FD$6*'2017B'!$G13</f>
        <v>91.524026</v>
      </c>
      <c r="FH13" s="55"/>
      <c r="FI13" s="38">
        <f>FJ$6*'2017B'!$C13</f>
        <v>128434.482</v>
      </c>
      <c r="FJ13" s="38">
        <f>FJ$6*'2017B'!$D13</f>
        <v>6581.2852875</v>
      </c>
      <c r="FK13" s="38">
        <f t="shared" si="28"/>
        <v>135015.7672875</v>
      </c>
      <c r="FL13" s="38">
        <f>FJ$6*'2017B'!$F13</f>
        <v>5851.1332935</v>
      </c>
      <c r="FM13" s="38">
        <f>FJ$6*'2017B'!$G13</f>
        <v>647.3765595</v>
      </c>
      <c r="FN13" s="55"/>
      <c r="FO13" s="38">
        <f>FP$6*'2017B'!$C13</f>
        <v>43500.810000000005</v>
      </c>
      <c r="FP13" s="38">
        <f>FP$6*'2017B'!$D13</f>
        <v>2229.0839375</v>
      </c>
      <c r="FQ13" s="38">
        <f t="shared" si="29"/>
        <v>45729.893937500005</v>
      </c>
      <c r="FR13" s="38">
        <f>FP$6*'2017B'!$F13</f>
        <v>1981.7811675</v>
      </c>
      <c r="FS13" s="38">
        <f>FP$6*'2017B'!$G13</f>
        <v>219.26669750000002</v>
      </c>
      <c r="FT13" s="55"/>
      <c r="FU13" s="38">
        <f>FV$6*'2017B'!$C13</f>
        <v>9400.596</v>
      </c>
      <c r="FV13" s="38">
        <f>FV$6*'2017B'!$D13</f>
        <v>481.70867499999997</v>
      </c>
      <c r="FW13" s="38">
        <f t="shared" si="30"/>
        <v>9882.304675</v>
      </c>
      <c r="FX13" s="38">
        <f>FV$6*'2017B'!$F13</f>
        <v>428.266143</v>
      </c>
      <c r="FY13" s="38">
        <f>FV$6*'2017B'!$G13</f>
        <v>47.383891</v>
      </c>
      <c r="FZ13" s="55"/>
      <c r="GA13" s="38">
        <f>GB$6*'2017B'!$C13</f>
        <v>24790.523999999998</v>
      </c>
      <c r="GB13" s="38">
        <f>GB$6*'2017B'!$D13</f>
        <v>1270.324825</v>
      </c>
      <c r="GC13" s="38">
        <f t="shared" si="31"/>
        <v>26060.848824999997</v>
      </c>
      <c r="GD13" s="38">
        <f>GB$6*'2017B'!$F13</f>
        <v>1129.3903169999999</v>
      </c>
      <c r="GE13" s="38">
        <f>GB$6*'2017B'!$G13</f>
        <v>124.957129</v>
      </c>
      <c r="GF13" s="55"/>
      <c r="GG13" s="38">
        <f>GH$6*'2017B'!$C13</f>
        <v>135.378</v>
      </c>
      <c r="GH13" s="38">
        <f>GH$6*'2017B'!$D13</f>
        <v>6.9370875</v>
      </c>
      <c r="GI13" s="38">
        <f t="shared" si="32"/>
        <v>142.31508749999998</v>
      </c>
      <c r="GJ13" s="38">
        <f>GH$6*'2017B'!$F13</f>
        <v>6.1674615</v>
      </c>
      <c r="GK13" s="38">
        <f>GH$6*'2017B'!$G13</f>
        <v>0.6823754999999999</v>
      </c>
      <c r="GL13" s="55"/>
      <c r="GM13" s="55"/>
      <c r="GN13" s="55"/>
      <c r="GO13" s="55"/>
      <c r="GP13" s="55"/>
      <c r="GQ13" s="55"/>
      <c r="GR13" s="55"/>
      <c r="GS13" s="55"/>
      <c r="GT13" s="55"/>
      <c r="GU13" s="55"/>
      <c r="GV13" s="55"/>
      <c r="GW13" s="55"/>
      <c r="GX13" s="55"/>
      <c r="GY13" s="55"/>
      <c r="GZ13" s="55"/>
      <c r="HA13" s="55"/>
      <c r="HB13" s="55"/>
      <c r="HC13" s="55"/>
    </row>
    <row r="14" spans="1:211" s="57" customFormat="1" ht="12.75">
      <c r="A14" s="56">
        <v>44856</v>
      </c>
      <c r="B14" s="55"/>
      <c r="C14" s="38">
        <f t="shared" si="0"/>
        <v>0</v>
      </c>
      <c r="D14" s="38">
        <f t="shared" si="0"/>
        <v>30447.836787500008</v>
      </c>
      <c r="E14" s="38">
        <f t="shared" si="1"/>
        <v>30447.836787500008</v>
      </c>
      <c r="F14" s="38">
        <f t="shared" si="0"/>
        <v>52858.15429949999</v>
      </c>
      <c r="G14" s="38">
        <f t="shared" si="0"/>
        <v>5848.290981499999</v>
      </c>
      <c r="I14" s="38">
        <f>J$6*'2017B'!$C14</f>
        <v>0</v>
      </c>
      <c r="J14" s="38">
        <f>J$6*'2017B'!$D14</f>
        <v>1223.5661125</v>
      </c>
      <c r="K14" s="38">
        <f t="shared" si="2"/>
        <v>1223.5661125</v>
      </c>
      <c r="L14" s="38">
        <f>J$6*'2017B'!$F14</f>
        <v>2124.1392885</v>
      </c>
      <c r="M14" s="38">
        <f>J$6*'2017B'!$G14</f>
        <v>235.0173745</v>
      </c>
      <c r="O14" s="38">
        <f>P$6*'2017B'!$C14</f>
        <v>0</v>
      </c>
      <c r="P14" s="38">
        <f>P$6*'2017B'!$D14</f>
        <v>3962.5466499999998</v>
      </c>
      <c r="Q14" s="38">
        <f t="shared" si="3"/>
        <v>3962.5466499999998</v>
      </c>
      <c r="R14" s="38">
        <f>P$6*'2017B'!$F14</f>
        <v>6879.073337999999</v>
      </c>
      <c r="S14" s="38">
        <f>P$6*'2017B'!$G14</f>
        <v>761.109106</v>
      </c>
      <c r="T14" s="55"/>
      <c r="U14" s="38">
        <f>V$6*'2017B'!$C14</f>
        <v>0</v>
      </c>
      <c r="V14" s="38">
        <f>V$6*'2017B'!$D14</f>
        <v>226.6994625</v>
      </c>
      <c r="W14" s="38">
        <f t="shared" si="4"/>
        <v>226.6994625</v>
      </c>
      <c r="X14" s="38">
        <f>V$6*'2017B'!$F14</f>
        <v>393.55555050000004</v>
      </c>
      <c r="Y14" s="38">
        <f>V$6*'2017B'!$G14</f>
        <v>43.5434685</v>
      </c>
      <c r="Z14" s="55"/>
      <c r="AA14" s="38">
        <f>AB$6*'2017B'!$C14</f>
        <v>0</v>
      </c>
      <c r="AB14" s="38">
        <f>AB$6*'2017B'!$D14</f>
        <v>879.7669125</v>
      </c>
      <c r="AC14" s="38">
        <f t="shared" si="5"/>
        <v>879.7669125</v>
      </c>
      <c r="AD14" s="38">
        <f>AB$6*'2017B'!$F14</f>
        <v>1527.2958644999999</v>
      </c>
      <c r="AE14" s="38">
        <f>AB$6*'2017B'!$G14</f>
        <v>168.9818865</v>
      </c>
      <c r="AF14" s="55"/>
      <c r="AG14" s="38">
        <f>AH$6*'2017B'!$C14</f>
        <v>0</v>
      </c>
      <c r="AH14" s="38">
        <f>AH$6*'2017B'!$D14</f>
        <v>2279.8836625</v>
      </c>
      <c r="AI14" s="38">
        <f t="shared" si="6"/>
        <v>2279.8836625</v>
      </c>
      <c r="AJ14" s="38">
        <f>AH$6*'2017B'!$F14</f>
        <v>3957.9311745</v>
      </c>
      <c r="AK14" s="38">
        <f>AH$6*'2017B'!$G14</f>
        <v>437.9103565</v>
      </c>
      <c r="AL14" s="55"/>
      <c r="AM14" s="38">
        <f>AN$6*'2017B'!$C14</f>
        <v>0</v>
      </c>
      <c r="AN14" s="38">
        <f>AN$6*'2017B'!$D14</f>
        <v>521.0363375</v>
      </c>
      <c r="AO14" s="38">
        <f t="shared" si="7"/>
        <v>521.0363375</v>
      </c>
      <c r="AP14" s="38">
        <f>AN$6*'2017B'!$F14</f>
        <v>904.5312254999999</v>
      </c>
      <c r="AQ14" s="38">
        <f>AN$6*'2017B'!$G14</f>
        <v>100.07844349999999</v>
      </c>
      <c r="AR14" s="55"/>
      <c r="AS14" s="38">
        <f>AT$6*'2017B'!$C14</f>
        <v>0</v>
      </c>
      <c r="AT14" s="38">
        <f>AT$6*'2017B'!$D14</f>
        <v>6784.713825000001</v>
      </c>
      <c r="AU14" s="38">
        <f t="shared" si="8"/>
        <v>6784.713825000001</v>
      </c>
      <c r="AV14" s="38">
        <f>AT$6*'2017B'!$F14</f>
        <v>11778.421329</v>
      </c>
      <c r="AW14" s="38">
        <f>AT$6*'2017B'!$G14</f>
        <v>1303.178973</v>
      </c>
      <c r="AX14" s="55"/>
      <c r="AY14" s="38">
        <f>AZ$6*'2017B'!$C14</f>
        <v>0</v>
      </c>
      <c r="AZ14" s="38">
        <f>AZ$6*'2017B'!$D14</f>
        <v>210.61819999999997</v>
      </c>
      <c r="BA14" s="38">
        <f t="shared" si="9"/>
        <v>210.61819999999997</v>
      </c>
      <c r="BB14" s="38">
        <f>AZ$6*'2017B'!$F14</f>
        <v>365.638104</v>
      </c>
      <c r="BC14" s="38">
        <f>AZ$6*'2017B'!$G14</f>
        <v>40.454648</v>
      </c>
      <c r="BD14" s="55"/>
      <c r="BE14" s="38">
        <f>BF$6*'2017B'!$C14</f>
        <v>0</v>
      </c>
      <c r="BF14" s="38">
        <f>BF$6*'2017B'!$D14</f>
        <v>273.5187625</v>
      </c>
      <c r="BG14" s="38">
        <f t="shared" si="10"/>
        <v>273.5187625</v>
      </c>
      <c r="BH14" s="38">
        <f>BF$6*'2017B'!$F14</f>
        <v>474.8349465</v>
      </c>
      <c r="BI14" s="38">
        <f>BF$6*'2017B'!$G14</f>
        <v>52.5363205</v>
      </c>
      <c r="BJ14" s="55"/>
      <c r="BK14" s="38">
        <f>BL$6*'2017B'!$C14</f>
        <v>0</v>
      </c>
      <c r="BL14" s="38">
        <f>BL$6*'2017B'!$D14</f>
        <v>9.4222125</v>
      </c>
      <c r="BM14" s="38">
        <f t="shared" si="11"/>
        <v>9.4222125</v>
      </c>
      <c r="BN14" s="38">
        <f>BL$6*'2017B'!$F14</f>
        <v>16.3571805</v>
      </c>
      <c r="BO14" s="38">
        <f>BL$6*'2017B'!$G14</f>
        <v>1.8097785</v>
      </c>
      <c r="BP14" s="55"/>
      <c r="BQ14" s="38">
        <f>BR$6*'2017B'!$C14</f>
        <v>0</v>
      </c>
      <c r="BR14" s="38">
        <f>BR$6*'2017B'!$D14</f>
        <v>10.3489875</v>
      </c>
      <c r="BS14" s="38">
        <f t="shared" si="12"/>
        <v>10.3489875</v>
      </c>
      <c r="BT14" s="38">
        <f>BR$6*'2017B'!$F14</f>
        <v>17.9660835</v>
      </c>
      <c r="BU14" s="38">
        <f>BR$6*'2017B'!$G14</f>
        <v>1.9877895</v>
      </c>
      <c r="BV14" s="55"/>
      <c r="BW14" s="38">
        <f>BX$6*'2017B'!$C14</f>
        <v>0</v>
      </c>
      <c r="BX14" s="38">
        <f>BX$6*'2017B'!$D14</f>
        <v>872.88475</v>
      </c>
      <c r="BY14" s="38">
        <f t="shared" si="13"/>
        <v>872.88475</v>
      </c>
      <c r="BZ14" s="38">
        <f>BX$6*'2017B'!$F14</f>
        <v>1515.3482700000002</v>
      </c>
      <c r="CA14" s="38">
        <f>BX$6*'2017B'!$G14</f>
        <v>167.65999000000002</v>
      </c>
      <c r="CB14" s="55"/>
      <c r="CC14" s="38">
        <f>CD$6*'2017B'!$C14</f>
        <v>0</v>
      </c>
      <c r="CD14" s="38">
        <f>CD$6*'2017B'!$D14</f>
        <v>70.2461125</v>
      </c>
      <c r="CE14" s="38">
        <f t="shared" si="14"/>
        <v>70.2461125</v>
      </c>
      <c r="CF14" s="38">
        <f>CD$6*'2017B'!$F14</f>
        <v>121.9488885</v>
      </c>
      <c r="CG14" s="38">
        <f>CD$6*'2017B'!$G14</f>
        <v>13.4925745</v>
      </c>
      <c r="CH14" s="55"/>
      <c r="CI14" s="38">
        <f>CJ$6*'2017B'!$C14</f>
        <v>0</v>
      </c>
      <c r="CJ14" s="38">
        <f>CJ$6*'2017B'!$D14</f>
        <v>79.634</v>
      </c>
      <c r="CK14" s="38">
        <f t="shared" si="15"/>
        <v>79.634</v>
      </c>
      <c r="CL14" s="38">
        <f>CJ$6*'2017B'!$F14</f>
        <v>138.24648</v>
      </c>
      <c r="CM14" s="38">
        <f>CJ$6*'2017B'!$G14</f>
        <v>15.29576</v>
      </c>
      <c r="CN14" s="55"/>
      <c r="CO14" s="38">
        <f>CP$6*'2017B'!$C14</f>
        <v>0</v>
      </c>
      <c r="CP14" s="38">
        <f>CP$6*'2017B'!$D14</f>
        <v>1731.7477375</v>
      </c>
      <c r="CQ14" s="38">
        <f t="shared" si="16"/>
        <v>1731.7477375</v>
      </c>
      <c r="CR14" s="38">
        <f>CP$6*'2017B'!$F14</f>
        <v>3006.3544335</v>
      </c>
      <c r="CS14" s="38">
        <f>CP$6*'2017B'!$G14</f>
        <v>332.6267395</v>
      </c>
      <c r="CT14" s="55"/>
      <c r="CU14" s="38">
        <f>CV$6*'2017B'!$C14</f>
        <v>0</v>
      </c>
      <c r="CV14" s="38">
        <f>CV$6*'2017B'!$D14</f>
        <v>1080.6883</v>
      </c>
      <c r="CW14" s="38">
        <f t="shared" si="17"/>
        <v>1080.6883</v>
      </c>
      <c r="CX14" s="38">
        <f>CV$6*'2017B'!$F14</f>
        <v>1876.100076</v>
      </c>
      <c r="CY14" s="38">
        <f>CV$6*'2017B'!$G14</f>
        <v>207.574012</v>
      </c>
      <c r="CZ14" s="55"/>
      <c r="DA14" s="38">
        <f>DB$6*'2017B'!$C14</f>
        <v>0</v>
      </c>
      <c r="DB14" s="38">
        <f>DB$6*'2017B'!$D14</f>
        <v>34.153375000000004</v>
      </c>
      <c r="DC14" s="38">
        <f t="shared" si="18"/>
        <v>34.153375000000004</v>
      </c>
      <c r="DD14" s="38">
        <f>DB$6*'2017B'!$F14</f>
        <v>59.29105500000001</v>
      </c>
      <c r="DE14" s="38">
        <f>DB$6*'2017B'!$G14</f>
        <v>6.560035</v>
      </c>
      <c r="DF14" s="55"/>
      <c r="DG14" s="38">
        <f>DH$6*'2017B'!$C14</f>
        <v>0</v>
      </c>
      <c r="DH14" s="38">
        <f>DH$6*'2017B'!$D14</f>
        <v>147.94075</v>
      </c>
      <c r="DI14" s="38">
        <f t="shared" si="19"/>
        <v>147.94075</v>
      </c>
      <c r="DJ14" s="38">
        <f>DH$6*'2017B'!$F14</f>
        <v>256.82859</v>
      </c>
      <c r="DK14" s="38">
        <f>DH$6*'2017B'!$G14</f>
        <v>28.41583</v>
      </c>
      <c r="DL14" s="55"/>
      <c r="DM14" s="38">
        <f>DN$6*'2017B'!$C14</f>
        <v>0</v>
      </c>
      <c r="DN14" s="38">
        <f>DN$6*'2017B'!$D14</f>
        <v>195.87561250000002</v>
      </c>
      <c r="DO14" s="38">
        <f t="shared" si="20"/>
        <v>195.87561250000002</v>
      </c>
      <c r="DP14" s="38">
        <f>DN$6*'2017B'!$F14</f>
        <v>340.0446285</v>
      </c>
      <c r="DQ14" s="38">
        <f>DN$6*'2017B'!$G14</f>
        <v>37.6229545</v>
      </c>
      <c r="DR14" s="55"/>
      <c r="DS14" s="38">
        <f>DT$6*'2017B'!$C14</f>
        <v>0</v>
      </c>
      <c r="DT14" s="38">
        <f>DT$6*'2017B'!$D14</f>
        <v>1172.4561875</v>
      </c>
      <c r="DU14" s="38">
        <f t="shared" si="21"/>
        <v>1172.4561875</v>
      </c>
      <c r="DV14" s="38">
        <f>DT$6*'2017B'!$F14</f>
        <v>2035.4112675</v>
      </c>
      <c r="DW14" s="38">
        <f>DT$6*'2017B'!$G14</f>
        <v>225.2003975</v>
      </c>
      <c r="DX14" s="55"/>
      <c r="DY14" s="38">
        <f>DZ$6*'2017B'!$C14</f>
        <v>0</v>
      </c>
      <c r="DZ14" s="38">
        <f>DZ$6*'2017B'!$D14</f>
        <v>294.2510625</v>
      </c>
      <c r="EA14" s="38">
        <f t="shared" si="22"/>
        <v>294.2510625</v>
      </c>
      <c r="EB14" s="38">
        <f>DZ$6*'2017B'!$F14</f>
        <v>510.8267025</v>
      </c>
      <c r="EC14" s="38">
        <f>DZ$6*'2017B'!$G14</f>
        <v>56.5184925</v>
      </c>
      <c r="ED14" s="55"/>
      <c r="EE14" s="38">
        <f>EF$6*'2017B'!$C14</f>
        <v>0</v>
      </c>
      <c r="EF14" s="38">
        <f>EF$6*'2017B'!$D14</f>
        <v>780.2244125</v>
      </c>
      <c r="EG14" s="38">
        <f t="shared" si="23"/>
        <v>780.2244125</v>
      </c>
      <c r="EH14" s="38">
        <f>EF$6*'2017B'!$F14</f>
        <v>1354.4877645</v>
      </c>
      <c r="EI14" s="38">
        <f>EF$6*'2017B'!$G14</f>
        <v>149.8621865</v>
      </c>
      <c r="EJ14" s="55"/>
      <c r="EK14" s="38">
        <f>EL$6*'2017B'!$C14</f>
        <v>0</v>
      </c>
      <c r="EL14" s="38">
        <f>EL$6*'2017B'!$D14</f>
        <v>15.3776</v>
      </c>
      <c r="EM14" s="38">
        <f t="shared" si="24"/>
        <v>15.3776</v>
      </c>
      <c r="EN14" s="38">
        <f>EL$6*'2017B'!$F14</f>
        <v>26.695871999999998</v>
      </c>
      <c r="EO14" s="38">
        <f>EL$6*'2017B'!$G14</f>
        <v>2.953664</v>
      </c>
      <c r="EP14" s="55"/>
      <c r="EQ14" s="38">
        <f>ER$6*'2017B'!$C14</f>
        <v>0</v>
      </c>
      <c r="ER14" s="38">
        <f>ER$6*'2017B'!$D14</f>
        <v>461.51678749999996</v>
      </c>
      <c r="ES14" s="38">
        <f t="shared" si="25"/>
        <v>461.51678749999996</v>
      </c>
      <c r="ET14" s="38">
        <f>ER$6*'2017B'!$F14</f>
        <v>801.2038994999999</v>
      </c>
      <c r="EU14" s="38">
        <f>ER$6*'2017B'!$G14</f>
        <v>88.6461815</v>
      </c>
      <c r="EV14" s="55"/>
      <c r="EW14" s="38">
        <f>EX$6*'2017B'!$C14</f>
        <v>0</v>
      </c>
      <c r="EX14" s="38">
        <f>EX$6*'2017B'!$D14</f>
        <v>1239.4242625</v>
      </c>
      <c r="EY14" s="38">
        <f t="shared" si="26"/>
        <v>1239.4242625</v>
      </c>
      <c r="EZ14" s="38">
        <f>EX$6*'2017B'!$F14</f>
        <v>2151.6694065</v>
      </c>
      <c r="FA14" s="38">
        <f>EX$6*'2017B'!$G14</f>
        <v>238.0633405</v>
      </c>
      <c r="FB14" s="55"/>
      <c r="FC14" s="38">
        <f>FD$6*'2017B'!$C14</f>
        <v>0</v>
      </c>
      <c r="FD14" s="38">
        <f>FD$6*'2017B'!$D14</f>
        <v>476.49965000000003</v>
      </c>
      <c r="FE14" s="38">
        <f t="shared" si="27"/>
        <v>476.49965000000003</v>
      </c>
      <c r="FF14" s="38">
        <f>FD$6*'2017B'!$F14</f>
        <v>827.214498</v>
      </c>
      <c r="FG14" s="38">
        <f>FD$6*'2017B'!$G14</f>
        <v>91.524026</v>
      </c>
      <c r="FH14" s="55"/>
      <c r="FI14" s="38">
        <f>FJ$6*'2017B'!$C14</f>
        <v>0</v>
      </c>
      <c r="FJ14" s="38">
        <f>FJ$6*'2017B'!$D14</f>
        <v>3370.4232375</v>
      </c>
      <c r="FK14" s="38">
        <f t="shared" si="28"/>
        <v>3370.4232375</v>
      </c>
      <c r="FL14" s="38">
        <f>FJ$6*'2017B'!$F14</f>
        <v>5851.1332935</v>
      </c>
      <c r="FM14" s="38">
        <f>FJ$6*'2017B'!$G14</f>
        <v>647.3765595</v>
      </c>
      <c r="FN14" s="55"/>
      <c r="FO14" s="38">
        <f>FP$6*'2017B'!$C14</f>
        <v>0</v>
      </c>
      <c r="FP14" s="38">
        <f>FP$6*'2017B'!$D14</f>
        <v>1141.5636875</v>
      </c>
      <c r="FQ14" s="38">
        <f t="shared" si="29"/>
        <v>1141.5636875</v>
      </c>
      <c r="FR14" s="38">
        <f>FP$6*'2017B'!$F14</f>
        <v>1981.7811675</v>
      </c>
      <c r="FS14" s="38">
        <f>FP$6*'2017B'!$G14</f>
        <v>219.26669750000002</v>
      </c>
      <c r="FT14" s="55"/>
      <c r="FU14" s="38">
        <f>FV$6*'2017B'!$C14</f>
        <v>0</v>
      </c>
      <c r="FV14" s="38">
        <f>FV$6*'2017B'!$D14</f>
        <v>246.693775</v>
      </c>
      <c r="FW14" s="38">
        <f t="shared" si="30"/>
        <v>246.693775</v>
      </c>
      <c r="FX14" s="38">
        <f>FV$6*'2017B'!$F14</f>
        <v>428.266143</v>
      </c>
      <c r="FY14" s="38">
        <f>FV$6*'2017B'!$G14</f>
        <v>47.383891</v>
      </c>
      <c r="FZ14" s="55"/>
      <c r="GA14" s="38">
        <f>GB$6*'2017B'!$C14</f>
        <v>0</v>
      </c>
      <c r="GB14" s="38">
        <f>GB$6*'2017B'!$D14</f>
        <v>650.561725</v>
      </c>
      <c r="GC14" s="38">
        <f t="shared" si="31"/>
        <v>650.561725</v>
      </c>
      <c r="GD14" s="38">
        <f>GB$6*'2017B'!$F14</f>
        <v>1129.3903169999999</v>
      </c>
      <c r="GE14" s="38">
        <f>GB$6*'2017B'!$G14</f>
        <v>124.957129</v>
      </c>
      <c r="GF14" s="55"/>
      <c r="GG14" s="38">
        <f>GH$6*'2017B'!$C14</f>
        <v>0</v>
      </c>
      <c r="GH14" s="38">
        <f>GH$6*'2017B'!$D14</f>
        <v>3.5526375</v>
      </c>
      <c r="GI14" s="38">
        <f t="shared" si="32"/>
        <v>3.5526375</v>
      </c>
      <c r="GJ14" s="38">
        <f>GH$6*'2017B'!$F14</f>
        <v>6.1674615</v>
      </c>
      <c r="GK14" s="38">
        <f>GH$6*'2017B'!$G14</f>
        <v>0.6823754999999999</v>
      </c>
      <c r="GL14" s="55"/>
      <c r="GM14" s="55"/>
      <c r="GN14" s="55"/>
      <c r="GO14" s="55"/>
      <c r="GP14" s="55"/>
      <c r="GQ14" s="55"/>
      <c r="GR14" s="55"/>
      <c r="GS14" s="55"/>
      <c r="GT14" s="55"/>
      <c r="GU14" s="55"/>
      <c r="GV14" s="55"/>
      <c r="GW14" s="55"/>
      <c r="GX14" s="55"/>
      <c r="GY14" s="55"/>
      <c r="GZ14" s="55"/>
      <c r="HA14" s="55"/>
      <c r="HB14" s="55"/>
      <c r="HC14" s="55"/>
    </row>
    <row r="15" spans="1:211" s="57" customFormat="1" ht="12.75">
      <c r="A15" s="56">
        <v>45017</v>
      </c>
      <c r="B15" s="55"/>
      <c r="C15" s="38">
        <f t="shared" si="0"/>
        <v>1217913.4715000005</v>
      </c>
      <c r="D15" s="38">
        <f t="shared" si="0"/>
        <v>30447.836787500008</v>
      </c>
      <c r="E15" s="38">
        <f t="shared" si="1"/>
        <v>1248361.3082875004</v>
      </c>
      <c r="F15" s="38">
        <f t="shared" si="0"/>
        <v>52858.15429949999</v>
      </c>
      <c r="G15" s="38">
        <f t="shared" si="0"/>
        <v>5848.290981499999</v>
      </c>
      <c r="I15" s="38">
        <f>J$6*'2017B'!$C15</f>
        <v>48942.6445</v>
      </c>
      <c r="J15" s="38">
        <f>J$6*'2017B'!$D15</f>
        <v>1223.5661125</v>
      </c>
      <c r="K15" s="38">
        <f t="shared" si="2"/>
        <v>50166.2106125</v>
      </c>
      <c r="L15" s="38">
        <f>J$6*'2017B'!$F15</f>
        <v>2124.1392885</v>
      </c>
      <c r="M15" s="38">
        <f>J$6*'2017B'!$G15</f>
        <v>235.0173745</v>
      </c>
      <c r="O15" s="38">
        <f>P$6*'2017B'!$C15</f>
        <v>158501.86599999998</v>
      </c>
      <c r="P15" s="38">
        <f>P$6*'2017B'!$D15</f>
        <v>3962.5466499999998</v>
      </c>
      <c r="Q15" s="38">
        <f t="shared" si="3"/>
        <v>162464.41264999998</v>
      </c>
      <c r="R15" s="38">
        <f>P$6*'2017B'!$F15</f>
        <v>6879.073337999999</v>
      </c>
      <c r="S15" s="38">
        <f>P$6*'2017B'!$G15</f>
        <v>761.109106</v>
      </c>
      <c r="T15" s="55"/>
      <c r="U15" s="38">
        <f>V$6*'2017B'!$C15</f>
        <v>9067.978500000001</v>
      </c>
      <c r="V15" s="38">
        <f>V$6*'2017B'!$D15</f>
        <v>226.6994625</v>
      </c>
      <c r="W15" s="38">
        <f t="shared" si="4"/>
        <v>9294.677962500002</v>
      </c>
      <c r="X15" s="38">
        <f>V$6*'2017B'!$F15</f>
        <v>393.55555050000004</v>
      </c>
      <c r="Y15" s="38">
        <f>V$6*'2017B'!$G15</f>
        <v>43.5434685</v>
      </c>
      <c r="Z15" s="55"/>
      <c r="AA15" s="38">
        <f>AB$6*'2017B'!$C15</f>
        <v>35190.6765</v>
      </c>
      <c r="AB15" s="38">
        <f>AB$6*'2017B'!$D15</f>
        <v>879.7669125</v>
      </c>
      <c r="AC15" s="38">
        <f t="shared" si="5"/>
        <v>36070.443412500004</v>
      </c>
      <c r="AD15" s="38">
        <f>AB$6*'2017B'!$F15</f>
        <v>1527.2958644999999</v>
      </c>
      <c r="AE15" s="38">
        <f>AB$6*'2017B'!$G15</f>
        <v>168.9818865</v>
      </c>
      <c r="AF15" s="55"/>
      <c r="AG15" s="38">
        <f>AH$6*'2017B'!$C15</f>
        <v>91195.3465</v>
      </c>
      <c r="AH15" s="38">
        <f>AH$6*'2017B'!$D15</f>
        <v>2279.8836625</v>
      </c>
      <c r="AI15" s="38">
        <f t="shared" si="6"/>
        <v>93475.2301625</v>
      </c>
      <c r="AJ15" s="38">
        <f>AH$6*'2017B'!$F15</f>
        <v>3957.9311745</v>
      </c>
      <c r="AK15" s="38">
        <f>AH$6*'2017B'!$G15</f>
        <v>437.9103565</v>
      </c>
      <c r="AL15" s="55"/>
      <c r="AM15" s="38">
        <f>AN$6*'2017B'!$C15</f>
        <v>20841.4535</v>
      </c>
      <c r="AN15" s="38">
        <f>AN$6*'2017B'!$D15</f>
        <v>521.0363375</v>
      </c>
      <c r="AO15" s="38">
        <f t="shared" si="7"/>
        <v>21362.4898375</v>
      </c>
      <c r="AP15" s="38">
        <f>AN$6*'2017B'!$F15</f>
        <v>904.5312254999999</v>
      </c>
      <c r="AQ15" s="38">
        <f>AN$6*'2017B'!$G15</f>
        <v>100.07844349999999</v>
      </c>
      <c r="AR15" s="55"/>
      <c r="AS15" s="38">
        <f>AT$6*'2017B'!$C15</f>
        <v>271388.553</v>
      </c>
      <c r="AT15" s="38">
        <f>AT$6*'2017B'!$D15</f>
        <v>6784.713825000001</v>
      </c>
      <c r="AU15" s="38">
        <f t="shared" si="8"/>
        <v>278173.266825</v>
      </c>
      <c r="AV15" s="38">
        <f>AT$6*'2017B'!$F15</f>
        <v>11778.421329</v>
      </c>
      <c r="AW15" s="38">
        <f>AT$6*'2017B'!$G15</f>
        <v>1303.178973</v>
      </c>
      <c r="AX15" s="55"/>
      <c r="AY15" s="38">
        <f>AZ$6*'2017B'!$C15</f>
        <v>8424.728</v>
      </c>
      <c r="AZ15" s="38">
        <f>AZ$6*'2017B'!$D15</f>
        <v>210.61819999999997</v>
      </c>
      <c r="BA15" s="38">
        <f t="shared" si="9"/>
        <v>8635.3462</v>
      </c>
      <c r="BB15" s="38">
        <f>AZ$6*'2017B'!$F15</f>
        <v>365.638104</v>
      </c>
      <c r="BC15" s="38">
        <f>AZ$6*'2017B'!$G15</f>
        <v>40.454648</v>
      </c>
      <c r="BD15" s="55"/>
      <c r="BE15" s="38">
        <f>BF$6*'2017B'!$C15</f>
        <v>10940.7505</v>
      </c>
      <c r="BF15" s="38">
        <f>BF$6*'2017B'!$D15</f>
        <v>273.5187625</v>
      </c>
      <c r="BG15" s="38">
        <f t="shared" si="10"/>
        <v>11214.2692625</v>
      </c>
      <c r="BH15" s="38">
        <f>BF$6*'2017B'!$F15</f>
        <v>474.8349465</v>
      </c>
      <c r="BI15" s="38">
        <f>BF$6*'2017B'!$G15</f>
        <v>52.5363205</v>
      </c>
      <c r="BJ15" s="55"/>
      <c r="BK15" s="38">
        <f>BL$6*'2017B'!$C15</f>
        <v>376.8885</v>
      </c>
      <c r="BL15" s="38">
        <f>BL$6*'2017B'!$D15</f>
        <v>9.4222125</v>
      </c>
      <c r="BM15" s="38">
        <f t="shared" si="11"/>
        <v>386.3107125</v>
      </c>
      <c r="BN15" s="38">
        <f>BL$6*'2017B'!$F15</f>
        <v>16.3571805</v>
      </c>
      <c r="BO15" s="38">
        <f>BL$6*'2017B'!$G15</f>
        <v>1.8097785</v>
      </c>
      <c r="BP15" s="55"/>
      <c r="BQ15" s="38">
        <f>BR$6*'2017B'!$C15</f>
        <v>413.9595</v>
      </c>
      <c r="BR15" s="38">
        <f>BR$6*'2017B'!$D15</f>
        <v>10.3489875</v>
      </c>
      <c r="BS15" s="38">
        <f t="shared" si="12"/>
        <v>424.3084875</v>
      </c>
      <c r="BT15" s="38">
        <f>BR$6*'2017B'!$F15</f>
        <v>17.9660835</v>
      </c>
      <c r="BU15" s="38">
        <f>BR$6*'2017B'!$G15</f>
        <v>1.9877895</v>
      </c>
      <c r="BV15" s="55"/>
      <c r="BW15" s="38">
        <f>BX$6*'2017B'!$C15</f>
        <v>34915.39</v>
      </c>
      <c r="BX15" s="38">
        <f>BX$6*'2017B'!$D15</f>
        <v>872.88475</v>
      </c>
      <c r="BY15" s="38">
        <f t="shared" si="13"/>
        <v>35788.27475</v>
      </c>
      <c r="BZ15" s="38">
        <f>BX$6*'2017B'!$F15</f>
        <v>1515.3482700000002</v>
      </c>
      <c r="CA15" s="38">
        <f>BX$6*'2017B'!$G15</f>
        <v>167.65999000000002</v>
      </c>
      <c r="CB15" s="55"/>
      <c r="CC15" s="38">
        <f>CD$6*'2017B'!$C15</f>
        <v>2809.8444999999997</v>
      </c>
      <c r="CD15" s="38">
        <f>CD$6*'2017B'!$D15</f>
        <v>70.2461125</v>
      </c>
      <c r="CE15" s="38">
        <f t="shared" si="14"/>
        <v>2880.0906124999997</v>
      </c>
      <c r="CF15" s="38">
        <f>CD$6*'2017B'!$F15</f>
        <v>121.9488885</v>
      </c>
      <c r="CG15" s="38">
        <f>CD$6*'2017B'!$G15</f>
        <v>13.4925745</v>
      </c>
      <c r="CH15" s="55"/>
      <c r="CI15" s="38">
        <f>CJ$6*'2017B'!$C15</f>
        <v>3185.36</v>
      </c>
      <c r="CJ15" s="38">
        <f>CJ$6*'2017B'!$D15</f>
        <v>79.634</v>
      </c>
      <c r="CK15" s="38">
        <f t="shared" si="15"/>
        <v>3264.994</v>
      </c>
      <c r="CL15" s="38">
        <f>CJ$6*'2017B'!$F15</f>
        <v>138.24648</v>
      </c>
      <c r="CM15" s="38">
        <f>CJ$6*'2017B'!$G15</f>
        <v>15.29576</v>
      </c>
      <c r="CN15" s="55"/>
      <c r="CO15" s="38">
        <f>CP$6*'2017B'!$C15</f>
        <v>69269.9095</v>
      </c>
      <c r="CP15" s="38">
        <f>CP$6*'2017B'!$D15</f>
        <v>1731.7477375</v>
      </c>
      <c r="CQ15" s="38">
        <f t="shared" si="16"/>
        <v>71001.6572375</v>
      </c>
      <c r="CR15" s="38">
        <f>CP$6*'2017B'!$F15</f>
        <v>3006.3544335</v>
      </c>
      <c r="CS15" s="38">
        <f>CP$6*'2017B'!$G15</f>
        <v>332.6267395</v>
      </c>
      <c r="CT15" s="55"/>
      <c r="CU15" s="38">
        <f>CV$6*'2017B'!$C15</f>
        <v>43227.532</v>
      </c>
      <c r="CV15" s="38">
        <f>CV$6*'2017B'!$D15</f>
        <v>1080.6883</v>
      </c>
      <c r="CW15" s="38">
        <f t="shared" si="17"/>
        <v>44308.2203</v>
      </c>
      <c r="CX15" s="38">
        <f>CV$6*'2017B'!$F15</f>
        <v>1876.100076</v>
      </c>
      <c r="CY15" s="38">
        <f>CV$6*'2017B'!$G15</f>
        <v>207.574012</v>
      </c>
      <c r="CZ15" s="55"/>
      <c r="DA15" s="38">
        <f>DB$6*'2017B'!$C15</f>
        <v>1366.135</v>
      </c>
      <c r="DB15" s="38">
        <f>DB$6*'2017B'!$D15</f>
        <v>34.153375000000004</v>
      </c>
      <c r="DC15" s="38">
        <f t="shared" si="18"/>
        <v>1400.288375</v>
      </c>
      <c r="DD15" s="38">
        <f>DB$6*'2017B'!$F15</f>
        <v>59.29105500000001</v>
      </c>
      <c r="DE15" s="38">
        <f>DB$6*'2017B'!$G15</f>
        <v>6.560035</v>
      </c>
      <c r="DF15" s="55"/>
      <c r="DG15" s="38">
        <f>DH$6*'2017B'!$C15</f>
        <v>5917.63</v>
      </c>
      <c r="DH15" s="38">
        <f>DH$6*'2017B'!$D15</f>
        <v>147.94075</v>
      </c>
      <c r="DI15" s="38">
        <f t="shared" si="19"/>
        <v>6065.57075</v>
      </c>
      <c r="DJ15" s="38">
        <f>DH$6*'2017B'!$F15</f>
        <v>256.82859</v>
      </c>
      <c r="DK15" s="38">
        <f>DH$6*'2017B'!$G15</f>
        <v>28.41583</v>
      </c>
      <c r="DL15" s="55"/>
      <c r="DM15" s="38">
        <f>DN$6*'2017B'!$C15</f>
        <v>7835.0245</v>
      </c>
      <c r="DN15" s="38">
        <f>DN$6*'2017B'!$D15</f>
        <v>195.87561250000002</v>
      </c>
      <c r="DO15" s="38">
        <f t="shared" si="20"/>
        <v>8030.9001125</v>
      </c>
      <c r="DP15" s="38">
        <f>DN$6*'2017B'!$F15</f>
        <v>340.0446285</v>
      </c>
      <c r="DQ15" s="38">
        <f>DN$6*'2017B'!$G15</f>
        <v>37.6229545</v>
      </c>
      <c r="DR15" s="55"/>
      <c r="DS15" s="38">
        <f>DT$6*'2017B'!$C15</f>
        <v>46898.2475</v>
      </c>
      <c r="DT15" s="38">
        <f>DT$6*'2017B'!$D15</f>
        <v>1172.4561875</v>
      </c>
      <c r="DU15" s="38">
        <f t="shared" si="21"/>
        <v>48070.7036875</v>
      </c>
      <c r="DV15" s="38">
        <f>DT$6*'2017B'!$F15</f>
        <v>2035.4112675</v>
      </c>
      <c r="DW15" s="38">
        <f>DT$6*'2017B'!$G15</f>
        <v>225.2003975</v>
      </c>
      <c r="DX15" s="55"/>
      <c r="DY15" s="38">
        <f>DZ$6*'2017B'!$C15</f>
        <v>11770.042500000001</v>
      </c>
      <c r="DZ15" s="38">
        <f>DZ$6*'2017B'!$D15</f>
        <v>294.2510625</v>
      </c>
      <c r="EA15" s="38">
        <f t="shared" si="22"/>
        <v>12064.293562500001</v>
      </c>
      <c r="EB15" s="38">
        <f>DZ$6*'2017B'!$F15</f>
        <v>510.8267025</v>
      </c>
      <c r="EC15" s="38">
        <f>DZ$6*'2017B'!$G15</f>
        <v>56.5184925</v>
      </c>
      <c r="ED15" s="55"/>
      <c r="EE15" s="38">
        <f>EF$6*'2017B'!$C15</f>
        <v>31208.9765</v>
      </c>
      <c r="EF15" s="38">
        <f>EF$6*'2017B'!$D15</f>
        <v>780.2244125</v>
      </c>
      <c r="EG15" s="38">
        <f t="shared" si="23"/>
        <v>31989.2009125</v>
      </c>
      <c r="EH15" s="38">
        <f>EF$6*'2017B'!$F15</f>
        <v>1354.4877645</v>
      </c>
      <c r="EI15" s="38">
        <f>EF$6*'2017B'!$G15</f>
        <v>149.8621865</v>
      </c>
      <c r="EJ15" s="55"/>
      <c r="EK15" s="38">
        <f>EL$6*'2017B'!$C15</f>
        <v>615.1039999999999</v>
      </c>
      <c r="EL15" s="38">
        <f>EL$6*'2017B'!$D15</f>
        <v>15.3776</v>
      </c>
      <c r="EM15" s="38">
        <f t="shared" si="24"/>
        <v>630.4816</v>
      </c>
      <c r="EN15" s="38">
        <f>EL$6*'2017B'!$F15</f>
        <v>26.695871999999998</v>
      </c>
      <c r="EO15" s="38">
        <f>EL$6*'2017B'!$G15</f>
        <v>2.953664</v>
      </c>
      <c r="EP15" s="55"/>
      <c r="EQ15" s="38">
        <f>ER$6*'2017B'!$C15</f>
        <v>18460.6715</v>
      </c>
      <c r="ER15" s="38">
        <f>ER$6*'2017B'!$D15</f>
        <v>461.51678749999996</v>
      </c>
      <c r="ES15" s="38">
        <f t="shared" si="25"/>
        <v>18922.1882875</v>
      </c>
      <c r="ET15" s="38">
        <f>ER$6*'2017B'!$F15</f>
        <v>801.2038994999999</v>
      </c>
      <c r="EU15" s="38">
        <f>ER$6*'2017B'!$G15</f>
        <v>88.6461815</v>
      </c>
      <c r="EV15" s="55"/>
      <c r="EW15" s="38">
        <f>EX$6*'2017B'!$C15</f>
        <v>49576.9705</v>
      </c>
      <c r="EX15" s="38">
        <f>EX$6*'2017B'!$D15</f>
        <v>1239.4242625</v>
      </c>
      <c r="EY15" s="38">
        <f t="shared" si="26"/>
        <v>50816.3947625</v>
      </c>
      <c r="EZ15" s="38">
        <f>EX$6*'2017B'!$F15</f>
        <v>2151.6694065</v>
      </c>
      <c r="FA15" s="38">
        <f>EX$6*'2017B'!$G15</f>
        <v>238.0633405</v>
      </c>
      <c r="FB15" s="55"/>
      <c r="FC15" s="38">
        <f>FD$6*'2017B'!$C15</f>
        <v>19059.986</v>
      </c>
      <c r="FD15" s="38">
        <f>FD$6*'2017B'!$D15</f>
        <v>476.49965000000003</v>
      </c>
      <c r="FE15" s="38">
        <f t="shared" si="27"/>
        <v>19536.485650000002</v>
      </c>
      <c r="FF15" s="38">
        <f>FD$6*'2017B'!$F15</f>
        <v>827.214498</v>
      </c>
      <c r="FG15" s="38">
        <f>FD$6*'2017B'!$G15</f>
        <v>91.524026</v>
      </c>
      <c r="FH15" s="55"/>
      <c r="FI15" s="38">
        <f>FJ$6*'2017B'!$C15</f>
        <v>134816.9295</v>
      </c>
      <c r="FJ15" s="38">
        <f>FJ$6*'2017B'!$D15</f>
        <v>3370.4232375</v>
      </c>
      <c r="FK15" s="38">
        <f t="shared" si="28"/>
        <v>138187.3527375</v>
      </c>
      <c r="FL15" s="38">
        <f>FJ$6*'2017B'!$F15</f>
        <v>5851.1332935</v>
      </c>
      <c r="FM15" s="38">
        <f>FJ$6*'2017B'!$G15</f>
        <v>647.3765595</v>
      </c>
      <c r="FN15" s="55"/>
      <c r="FO15" s="38">
        <f>FP$6*'2017B'!$C15</f>
        <v>45662.5475</v>
      </c>
      <c r="FP15" s="38">
        <f>FP$6*'2017B'!$D15</f>
        <v>1141.5636875</v>
      </c>
      <c r="FQ15" s="38">
        <f t="shared" si="29"/>
        <v>46804.1111875</v>
      </c>
      <c r="FR15" s="38">
        <f>FP$6*'2017B'!$F15</f>
        <v>1981.7811675</v>
      </c>
      <c r="FS15" s="38">
        <f>FP$6*'2017B'!$G15</f>
        <v>219.26669750000002</v>
      </c>
      <c r="FT15" s="55"/>
      <c r="FU15" s="38">
        <f>FV$6*'2017B'!$C15</f>
        <v>9867.751</v>
      </c>
      <c r="FV15" s="38">
        <f>FV$6*'2017B'!$D15</f>
        <v>246.693775</v>
      </c>
      <c r="FW15" s="38">
        <f t="shared" si="30"/>
        <v>10114.444775</v>
      </c>
      <c r="FX15" s="38">
        <f>FV$6*'2017B'!$F15</f>
        <v>428.266143</v>
      </c>
      <c r="FY15" s="38">
        <f>FV$6*'2017B'!$G15</f>
        <v>47.383891</v>
      </c>
      <c r="FZ15" s="55"/>
      <c r="GA15" s="38">
        <f>GB$6*'2017B'!$C15</f>
        <v>26022.468999999997</v>
      </c>
      <c r="GB15" s="38">
        <f>GB$6*'2017B'!$D15</f>
        <v>650.561725</v>
      </c>
      <c r="GC15" s="38">
        <f t="shared" si="31"/>
        <v>26673.030724999997</v>
      </c>
      <c r="GD15" s="38">
        <f>GB$6*'2017B'!$F15</f>
        <v>1129.3903169999999</v>
      </c>
      <c r="GE15" s="38">
        <f>GB$6*'2017B'!$G15</f>
        <v>124.957129</v>
      </c>
      <c r="GF15" s="55"/>
      <c r="GG15" s="38">
        <f>GH$6*'2017B'!$C15</f>
        <v>142.10549999999998</v>
      </c>
      <c r="GH15" s="38">
        <f>GH$6*'2017B'!$D15</f>
        <v>3.5526375</v>
      </c>
      <c r="GI15" s="38">
        <f t="shared" si="32"/>
        <v>145.65813749999998</v>
      </c>
      <c r="GJ15" s="38">
        <f>GH$6*'2017B'!$F15</f>
        <v>6.1674615</v>
      </c>
      <c r="GK15" s="38">
        <f>GH$6*'2017B'!$G15</f>
        <v>0.6823754999999999</v>
      </c>
      <c r="GL15" s="55"/>
      <c r="GM15" s="55"/>
      <c r="GN15" s="55"/>
      <c r="GO15" s="55"/>
      <c r="GP15" s="55"/>
      <c r="GQ15" s="55"/>
      <c r="GR15" s="55"/>
      <c r="GS15" s="55"/>
      <c r="GT15" s="55"/>
      <c r="GU15" s="55"/>
      <c r="GV15" s="55"/>
      <c r="GW15" s="55"/>
      <c r="GX15" s="55"/>
      <c r="GY15" s="55"/>
      <c r="GZ15" s="55"/>
      <c r="HA15" s="55"/>
      <c r="HB15" s="55"/>
      <c r="HC15" s="55"/>
    </row>
    <row r="16" spans="15:211" ht="12.75">
      <c r="O16" s="55"/>
      <c r="P16" s="55"/>
      <c r="Q16" s="55"/>
      <c r="R16" s="55"/>
      <c r="S16" s="55"/>
      <c r="T16" s="38"/>
      <c r="U16" s="55"/>
      <c r="V16" s="55"/>
      <c r="W16" s="55"/>
      <c r="X16" s="55"/>
      <c r="Y16" s="55"/>
      <c r="Z16" s="38"/>
      <c r="AA16" s="55"/>
      <c r="AB16" s="38"/>
      <c r="AC16" s="55"/>
      <c r="AD16" s="55"/>
      <c r="AE16" s="55"/>
      <c r="AF16" s="38"/>
      <c r="AG16" s="55"/>
      <c r="AH16" s="55"/>
      <c r="AI16" s="55"/>
      <c r="AJ16" s="55"/>
      <c r="AK16" s="55"/>
      <c r="AL16" s="38"/>
      <c r="AM16" s="38"/>
      <c r="AN16" s="38"/>
      <c r="AO16" s="38"/>
      <c r="AP16" s="38"/>
      <c r="AQ16" s="38"/>
      <c r="AR16" s="38"/>
      <c r="AS16" s="55"/>
      <c r="AT16" s="55"/>
      <c r="AU16" s="55"/>
      <c r="AV16" s="55"/>
      <c r="AW16" s="55"/>
      <c r="AX16" s="38"/>
      <c r="AY16" s="38"/>
      <c r="AZ16" s="38"/>
      <c r="BA16" s="55"/>
      <c r="BB16" s="55"/>
      <c r="BC16" s="55"/>
      <c r="BD16" s="38"/>
      <c r="BE16" s="38"/>
      <c r="BF16" s="38"/>
      <c r="BG16" s="38"/>
      <c r="BH16" s="38"/>
      <c r="BI16" s="38"/>
      <c r="BJ16" s="38"/>
      <c r="BK16" s="55"/>
      <c r="BL16" s="55"/>
      <c r="BM16" s="55"/>
      <c r="BN16" s="55"/>
      <c r="BO16" s="55"/>
      <c r="BP16" s="38"/>
      <c r="BQ16" s="38"/>
      <c r="BR16" s="38"/>
      <c r="BS16" s="38"/>
      <c r="BT16" s="38"/>
      <c r="BU16" s="38"/>
      <c r="BV16" s="38"/>
      <c r="BW16" s="38"/>
      <c r="BX16" s="38"/>
      <c r="BY16" s="38"/>
      <c r="BZ16" s="38"/>
      <c r="CA16" s="38"/>
      <c r="CB16" s="38"/>
      <c r="CC16" s="38"/>
      <c r="CD16" s="38"/>
      <c r="CE16" s="38"/>
      <c r="CF16" s="38"/>
      <c r="CG16" s="38"/>
      <c r="CH16" s="38"/>
      <c r="CI16" s="38"/>
      <c r="CJ16" s="38"/>
      <c r="CK16" s="38"/>
      <c r="CL16" s="38"/>
      <c r="CM16" s="38"/>
      <c r="CN16" s="38"/>
      <c r="CO16" s="38"/>
      <c r="CP16" s="38"/>
      <c r="CQ16" s="38"/>
      <c r="CR16" s="38"/>
      <c r="CS16" s="38"/>
      <c r="CT16" s="38"/>
      <c r="CU16" s="38"/>
      <c r="CV16" s="38"/>
      <c r="CW16" s="38"/>
      <c r="CX16" s="38"/>
      <c r="CY16" s="38"/>
      <c r="CZ16" s="38"/>
      <c r="DA16" s="38"/>
      <c r="DB16" s="38"/>
      <c r="DC16" s="38"/>
      <c r="DD16" s="38"/>
      <c r="DE16" s="38"/>
      <c r="DF16" s="38"/>
      <c r="DG16" s="38"/>
      <c r="DH16" s="38"/>
      <c r="DI16" s="38"/>
      <c r="DJ16" s="38"/>
      <c r="DK16" s="38"/>
      <c r="DL16" s="38"/>
      <c r="DM16" s="55"/>
      <c r="DN16" s="55"/>
      <c r="DO16" s="55"/>
      <c r="DP16" s="55"/>
      <c r="DQ16" s="55"/>
      <c r="DR16" s="55"/>
      <c r="DS16" s="38"/>
      <c r="DT16" s="38"/>
      <c r="DU16" s="38"/>
      <c r="DV16" s="38"/>
      <c r="DW16" s="38"/>
      <c r="DX16" s="38"/>
      <c r="DY16" s="38"/>
      <c r="DZ16" s="38"/>
      <c r="EA16" s="38"/>
      <c r="EB16" s="38"/>
      <c r="EC16" s="38"/>
      <c r="ED16" s="38"/>
      <c r="EE16" s="55"/>
      <c r="EF16" s="38"/>
      <c r="EG16" s="55"/>
      <c r="EH16" s="55"/>
      <c r="EI16" s="55"/>
      <c r="EJ16" s="38"/>
      <c r="EK16" s="38"/>
      <c r="EL16" s="38"/>
      <c r="EM16" s="38"/>
      <c r="EN16" s="38"/>
      <c r="EO16" s="38"/>
      <c r="EP16" s="38"/>
      <c r="EQ16" s="55"/>
      <c r="ER16" s="55"/>
      <c r="ES16" s="55"/>
      <c r="ET16" s="55"/>
      <c r="EU16" s="55"/>
      <c r="EV16" s="38"/>
      <c r="EW16" s="38"/>
      <c r="EX16" s="38"/>
      <c r="EY16" s="38"/>
      <c r="EZ16" s="38"/>
      <c r="FA16" s="38"/>
      <c r="FB16" s="38"/>
      <c r="FC16" s="38"/>
      <c r="FD16" s="38"/>
      <c r="FE16" s="38"/>
      <c r="FF16" s="38"/>
      <c r="FG16" s="38"/>
      <c r="FH16" s="38"/>
      <c r="FI16" s="38"/>
      <c r="FJ16" s="38"/>
      <c r="FK16" s="38"/>
      <c r="FL16" s="38"/>
      <c r="FM16" s="38"/>
      <c r="FN16" s="38"/>
      <c r="FO16" s="38"/>
      <c r="FP16" s="38"/>
      <c r="FQ16" s="38"/>
      <c r="FR16" s="38"/>
      <c r="FS16" s="38"/>
      <c r="FT16" s="38"/>
      <c r="FU16" s="38"/>
      <c r="FV16" s="38"/>
      <c r="FW16" s="38"/>
      <c r="FX16" s="38"/>
      <c r="FY16" s="38"/>
      <c r="FZ16" s="38"/>
      <c r="GA16" s="38"/>
      <c r="GB16" s="38"/>
      <c r="GC16" s="38"/>
      <c r="GD16" s="38"/>
      <c r="GE16" s="38"/>
      <c r="GF16" s="38"/>
      <c r="GG16" s="38"/>
      <c r="GH16" s="38"/>
      <c r="GI16" s="38"/>
      <c r="GJ16" s="38"/>
      <c r="GK16" s="38"/>
      <c r="GL16" s="38"/>
      <c r="GM16" s="38"/>
      <c r="GN16" s="38"/>
      <c r="GO16" s="38"/>
      <c r="GP16" s="38"/>
      <c r="GQ16" s="38"/>
      <c r="GR16" s="38"/>
      <c r="GS16" s="38"/>
      <c r="GT16" s="38"/>
      <c r="GU16" s="38"/>
      <c r="GV16" s="38"/>
      <c r="GW16" s="38"/>
      <c r="GX16" s="38"/>
      <c r="GY16" s="38"/>
      <c r="GZ16" s="38"/>
      <c r="HA16" s="38"/>
      <c r="HB16" s="38"/>
      <c r="HC16" s="38"/>
    </row>
    <row r="17" spans="1:211" ht="13.5" thickBot="1">
      <c r="A17" s="36" t="s">
        <v>4</v>
      </c>
      <c r="C17" s="54">
        <f>SUM(C8:C16)</f>
        <v>3533102.2265000003</v>
      </c>
      <c r="D17" s="54">
        <f>SUM(D8:D16)</f>
        <v>533114.3455</v>
      </c>
      <c r="E17" s="54">
        <f>SUM(E8:E16)</f>
        <v>4066216.572</v>
      </c>
      <c r="F17" s="54">
        <f>SUM(F8:F16)</f>
        <v>422865.2343959999</v>
      </c>
      <c r="G17" s="54">
        <f>SUM(G8:G16)</f>
        <v>46786.327852</v>
      </c>
      <c r="H17" s="54">
        <f>SUM(H8:H16)</f>
        <v>0</v>
      </c>
      <c r="I17" s="54">
        <f>SUM(I8:I16)</f>
        <v>141980.0095</v>
      </c>
      <c r="J17" s="54">
        <f>SUM(J8:J16)</f>
        <v>21423.5465</v>
      </c>
      <c r="K17" s="54">
        <f>SUM(K8:K16)</f>
        <v>163403.55599999998</v>
      </c>
      <c r="L17" s="54">
        <f>SUM(L8:L16)</f>
        <v>16993.114308</v>
      </c>
      <c r="M17" s="54">
        <f>SUM(M8:M16)</f>
        <v>1880.138996</v>
      </c>
      <c r="N17" s="54">
        <f>SUM(N8:N16)</f>
        <v>0</v>
      </c>
      <c r="O17" s="54">
        <f>SUM(O8:O16)</f>
        <v>459805.486</v>
      </c>
      <c r="P17" s="54">
        <f>SUM(P8:P16)</f>
        <v>69380.64199999999</v>
      </c>
      <c r="Q17" s="54">
        <f>SUM(Q8:Q16)</f>
        <v>529186.1279999999</v>
      </c>
      <c r="R17" s="54">
        <f>SUM(R8:R16)</f>
        <v>55032.586704</v>
      </c>
      <c r="S17" s="54">
        <f>SUM(S8:S16)</f>
        <v>6088.872848</v>
      </c>
      <c r="T17" s="54">
        <f>SUM(T8:T16)</f>
        <v>0</v>
      </c>
      <c r="U17" s="54">
        <f>SUM(U8:U16)</f>
        <v>26305.723500000004</v>
      </c>
      <c r="V17" s="54">
        <f>SUM(V8:V16)</f>
        <v>3969.3045000000006</v>
      </c>
      <c r="W17" s="54">
        <f>SUM(W8:W16)</f>
        <v>30275.028000000002</v>
      </c>
      <c r="X17" s="54">
        <f>SUM(X8:X16)</f>
        <v>3148.4444040000008</v>
      </c>
      <c r="Y17" s="54">
        <f>SUM(Y8:Y16)</f>
        <v>348.3477480000001</v>
      </c>
      <c r="Z17" s="54">
        <f>SUM(Z8:Z16)</f>
        <v>0</v>
      </c>
      <c r="AA17" s="54">
        <f>SUM(AA8:AA16)</f>
        <v>102086.2815</v>
      </c>
      <c r="AB17" s="54">
        <f>SUM(AB8:AB16)</f>
        <v>15403.930499999997</v>
      </c>
      <c r="AC17" s="54">
        <f>SUM(AC8:AC16)</f>
        <v>117490.212</v>
      </c>
      <c r="AD17" s="54">
        <f>SUM(AD8:AD16)</f>
        <v>12218.366915999999</v>
      </c>
      <c r="AE17" s="54">
        <f>SUM(AE8:AE16)</f>
        <v>1351.855092</v>
      </c>
      <c r="AF17" s="54">
        <f>SUM(AF8:AF16)</f>
        <v>0</v>
      </c>
      <c r="AG17" s="54">
        <f>SUM(AG8:AG16)</f>
        <v>264552.8515</v>
      </c>
      <c r="AH17" s="54">
        <f>SUM(AH8:AH16)</f>
        <v>39918.720499999996</v>
      </c>
      <c r="AI17" s="54">
        <f>SUM(AI8:AI16)</f>
        <v>304471.572</v>
      </c>
      <c r="AJ17" s="54">
        <f>SUM(AJ8:AJ16)</f>
        <v>31663.449396000004</v>
      </c>
      <c r="AK17" s="54">
        <f>SUM(AK8:AK16)</f>
        <v>3503.282852</v>
      </c>
      <c r="AL17" s="54">
        <f>SUM(AL8:AL16)</f>
        <v>0</v>
      </c>
      <c r="AM17" s="54">
        <f>SUM(AM8:AM16)</f>
        <v>60459.9485</v>
      </c>
      <c r="AN17" s="54">
        <f>SUM(AN8:AN16)</f>
        <v>9122.879500000001</v>
      </c>
      <c r="AO17" s="54">
        <f>SUM(AO8:AO16)</f>
        <v>69582.828</v>
      </c>
      <c r="AP17" s="54">
        <f>SUM(AP8:AP16)</f>
        <v>7236.249803999999</v>
      </c>
      <c r="AQ17" s="54">
        <f>SUM(AQ8:AQ16)</f>
        <v>800.6275479999999</v>
      </c>
      <c r="AR17" s="54">
        <f>SUM(AR8:AR16)</f>
        <v>0</v>
      </c>
      <c r="AS17" s="54">
        <f>SUM(AS8:AS16)</f>
        <v>787283.763</v>
      </c>
      <c r="AT17" s="54">
        <f>SUM(AT8:AT16)</f>
        <v>118794.261</v>
      </c>
      <c r="AU17" s="54">
        <f>SUM(AU8:AU16)</f>
        <v>906078.024</v>
      </c>
      <c r="AV17" s="54">
        <f>SUM(AV8:AV16)</f>
        <v>94227.37063200002</v>
      </c>
      <c r="AW17" s="54">
        <f>SUM(AW8:AW16)</f>
        <v>10425.431784</v>
      </c>
      <c r="AX17" s="54">
        <f>SUM(AX8:AX16)</f>
        <v>0</v>
      </c>
      <c r="AY17" s="54">
        <f>SUM(AY8:AY16)</f>
        <v>24439.688</v>
      </c>
      <c r="AZ17" s="54">
        <f>SUM(AZ8:AZ16)</f>
        <v>3687.735999999999</v>
      </c>
      <c r="BA17" s="54">
        <f>SUM(BA8:BA16)</f>
        <v>28127.424</v>
      </c>
      <c r="BB17" s="54">
        <f>SUM(BB8:BB16)</f>
        <v>2925.1048320000004</v>
      </c>
      <c r="BC17" s="54">
        <f>SUM(BC8:BC16)</f>
        <v>323.637184</v>
      </c>
      <c r="BD17" s="54">
        <f>SUM(BD8:BD16)</f>
        <v>0</v>
      </c>
      <c r="BE17" s="54">
        <f>SUM(BE8:BE16)</f>
        <v>31738.535499999998</v>
      </c>
      <c r="BF17" s="54">
        <f>SUM(BF8:BF16)</f>
        <v>4789.068499999999</v>
      </c>
      <c r="BG17" s="54">
        <f>SUM(BG8:BG16)</f>
        <v>36527.604</v>
      </c>
      <c r="BH17" s="54">
        <f>SUM(BH8:BH16)</f>
        <v>3798.6795720000005</v>
      </c>
      <c r="BI17" s="54">
        <f>SUM(BI8:BI16)</f>
        <v>420.29056399999996</v>
      </c>
      <c r="BJ17" s="54">
        <f>SUM(BJ8:BJ16)</f>
        <v>0</v>
      </c>
      <c r="BK17" s="54">
        <f>SUM(BK8:BK16)</f>
        <v>1093.3335</v>
      </c>
      <c r="BL17" s="54">
        <f>SUM(BL8:BL16)</f>
        <v>164.9745</v>
      </c>
      <c r="BM17" s="54">
        <f>SUM(BM8:BM16)</f>
        <v>1258.308</v>
      </c>
      <c r="BN17" s="54">
        <f>SUM(BN8:BN16)</f>
        <v>130.857444</v>
      </c>
      <c r="BO17" s="54">
        <f>SUM(BO8:BO16)</f>
        <v>14.478228</v>
      </c>
      <c r="BP17" s="54">
        <f>SUM(BP8:BP16)</f>
        <v>0</v>
      </c>
      <c r="BQ17" s="54">
        <f>SUM(BQ8:BQ16)</f>
        <v>1200.8745</v>
      </c>
      <c r="BR17" s="54">
        <f>SUM(BR8:BR16)</f>
        <v>181.20149999999998</v>
      </c>
      <c r="BS17" s="54">
        <f>SUM(BS8:BS16)</f>
        <v>1382.076</v>
      </c>
      <c r="BT17" s="54">
        <f>SUM(BT8:BT16)</f>
        <v>143.728668</v>
      </c>
      <c r="BU17" s="54">
        <f>SUM(BU8:BU16)</f>
        <v>15.902316</v>
      </c>
      <c r="BV17" s="54">
        <f>SUM(BV8:BV16)</f>
        <v>0</v>
      </c>
      <c r="BW17" s="54">
        <f>SUM(BW8:BW16)</f>
        <v>101287.69</v>
      </c>
      <c r="BX17" s="54">
        <f>SUM(BX8:BX16)</f>
        <v>15283.43</v>
      </c>
      <c r="BY17" s="54">
        <f>SUM(BY8:BY16)</f>
        <v>116571.12</v>
      </c>
      <c r="BZ17" s="54">
        <f>SUM(BZ8:BZ16)</f>
        <v>12122.786160000001</v>
      </c>
      <c r="CA17" s="54">
        <f>SUM(CA8:CA16)</f>
        <v>1341.2799200000002</v>
      </c>
      <c r="CB17" s="54">
        <f>SUM(CB8:CB16)</f>
        <v>0</v>
      </c>
      <c r="CC17" s="54">
        <f>SUM(CC8:CC16)</f>
        <v>8151.209499999999</v>
      </c>
      <c r="CD17" s="54">
        <f>SUM(CD8:CD16)</f>
        <v>1229.9465</v>
      </c>
      <c r="CE17" s="54">
        <f>SUM(CE8:CE16)</f>
        <v>9381.155999999999</v>
      </c>
      <c r="CF17" s="54">
        <f>SUM(CF8:CF16)</f>
        <v>975.5911079999998</v>
      </c>
      <c r="CG17" s="54">
        <f>SUM(CG8:CG16)</f>
        <v>107.94059600000001</v>
      </c>
      <c r="CH17" s="54">
        <f>SUM(CH8:CH16)</f>
        <v>0</v>
      </c>
      <c r="CI17" s="54">
        <f>SUM(CI8:CI16)</f>
        <v>9240.56</v>
      </c>
      <c r="CJ17" s="54">
        <f>SUM(CJ8:CJ16)</f>
        <v>1394.3200000000002</v>
      </c>
      <c r="CK17" s="54">
        <f>SUM(CK8:CK16)</f>
        <v>10634.88</v>
      </c>
      <c r="CL17" s="54">
        <f>SUM(CL8:CL16)</f>
        <v>1105.97184</v>
      </c>
      <c r="CM17" s="54">
        <f>SUM(CM8:CM16)</f>
        <v>122.36608</v>
      </c>
      <c r="CN17" s="54">
        <f>SUM(CN8:CN16)</f>
        <v>0</v>
      </c>
      <c r="CO17" s="54">
        <f>SUM(CO8:CO16)</f>
        <v>200948.3245</v>
      </c>
      <c r="CP17" s="54">
        <f>SUM(CP8:CP16)</f>
        <v>30321.351500000004</v>
      </c>
      <c r="CQ17" s="54">
        <f>SUM(CQ8:CQ16)</f>
        <v>231269.67600000004</v>
      </c>
      <c r="CR17" s="54">
        <f>SUM(CR8:CR16)</f>
        <v>24050.835468</v>
      </c>
      <c r="CS17" s="54">
        <f>SUM(CS8:CS16)</f>
        <v>2661.013916</v>
      </c>
      <c r="CT17" s="54">
        <f>SUM(CT8:CT16)</f>
        <v>0</v>
      </c>
      <c r="CU17" s="54">
        <f>SUM(CU8:CU16)</f>
        <v>125400.772</v>
      </c>
      <c r="CV17" s="54">
        <f>SUM(CV8:CV16)</f>
        <v>18921.884000000002</v>
      </c>
      <c r="CW17" s="54">
        <f>SUM(CW8:CW16)</f>
        <v>144322.656</v>
      </c>
      <c r="CX17" s="54">
        <f>SUM(CX8:CX16)</f>
        <v>15008.800608000001</v>
      </c>
      <c r="CY17" s="54">
        <f>SUM(CY8:CY16)</f>
        <v>1660.592096</v>
      </c>
      <c r="CZ17" s="54">
        <f>SUM(CZ8:CZ16)</f>
        <v>0</v>
      </c>
      <c r="DA17" s="54">
        <f>SUM(DA8:DA16)</f>
        <v>3963.085</v>
      </c>
      <c r="DB17" s="54">
        <f>SUM(DB8:DB16)</f>
        <v>597.995</v>
      </c>
      <c r="DC17" s="54">
        <f>SUM(DC8:DC16)</f>
        <v>4561.08</v>
      </c>
      <c r="DD17" s="54">
        <f>SUM(DD8:DD16)</f>
        <v>474.3284400000001</v>
      </c>
      <c r="DE17" s="54">
        <f>SUM(DE8:DE16)</f>
        <v>52.48028</v>
      </c>
      <c r="DF17" s="54">
        <f>SUM(DF8:DF16)</f>
        <v>0</v>
      </c>
      <c r="DG17" s="54">
        <f>SUM(DG8:DG16)</f>
        <v>17166.73</v>
      </c>
      <c r="DH17" s="54">
        <f>SUM(DH8:DH16)</f>
        <v>2590.3100000000004</v>
      </c>
      <c r="DI17" s="54">
        <f>SUM(DI8:DI16)</f>
        <v>19757.04</v>
      </c>
      <c r="DJ17" s="54">
        <f>SUM(DJ8:DJ16)</f>
        <v>2054.62872</v>
      </c>
      <c r="DK17" s="54">
        <f>SUM(DK8:DK16)</f>
        <v>227.32664</v>
      </c>
      <c r="DL17" s="54">
        <f>SUM(DL8:DL16)</f>
        <v>0</v>
      </c>
      <c r="DM17" s="54">
        <f>SUM(DM8:DM16)</f>
        <v>22728.9895</v>
      </c>
      <c r="DN17" s="54">
        <f>SUM(DN8:DN16)</f>
        <v>3429.6065000000003</v>
      </c>
      <c r="DO17" s="54">
        <f>SUM(DO8:DO16)</f>
        <v>26158.595999999998</v>
      </c>
      <c r="DP17" s="54">
        <f>SUM(DP8:DP16)</f>
        <v>2720.357028</v>
      </c>
      <c r="DQ17" s="54">
        <f>SUM(DQ8:DQ16)</f>
        <v>300.983636</v>
      </c>
      <c r="DR17" s="54">
        <f>SUM(DR8:DR16)</f>
        <v>0</v>
      </c>
      <c r="DS17" s="54">
        <f>SUM(DS8:DS16)</f>
        <v>136049.3225</v>
      </c>
      <c r="DT17" s="54">
        <f>SUM(DT8:DT16)</f>
        <v>20528.6575</v>
      </c>
      <c r="DU17" s="54">
        <f>SUM(DU8:DU16)</f>
        <v>156577.98</v>
      </c>
      <c r="DV17" s="54">
        <f>SUM(DV8:DV16)</f>
        <v>16283.29014</v>
      </c>
      <c r="DW17" s="54">
        <f>SUM(DW8:DW16)</f>
        <v>1801.60318</v>
      </c>
      <c r="DX17" s="54">
        <f>SUM(DX8:DX16)</f>
        <v>0</v>
      </c>
      <c r="DY17" s="54">
        <f>SUM(DY8:DY16)</f>
        <v>34144.2675</v>
      </c>
      <c r="DZ17" s="54">
        <f>SUM(DZ8:DZ16)</f>
        <v>5152.0725</v>
      </c>
      <c r="EA17" s="54">
        <f>SUM(EA8:EA16)</f>
        <v>39296.340000000004</v>
      </c>
      <c r="EB17" s="54">
        <f>SUM(EB8:EB16)</f>
        <v>4086.61362</v>
      </c>
      <c r="EC17" s="54">
        <f>SUM(EC8:EC16)</f>
        <v>452.14793999999995</v>
      </c>
      <c r="ED17" s="54">
        <f>SUM(ED8:ED16)</f>
        <v>0</v>
      </c>
      <c r="EE17" s="54">
        <f>SUM(EE8:EE16)</f>
        <v>90535.5815</v>
      </c>
      <c r="EF17" s="54">
        <f>SUM(EF8:EF16)</f>
        <v>13661.0305</v>
      </c>
      <c r="EG17" s="54">
        <f>SUM(EG8:EG16)</f>
        <v>104196.61200000001</v>
      </c>
      <c r="EH17" s="54">
        <f>SUM(EH8:EH16)</f>
        <v>10835.902116</v>
      </c>
      <c r="EI17" s="54">
        <f>SUM(EI8:EI16)</f>
        <v>1198.897492</v>
      </c>
      <c r="EJ17" s="54">
        <f>SUM(EJ8:EJ16)</f>
        <v>0</v>
      </c>
      <c r="EK17" s="54">
        <f>SUM(EK8:EK16)</f>
        <v>1784.3839999999996</v>
      </c>
      <c r="EL17" s="54">
        <f>SUM(EL8:EL16)</f>
        <v>269.248</v>
      </c>
      <c r="EM17" s="54">
        <f>SUM(EM8:EM16)</f>
        <v>2053.6319999999996</v>
      </c>
      <c r="EN17" s="54">
        <f>SUM(EN8:EN16)</f>
        <v>213.566976</v>
      </c>
      <c r="EO17" s="54">
        <f>SUM(EO8:EO16)</f>
        <v>23.629312</v>
      </c>
      <c r="EP17" s="54">
        <f>SUM(EP8:EP16)</f>
        <v>0</v>
      </c>
      <c r="EQ17" s="54">
        <f>SUM(EQ8:EQ16)</f>
        <v>53553.4265</v>
      </c>
      <c r="ER17" s="54">
        <f>SUM(ER8:ER16)</f>
        <v>8080.745499999998</v>
      </c>
      <c r="ES17" s="54">
        <f>SUM(ES8:ES16)</f>
        <v>61634.172</v>
      </c>
      <c r="ET17" s="54">
        <f>SUM(ET8:ET16)</f>
        <v>6409.631196</v>
      </c>
      <c r="EU17" s="54">
        <f>SUM(EU8:EU16)</f>
        <v>709.169452</v>
      </c>
      <c r="EV17" s="54">
        <f>SUM(EV8:EV16)</f>
        <v>0</v>
      </c>
      <c r="EW17" s="54">
        <f>SUM(EW8:EW16)</f>
        <v>143820.1555</v>
      </c>
      <c r="EX17" s="54">
        <f>SUM(EX8:EX16)</f>
        <v>21701.208500000004</v>
      </c>
      <c r="EY17" s="54">
        <f>SUM(EY8:EY16)</f>
        <v>165521.364</v>
      </c>
      <c r="EZ17" s="54">
        <f>SUM(EZ8:EZ16)</f>
        <v>17213.355252000005</v>
      </c>
      <c r="FA17" s="54">
        <f>SUM(FA8:FA16)</f>
        <v>1904.5067240000003</v>
      </c>
      <c r="FB17" s="54">
        <f>SUM(FB8:FB16)</f>
        <v>0</v>
      </c>
      <c r="FC17" s="54">
        <f>SUM(FC8:FC16)</f>
        <v>55292.00600000001</v>
      </c>
      <c r="FD17" s="54">
        <f>SUM(FD8:FD16)</f>
        <v>8343.082</v>
      </c>
      <c r="FE17" s="54">
        <f>SUM(FE8:FE16)</f>
        <v>63635.088</v>
      </c>
      <c r="FF17" s="54">
        <f>SUM(FF8:FF16)</f>
        <v>6617.715984000001</v>
      </c>
      <c r="FG17" s="54">
        <f>SUM(FG8:FG16)</f>
        <v>732.1922080000002</v>
      </c>
      <c r="FH17" s="54">
        <f>SUM(FH8:FH16)</f>
        <v>0</v>
      </c>
      <c r="FI17" s="54">
        <f>SUM(FI8:FI16)</f>
        <v>391096.74450000003</v>
      </c>
      <c r="FJ17" s="54">
        <f>SUM(FJ8:FJ16)</f>
        <v>59013.0915</v>
      </c>
      <c r="FK17" s="54">
        <f>SUM(FK8:FK16)</f>
        <v>450109.836</v>
      </c>
      <c r="FL17" s="54">
        <f>SUM(FL8:FL16)</f>
        <v>46809.06634800001</v>
      </c>
      <c r="FM17" s="54">
        <f>SUM(FM8:FM16)</f>
        <v>5179.012476</v>
      </c>
      <c r="FN17" s="54">
        <f>SUM(FN8:FN16)</f>
        <v>0</v>
      </c>
      <c r="FO17" s="54">
        <f>SUM(FO8:FO16)</f>
        <v>132464.6225</v>
      </c>
      <c r="FP17" s="54">
        <f>SUM(FP8:FP16)</f>
        <v>19987.7575</v>
      </c>
      <c r="FQ17" s="54">
        <f>SUM(FQ8:FQ16)</f>
        <v>152452.38</v>
      </c>
      <c r="FR17" s="54">
        <f>SUM(FR8:FR16)</f>
        <v>15854.249339999998</v>
      </c>
      <c r="FS17" s="54">
        <f>SUM(FS8:FS16)</f>
        <v>1754.13358</v>
      </c>
      <c r="FT17" s="54">
        <f>SUM(FT8:FT16)</f>
        <v>0</v>
      </c>
      <c r="FU17" s="54">
        <f>SUM(FU8:FU16)</f>
        <v>28625.821</v>
      </c>
      <c r="FV17" s="54">
        <f>SUM(FV8:FV16)</f>
        <v>4319.387</v>
      </c>
      <c r="FW17" s="54">
        <f>SUM(FW8:FW16)</f>
        <v>32945.208</v>
      </c>
      <c r="FX17" s="54">
        <f>SUM(FX8:FX16)</f>
        <v>3426.1291439999995</v>
      </c>
      <c r="FY17" s="54">
        <f>SUM(FY8:FY16)</f>
        <v>379.071128</v>
      </c>
      <c r="FZ17" s="54">
        <f>SUM(FZ8:FZ16)</f>
        <v>0</v>
      </c>
      <c r="GA17" s="54">
        <f>SUM(GA8:GA16)</f>
        <v>75489.799</v>
      </c>
      <c r="GB17" s="54">
        <f>SUM(GB8:GB16)</f>
        <v>11390.752999999999</v>
      </c>
      <c r="GC17" s="54">
        <f>SUM(GC8:GC16)</f>
        <v>86880.552</v>
      </c>
      <c r="GD17" s="54">
        <f>SUM(GD8:GD16)</f>
        <v>9035.122535999997</v>
      </c>
      <c r="GE17" s="54">
        <f>SUM(GE8:GE16)</f>
        <v>999.657032</v>
      </c>
      <c r="GF17" s="54">
        <f>SUM(GF8:GF16)</f>
        <v>0</v>
      </c>
      <c r="GG17" s="54">
        <f>SUM(GG8:GG16)</f>
        <v>412.2405</v>
      </c>
      <c r="GH17" s="54">
        <f>SUM(GH8:GH16)</f>
        <v>62.2035</v>
      </c>
      <c r="GI17" s="54">
        <f>SUM(GI8:GI16)</f>
        <v>474.44399999999996</v>
      </c>
      <c r="GJ17" s="54">
        <f>SUM(GJ8:GJ16)</f>
        <v>49.33969200000001</v>
      </c>
      <c r="GK17" s="54">
        <f>SUM(GK8:GK16)</f>
        <v>5.459003999999999</v>
      </c>
      <c r="GL17" s="38"/>
      <c r="GM17" s="38"/>
      <c r="GN17" s="38"/>
      <c r="GO17" s="38"/>
      <c r="GP17" s="38"/>
      <c r="GQ17" s="38"/>
      <c r="GR17" s="38"/>
      <c r="GS17" s="38"/>
      <c r="GT17" s="38"/>
      <c r="GU17" s="38"/>
      <c r="GV17" s="38"/>
      <c r="GW17" s="38"/>
      <c r="GX17" s="38"/>
      <c r="GY17" s="38"/>
      <c r="GZ17" s="38"/>
      <c r="HA17" s="38"/>
      <c r="HB17" s="38"/>
      <c r="HC17" s="38"/>
    </row>
    <row r="18" ht="13.5" thickTop="1"/>
  </sheetData>
  <sheetProtection/>
  <printOptions/>
  <pageMargins left="0.75" right="0.75" top="1" bottom="1" header="0.3" footer="0.3"/>
  <pageSetup orientation="portrait" paperSize="3"/>
</worksheet>
</file>

<file path=xl/worksheets/sheet5.xml><?xml version="1.0" encoding="utf-8"?>
<worksheet xmlns="http://schemas.openxmlformats.org/spreadsheetml/2006/main" xmlns:r="http://schemas.openxmlformats.org/officeDocument/2006/relationships">
  <dimension ref="A1:T92"/>
  <sheetViews>
    <sheetView zoomScalePageLayoutView="0" workbookViewId="0" topLeftCell="J1">
      <pane ySplit="5" topLeftCell="A45" activePane="bottomLeft" state="frozen"/>
      <selection pane="topLeft" activeCell="A1" sqref="A1"/>
      <selection pane="bottomLeft" activeCell="R67" sqref="R67"/>
    </sheetView>
  </sheetViews>
  <sheetFormatPr defaultColWidth="8.8515625" defaultRowHeight="12.75"/>
  <cols>
    <col min="1" max="1" width="7.7109375" style="0" customWidth="1"/>
    <col min="2" max="2" width="14.7109375" style="0" customWidth="1"/>
    <col min="3" max="3" width="25.7109375" style="0" customWidth="1"/>
    <col min="4" max="4" width="14.7109375" style="6" customWidth="1"/>
    <col min="5" max="5" width="13.7109375" style="6" customWidth="1"/>
    <col min="6" max="7" width="14.7109375" style="6" customWidth="1"/>
    <col min="8" max="16" width="13.7109375" style="6" customWidth="1"/>
    <col min="17" max="17" width="13.7109375" style="6" hidden="1" customWidth="1"/>
    <col min="18" max="18" width="13.7109375" style="6" customWidth="1"/>
    <col min="19" max="19" width="13.7109375" style="13" customWidth="1"/>
    <col min="20" max="20" width="10.28125" style="0" bestFit="1" customWidth="1"/>
  </cols>
  <sheetData>
    <row r="1" ht="12.75">
      <c r="A1" s="21" t="s">
        <v>83</v>
      </c>
    </row>
    <row r="3" spans="1:19" ht="12.75">
      <c r="A3" s="1"/>
      <c r="B3" s="1"/>
      <c r="C3" s="1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16" t="s">
        <v>0</v>
      </c>
    </row>
    <row r="4" spans="1:19" ht="12.75">
      <c r="A4" s="2" t="s">
        <v>1</v>
      </c>
      <c r="B4" s="2" t="s">
        <v>2</v>
      </c>
      <c r="C4" s="2" t="s">
        <v>3</v>
      </c>
      <c r="D4" s="4" t="s">
        <v>4</v>
      </c>
      <c r="E4" s="4" t="s">
        <v>5</v>
      </c>
      <c r="F4" s="4" t="s">
        <v>17</v>
      </c>
      <c r="G4" s="4" t="s">
        <v>22</v>
      </c>
      <c r="H4" s="4" t="s">
        <v>6</v>
      </c>
      <c r="I4" s="4" t="s">
        <v>58</v>
      </c>
      <c r="J4" s="5" t="s">
        <v>7</v>
      </c>
      <c r="K4" s="5" t="s">
        <v>18</v>
      </c>
      <c r="L4" s="5" t="s">
        <v>25</v>
      </c>
      <c r="M4" s="5" t="s">
        <v>8</v>
      </c>
      <c r="N4" s="5" t="s">
        <v>39</v>
      </c>
      <c r="O4" s="5" t="s">
        <v>19</v>
      </c>
      <c r="P4" s="4" t="s">
        <v>26</v>
      </c>
      <c r="Q4" s="4" t="s">
        <v>27</v>
      </c>
      <c r="R4" s="4" t="s">
        <v>94</v>
      </c>
      <c r="S4" s="17" t="s">
        <v>9</v>
      </c>
    </row>
    <row r="5" spans="1:19" s="12" customFormat="1" ht="13.5" thickBot="1">
      <c r="A5" s="9"/>
      <c r="B5" s="9"/>
      <c r="C5" s="9" t="s">
        <v>10</v>
      </c>
      <c r="D5" s="10">
        <f>SUM(D7:D70)</f>
        <v>102684413.51</v>
      </c>
      <c r="E5" s="10">
        <f aca="true" t="shared" si="0" ref="E5:R5">SUM(E7:E70)</f>
        <v>31607146.830000002</v>
      </c>
      <c r="F5" s="10">
        <f t="shared" si="0"/>
        <v>21036927.539999995</v>
      </c>
      <c r="G5" s="10">
        <f t="shared" si="0"/>
        <v>4580682.96</v>
      </c>
      <c r="H5" s="10">
        <f t="shared" si="0"/>
        <v>5393212.04</v>
      </c>
      <c r="I5" s="10">
        <f t="shared" si="0"/>
        <v>6216522.4</v>
      </c>
      <c r="J5" s="10">
        <f t="shared" si="0"/>
        <v>205703.8</v>
      </c>
      <c r="K5" s="10">
        <f t="shared" si="0"/>
        <v>877542.46</v>
      </c>
      <c r="L5" s="10">
        <f t="shared" si="0"/>
        <v>4311102.5</v>
      </c>
      <c r="M5" s="10">
        <f t="shared" si="0"/>
        <v>276126.24</v>
      </c>
      <c r="N5" s="10">
        <f t="shared" si="0"/>
        <v>1026650.74</v>
      </c>
      <c r="O5" s="10">
        <f t="shared" si="0"/>
        <v>26576339.12</v>
      </c>
      <c r="P5" s="10">
        <f t="shared" si="0"/>
        <v>574331.88</v>
      </c>
      <c r="Q5" s="10">
        <f t="shared" si="0"/>
        <v>0</v>
      </c>
      <c r="R5" s="10">
        <f t="shared" si="0"/>
        <v>2125</v>
      </c>
      <c r="S5" s="18"/>
    </row>
    <row r="6" spans="1:19" ht="13.5" thickTop="1">
      <c r="A6" s="7"/>
      <c r="B6" s="59"/>
      <c r="C6" s="59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19"/>
    </row>
    <row r="7" spans="1:19" ht="12.75">
      <c r="A7" s="33" t="s">
        <v>5</v>
      </c>
      <c r="B7" s="33" t="s">
        <v>98</v>
      </c>
      <c r="C7" t="s">
        <v>34</v>
      </c>
      <c r="D7" s="6">
        <f>SUM(E7:R7)</f>
        <v>732067.65</v>
      </c>
      <c r="E7" s="6">
        <f>81211.67+650855.98</f>
        <v>732067.65</v>
      </c>
      <c r="S7" s="13">
        <f>D7/D5</f>
        <v>0.007129296696316107</v>
      </c>
    </row>
    <row r="8" spans="1:19" ht="12.75">
      <c r="A8" s="33" t="s">
        <v>5</v>
      </c>
      <c r="B8" s="33" t="s">
        <v>141</v>
      </c>
      <c r="C8" t="s">
        <v>110</v>
      </c>
      <c r="D8" s="6">
        <f>SUM(E8:R8)</f>
        <v>0</v>
      </c>
      <c r="E8" s="6">
        <f>1807398.65-1807398.65</f>
        <v>0</v>
      </c>
      <c r="S8" s="13">
        <f>D8/D5</f>
        <v>0</v>
      </c>
    </row>
    <row r="9" spans="1:19" ht="12.75">
      <c r="A9" s="33" t="s">
        <v>5</v>
      </c>
      <c r="B9" s="33" t="s">
        <v>142</v>
      </c>
      <c r="C9" t="s">
        <v>106</v>
      </c>
      <c r="D9" s="6">
        <f>SUM(E9:R9)</f>
        <v>0</v>
      </c>
      <c r="E9" s="6">
        <f>11000-11000</f>
        <v>0</v>
      </c>
      <c r="S9" s="13">
        <f>D9/D5</f>
        <v>0</v>
      </c>
    </row>
    <row r="10" spans="1:19" ht="12.75">
      <c r="A10" t="s">
        <v>5</v>
      </c>
      <c r="B10" t="s">
        <v>143</v>
      </c>
      <c r="C10" t="s">
        <v>35</v>
      </c>
      <c r="D10" s="6">
        <f aca="true" t="shared" si="1" ref="D10:D70">SUM(E10:R10)</f>
        <v>2370810.03</v>
      </c>
      <c r="E10" s="6">
        <f>1550000+350000+474728.38-3918.35</f>
        <v>2370810.03</v>
      </c>
      <c r="S10" s="13">
        <f>D10/D5</f>
        <v>0.023088314467210904</v>
      </c>
    </row>
    <row r="11" spans="1:19" ht="12.75">
      <c r="A11" t="s">
        <v>5</v>
      </c>
      <c r="B11" t="s">
        <v>33</v>
      </c>
      <c r="C11" t="s">
        <v>99</v>
      </c>
      <c r="D11" s="6">
        <f t="shared" si="1"/>
        <v>135632</v>
      </c>
      <c r="E11" s="6">
        <f>135632</f>
        <v>135632</v>
      </c>
      <c r="S11" s="13">
        <f>D11/D5</f>
        <v>0.001320862586285224</v>
      </c>
    </row>
    <row r="12" spans="1:19" ht="12.75">
      <c r="A12" t="s">
        <v>5</v>
      </c>
      <c r="B12" s="33" t="s">
        <v>102</v>
      </c>
      <c r="C12" t="s">
        <v>11</v>
      </c>
      <c r="D12" s="6">
        <f t="shared" si="1"/>
        <v>526371.15</v>
      </c>
      <c r="E12" s="6">
        <f>3774+522597.15</f>
        <v>526371.15</v>
      </c>
      <c r="S12" s="13">
        <f>D12/D5</f>
        <v>0.005126105627985487</v>
      </c>
    </row>
    <row r="13" spans="1:19" ht="12.75">
      <c r="A13" t="s">
        <v>17</v>
      </c>
      <c r="B13" s="33" t="s">
        <v>87</v>
      </c>
      <c r="C13" t="s">
        <v>89</v>
      </c>
      <c r="D13" s="6">
        <f t="shared" si="1"/>
        <v>1364067.46</v>
      </c>
      <c r="F13" s="6">
        <f>1364067.46</f>
        <v>1364067.46</v>
      </c>
      <c r="S13" s="13">
        <f>D13/D5</f>
        <v>0.013284075093511238</v>
      </c>
    </row>
    <row r="14" spans="1:19" ht="12.75">
      <c r="A14" t="s">
        <v>17</v>
      </c>
      <c r="B14" s="33" t="s">
        <v>31</v>
      </c>
      <c r="C14" t="s">
        <v>32</v>
      </c>
      <c r="D14" s="6">
        <f t="shared" si="1"/>
        <v>311738.98</v>
      </c>
      <c r="F14" s="6">
        <f>311738.98</f>
        <v>311738.98</v>
      </c>
      <c r="S14" s="13">
        <f>D14/D5</f>
        <v>0.003035893855201705</v>
      </c>
    </row>
    <row r="15" spans="1:19" ht="12.75">
      <c r="A15" s="33" t="s">
        <v>17</v>
      </c>
      <c r="B15" s="33" t="s">
        <v>111</v>
      </c>
      <c r="C15" t="s">
        <v>11</v>
      </c>
      <c r="D15" s="6">
        <f t="shared" si="1"/>
        <v>4059336.6099999994</v>
      </c>
      <c r="F15" s="6">
        <f>1544027.56+1360111.24+574576.56+51054.73+84321.26+516500.36-71255.1</f>
        <v>4059336.6099999994</v>
      </c>
      <c r="S15" s="13">
        <f>D15/D5</f>
        <v>0.03953215947038231</v>
      </c>
    </row>
    <row r="16" spans="1:19" ht="12.75">
      <c r="A16" t="s">
        <v>17</v>
      </c>
      <c r="B16" s="33" t="s">
        <v>28</v>
      </c>
      <c r="C16" t="s">
        <v>29</v>
      </c>
      <c r="D16" s="6">
        <f t="shared" si="1"/>
        <v>126011.65</v>
      </c>
      <c r="F16" s="6">
        <f>126011.65</f>
        <v>126011.65</v>
      </c>
      <c r="S16" s="13">
        <f>D16/D5</f>
        <v>0.0012271740733828921</v>
      </c>
    </row>
    <row r="17" spans="1:19" ht="12.75">
      <c r="A17" t="s">
        <v>17</v>
      </c>
      <c r="B17" s="33" t="s">
        <v>40</v>
      </c>
      <c r="C17" t="s">
        <v>107</v>
      </c>
      <c r="D17" s="6">
        <f t="shared" si="1"/>
        <v>163651.47999999998</v>
      </c>
      <c r="F17" s="6">
        <f>18738.68+144912.8</f>
        <v>163651.47999999998</v>
      </c>
      <c r="S17" s="13">
        <f>D17/D5</f>
        <v>0.0015937324313009067</v>
      </c>
    </row>
    <row r="18" spans="1:19" ht="12.75">
      <c r="A18" t="s">
        <v>17</v>
      </c>
      <c r="B18" s="33" t="s">
        <v>40</v>
      </c>
      <c r="C18" t="s">
        <v>105</v>
      </c>
      <c r="D18" s="6">
        <f t="shared" si="1"/>
        <v>5633</v>
      </c>
      <c r="F18" s="6">
        <f>50969.4-45336.4</f>
        <v>5633</v>
      </c>
      <c r="S18" s="13">
        <f>D18/D5</f>
        <v>5.485740052896563E-05</v>
      </c>
    </row>
    <row r="19" spans="1:19" ht="12.75">
      <c r="A19" t="s">
        <v>22</v>
      </c>
      <c r="B19" s="33" t="s">
        <v>87</v>
      </c>
      <c r="C19" t="s">
        <v>93</v>
      </c>
      <c r="D19" s="6">
        <f t="shared" si="1"/>
        <v>6187.03</v>
      </c>
      <c r="G19" s="6">
        <f>6187.03</f>
        <v>6187.03</v>
      </c>
      <c r="S19" s="13">
        <f>D19/D5</f>
        <v>6.0252863979180935E-05</v>
      </c>
    </row>
    <row r="20" spans="1:19" ht="12.75">
      <c r="A20" t="s">
        <v>22</v>
      </c>
      <c r="B20" s="33" t="s">
        <v>31</v>
      </c>
      <c r="C20" t="s">
        <v>96</v>
      </c>
      <c r="D20" s="6">
        <f t="shared" si="1"/>
        <v>522256.41</v>
      </c>
      <c r="G20" s="6">
        <f>522256.41</f>
        <v>522256.41</v>
      </c>
      <c r="S20" s="13">
        <f>D20/D5</f>
        <v>0.005086033918372038</v>
      </c>
    </row>
    <row r="21" spans="1:19" ht="12.75">
      <c r="A21" t="s">
        <v>22</v>
      </c>
      <c r="B21" s="33" t="s">
        <v>40</v>
      </c>
      <c r="C21" t="s">
        <v>11</v>
      </c>
      <c r="D21" s="6">
        <f t="shared" si="1"/>
        <v>42032.08</v>
      </c>
      <c r="G21" s="6">
        <f>29240+12792.08</f>
        <v>42032.08</v>
      </c>
      <c r="S21" s="13">
        <f>D21/D5</f>
        <v>0.0004093326198518597</v>
      </c>
    </row>
    <row r="22" spans="1:19" ht="12.75">
      <c r="A22" t="s">
        <v>22</v>
      </c>
      <c r="B22" s="33" t="s">
        <v>33</v>
      </c>
      <c r="C22" t="s">
        <v>100</v>
      </c>
      <c r="D22" s="6">
        <f t="shared" si="1"/>
        <v>47644</v>
      </c>
      <c r="G22" s="6">
        <f>47644</f>
        <v>47644</v>
      </c>
      <c r="S22" s="13">
        <f>D22/D5</f>
        <v>0.00046398473119155665</v>
      </c>
    </row>
    <row r="23" spans="1:19" ht="12.75">
      <c r="A23" t="s">
        <v>6</v>
      </c>
      <c r="B23" s="33" t="s">
        <v>87</v>
      </c>
      <c r="C23" t="s">
        <v>90</v>
      </c>
      <c r="D23" s="6">
        <f t="shared" si="1"/>
        <v>1036117.46</v>
      </c>
      <c r="H23" s="6">
        <f>1036117.46</f>
        <v>1036117.46</v>
      </c>
      <c r="S23" s="13">
        <f>D23/D5</f>
        <v>0.01009030898247373</v>
      </c>
    </row>
    <row r="24" spans="1:19" ht="12.75">
      <c r="A24" t="s">
        <v>6</v>
      </c>
      <c r="B24" s="33" t="s">
        <v>87</v>
      </c>
      <c r="C24" t="s">
        <v>11</v>
      </c>
      <c r="D24" s="6">
        <f t="shared" si="1"/>
        <v>646583.42</v>
      </c>
      <c r="H24" s="6">
        <f>646583.42</f>
        <v>646583.42</v>
      </c>
      <c r="S24" s="13">
        <f>D24/D5</f>
        <v>0.006296801996507795</v>
      </c>
    </row>
    <row r="25" spans="1:19" ht="12.75">
      <c r="A25" t="s">
        <v>6</v>
      </c>
      <c r="B25" s="33" t="s">
        <v>38</v>
      </c>
      <c r="C25" t="s">
        <v>101</v>
      </c>
      <c r="D25" s="6">
        <f t="shared" si="1"/>
        <v>20439.32</v>
      </c>
      <c r="H25" s="6">
        <f>12332.83+8106.49</f>
        <v>20439.32</v>
      </c>
      <c r="S25" s="13">
        <f>D25/D5</f>
        <v>0.0001990498781785368</v>
      </c>
    </row>
    <row r="26" spans="1:19" ht="12.75">
      <c r="A26" t="s">
        <v>91</v>
      </c>
      <c r="B26" s="33" t="s">
        <v>87</v>
      </c>
      <c r="C26" t="s">
        <v>92</v>
      </c>
      <c r="D26" s="6">
        <f t="shared" si="1"/>
        <v>88511.9</v>
      </c>
      <c r="J26" s="6">
        <f>88511.9</f>
        <v>88511.9</v>
      </c>
      <c r="S26" s="13">
        <f>D26/D5</f>
        <v>0.0008619798952387277</v>
      </c>
    </row>
    <row r="27" spans="1:19" ht="12.75">
      <c r="A27" t="s">
        <v>91</v>
      </c>
      <c r="B27" t="s">
        <v>97</v>
      </c>
      <c r="C27" t="s">
        <v>11</v>
      </c>
      <c r="D27" s="6">
        <f t="shared" si="1"/>
        <v>117191.90000000001</v>
      </c>
      <c r="J27" s="6">
        <f>14229.35+102962.55</f>
        <v>117191.90000000001</v>
      </c>
      <c r="S27" s="13">
        <f>D27/D5</f>
        <v>0.0011412822646991812</v>
      </c>
    </row>
    <row r="28" spans="1:19" ht="12.75">
      <c r="A28" t="s">
        <v>18</v>
      </c>
      <c r="B28" s="33" t="s">
        <v>112</v>
      </c>
      <c r="C28" s="33" t="s">
        <v>11</v>
      </c>
      <c r="D28" s="6">
        <f t="shared" si="1"/>
        <v>701489.96</v>
      </c>
      <c r="K28" s="6">
        <f>147612.71+233660.71+95973.8+224242.74</f>
        <v>701489.96</v>
      </c>
      <c r="S28" s="13">
        <f>D28/D5</f>
        <v>0.006831513527919063</v>
      </c>
    </row>
    <row r="29" spans="1:19" ht="12.75">
      <c r="A29" t="s">
        <v>18</v>
      </c>
      <c r="B29" s="33" t="s">
        <v>31</v>
      </c>
      <c r="C29" s="33" t="s">
        <v>41</v>
      </c>
      <c r="D29" s="6">
        <f t="shared" si="1"/>
        <v>176052.5</v>
      </c>
      <c r="K29" s="6">
        <f>176052.5</f>
        <v>176052.5</v>
      </c>
      <c r="S29" s="13">
        <f>D29/D5</f>
        <v>0.0017145007112774227</v>
      </c>
    </row>
    <row r="30" spans="1:19" ht="12.75">
      <c r="A30" s="33" t="s">
        <v>25</v>
      </c>
      <c r="B30" s="33" t="s">
        <v>104</v>
      </c>
      <c r="C30" t="s">
        <v>11</v>
      </c>
      <c r="D30" s="6">
        <f t="shared" si="1"/>
        <v>466816.54</v>
      </c>
      <c r="L30" s="6">
        <f>243988.01+217559.34+5269.19</f>
        <v>466816.54</v>
      </c>
      <c r="S30" s="13">
        <f>D30/D5</f>
        <v>0.004546128512040814</v>
      </c>
    </row>
    <row r="31" spans="1:19" ht="12.75">
      <c r="A31" s="33" t="s">
        <v>25</v>
      </c>
      <c r="B31" s="33" t="s">
        <v>33</v>
      </c>
      <c r="C31" t="s">
        <v>37</v>
      </c>
      <c r="D31" s="6">
        <f t="shared" si="1"/>
        <v>9203.04</v>
      </c>
      <c r="L31" s="6">
        <f>9203.04</f>
        <v>9203.04</v>
      </c>
      <c r="S31" s="13">
        <f>D31/D5</f>
        <v>8.962450760946066E-05</v>
      </c>
    </row>
    <row r="32" spans="1:19" ht="12.75">
      <c r="A32" s="33" t="s">
        <v>8</v>
      </c>
      <c r="B32" s="33" t="s">
        <v>97</v>
      </c>
      <c r="C32" t="s">
        <v>11</v>
      </c>
      <c r="D32" s="6">
        <f t="shared" si="1"/>
        <v>276126.24</v>
      </c>
      <c r="M32" s="6">
        <f>196914.45+79211.79</f>
        <v>276126.24</v>
      </c>
      <c r="S32" s="13">
        <f>D32/D5</f>
        <v>0.002689076467998809</v>
      </c>
    </row>
    <row r="33" spans="1:19" ht="12.75">
      <c r="A33" s="33" t="s">
        <v>39</v>
      </c>
      <c r="B33" s="33" t="s">
        <v>88</v>
      </c>
      <c r="C33" t="s">
        <v>11</v>
      </c>
      <c r="D33" s="6">
        <f t="shared" si="1"/>
        <v>741560.54</v>
      </c>
      <c r="N33" s="6">
        <f>471000+270560.54</f>
        <v>741560.54</v>
      </c>
      <c r="S33" s="13">
        <f>D33/D5</f>
        <v>0.007221743930278012</v>
      </c>
    </row>
    <row r="34" spans="1:19" ht="12.75">
      <c r="A34" s="33" t="s">
        <v>39</v>
      </c>
      <c r="B34" s="33" t="s">
        <v>109</v>
      </c>
      <c r="C34" t="s">
        <v>42</v>
      </c>
      <c r="D34" s="6">
        <f t="shared" si="1"/>
        <v>285090.19999999995</v>
      </c>
      <c r="N34" s="6">
        <f>162594.45+108602.15+13893.6</f>
        <v>285090.19999999995</v>
      </c>
      <c r="S34" s="13">
        <f>D34/D5</f>
        <v>0.002776372676776658</v>
      </c>
    </row>
    <row r="35" spans="1:19" ht="12.75">
      <c r="A35" s="33" t="s">
        <v>19</v>
      </c>
      <c r="B35" s="33" t="s">
        <v>103</v>
      </c>
      <c r="C35" t="s">
        <v>11</v>
      </c>
      <c r="D35" s="6">
        <f t="shared" si="1"/>
        <v>2016547.31</v>
      </c>
      <c r="O35" s="6">
        <f>784818+650989.48+252190.59+328549.24</f>
        <v>2016547.31</v>
      </c>
      <c r="S35" s="13">
        <f>D35/D5</f>
        <v>0.019638299923713513</v>
      </c>
    </row>
    <row r="36" spans="1:19" ht="12.75">
      <c r="A36" s="33" t="s">
        <v>19</v>
      </c>
      <c r="B36" s="33" t="s">
        <v>33</v>
      </c>
      <c r="C36" t="s">
        <v>36</v>
      </c>
      <c r="D36" s="6">
        <f t="shared" si="1"/>
        <v>683001.43</v>
      </c>
      <c r="O36" s="6">
        <f>683001.43</f>
        <v>683001.43</v>
      </c>
      <c r="S36" s="13">
        <f>D36/D5</f>
        <v>0.006651461567080825</v>
      </c>
    </row>
    <row r="37" spans="1:19" ht="12.75">
      <c r="A37" s="33" t="s">
        <v>19</v>
      </c>
      <c r="B37" s="33" t="s">
        <v>23</v>
      </c>
      <c r="C37" t="s">
        <v>43</v>
      </c>
      <c r="D37" s="6">
        <f t="shared" si="1"/>
        <v>147600</v>
      </c>
      <c r="O37" s="6">
        <f>147600</f>
        <v>147600</v>
      </c>
      <c r="S37" s="13">
        <f>D37/D5</f>
        <v>0.0014374138679345513</v>
      </c>
    </row>
    <row r="38" spans="1:20" ht="12.75">
      <c r="A38" s="33" t="s">
        <v>26</v>
      </c>
      <c r="B38" s="33" t="s">
        <v>108</v>
      </c>
      <c r="C38" t="s">
        <v>11</v>
      </c>
      <c r="D38" s="6">
        <f t="shared" si="1"/>
        <v>389238.95</v>
      </c>
      <c r="P38" s="6">
        <f>291192.92+13212.88+39691.19+45141.96</f>
        <v>389238.95</v>
      </c>
      <c r="S38" s="13">
        <f>D38/D5</f>
        <v>0.003790633229473465</v>
      </c>
      <c r="T38" s="13"/>
    </row>
    <row r="39" spans="1:20" ht="12.75">
      <c r="A39" s="33" t="s">
        <v>94</v>
      </c>
      <c r="B39" s="33" t="s">
        <v>87</v>
      </c>
      <c r="C39" t="s">
        <v>95</v>
      </c>
      <c r="D39" s="6">
        <f t="shared" si="1"/>
        <v>2125</v>
      </c>
      <c r="R39" s="6">
        <f>2125</f>
        <v>2125</v>
      </c>
      <c r="S39" s="13">
        <f>D39/D5</f>
        <v>2.069447472466749E-05</v>
      </c>
      <c r="T39" s="13">
        <f>SUM(S7:S39)</f>
        <v>0.17740896224942565</v>
      </c>
    </row>
    <row r="40" spans="1:20" ht="12.75">
      <c r="A40" s="33" t="s">
        <v>5</v>
      </c>
      <c r="B40" s="33" t="s">
        <v>46</v>
      </c>
      <c r="C40" t="s">
        <v>45</v>
      </c>
      <c r="D40" s="6">
        <f t="shared" si="1"/>
        <v>17826.5</v>
      </c>
      <c r="E40" s="6">
        <f>17826.5</f>
        <v>17826.5</v>
      </c>
      <c r="S40" s="13">
        <f>D40/D5</f>
        <v>0.00017360473114319295</v>
      </c>
      <c r="T40" s="13"/>
    </row>
    <row r="41" spans="1:20" ht="12.75">
      <c r="A41" s="33" t="s">
        <v>5</v>
      </c>
      <c r="B41" s="33" t="s">
        <v>44</v>
      </c>
      <c r="C41" t="s">
        <v>45</v>
      </c>
      <c r="D41" s="6">
        <f t="shared" si="1"/>
        <v>2308599.25</v>
      </c>
      <c r="E41" s="6">
        <f>2308599.25</f>
        <v>2308599.25</v>
      </c>
      <c r="S41" s="13">
        <f>D41/D5</f>
        <v>0.022482470036946506</v>
      </c>
      <c r="T41" s="13"/>
    </row>
    <row r="42" spans="1:19" ht="12.75">
      <c r="A42" s="33" t="s">
        <v>5</v>
      </c>
      <c r="B42" s="33" t="s">
        <v>125</v>
      </c>
      <c r="C42" t="s">
        <v>47</v>
      </c>
      <c r="D42" s="6">
        <f t="shared" si="1"/>
        <v>14268891.59</v>
      </c>
      <c r="E42" s="6">
        <f>3746283.11+8522608.48+2000000</f>
        <v>14268891.59</v>
      </c>
      <c r="S42" s="13">
        <f>D42/D5</f>
        <v>0.13895869005095318</v>
      </c>
    </row>
    <row r="43" spans="1:19" ht="12.75">
      <c r="A43" s="33" t="s">
        <v>5</v>
      </c>
      <c r="B43" s="33" t="s">
        <v>30</v>
      </c>
      <c r="C43" t="s">
        <v>48</v>
      </c>
      <c r="D43" s="6">
        <f t="shared" si="1"/>
        <v>144661.94</v>
      </c>
      <c r="E43" s="6">
        <f>144661.94</f>
        <v>144661.94</v>
      </c>
      <c r="S43" s="13">
        <f>D43/D5</f>
        <v>0.0014088013463300542</v>
      </c>
    </row>
    <row r="44" spans="1:19" ht="12.75">
      <c r="A44" s="33" t="s">
        <v>5</v>
      </c>
      <c r="B44" s="33" t="s">
        <v>113</v>
      </c>
      <c r="C44" t="s">
        <v>49</v>
      </c>
      <c r="D44" s="6">
        <f t="shared" si="1"/>
        <v>4030636.77</v>
      </c>
      <c r="E44" s="6">
        <f>4030636.77</f>
        <v>4030636.77</v>
      </c>
      <c r="S44" s="13">
        <f>D44/D5</f>
        <v>0.03925266388756725</v>
      </c>
    </row>
    <row r="45" spans="1:19" ht="12.75">
      <c r="A45" s="33" t="s">
        <v>5</v>
      </c>
      <c r="B45" s="33" t="s">
        <v>113</v>
      </c>
      <c r="C45" t="s">
        <v>114</v>
      </c>
      <c r="D45" s="6">
        <f t="shared" si="1"/>
        <v>283871.46</v>
      </c>
      <c r="E45" s="6">
        <f>283871.46</f>
        <v>283871.46</v>
      </c>
      <c r="S45" s="13">
        <f>D45/D5</f>
        <v>0.002764503884246804</v>
      </c>
    </row>
    <row r="46" spans="1:19" ht="12.75">
      <c r="A46" t="s">
        <v>5</v>
      </c>
      <c r="B46" t="s">
        <v>30</v>
      </c>
      <c r="C46" s="33" t="s">
        <v>50</v>
      </c>
      <c r="D46" s="6">
        <f t="shared" si="1"/>
        <v>6562257.9</v>
      </c>
      <c r="E46" s="6">
        <f>6562257.9</f>
        <v>6562257.9</v>
      </c>
      <c r="S46" s="13">
        <f>D46/D5</f>
        <v>0.06390704952861156</v>
      </c>
    </row>
    <row r="47" spans="1:19" ht="12.75">
      <c r="A47" s="33" t="s">
        <v>5</v>
      </c>
      <c r="B47" s="33" t="s">
        <v>127</v>
      </c>
      <c r="C47" s="33" t="s">
        <v>128</v>
      </c>
      <c r="D47" s="6">
        <f t="shared" si="1"/>
        <v>225520.59</v>
      </c>
      <c r="E47" s="6">
        <f>225520.59</f>
        <v>225520.59</v>
      </c>
      <c r="S47" s="13">
        <f>D47/D5</f>
        <v>0.0021962494821868702</v>
      </c>
    </row>
    <row r="48" spans="1:19" ht="12.75">
      <c r="A48" t="s">
        <v>17</v>
      </c>
      <c r="B48" t="s">
        <v>113</v>
      </c>
      <c r="C48" t="s">
        <v>115</v>
      </c>
      <c r="D48" s="6">
        <f t="shared" si="1"/>
        <v>243144.6</v>
      </c>
      <c r="F48" s="6">
        <f>243144.6</f>
        <v>243144.6</v>
      </c>
      <c r="S48" s="13">
        <f>D48/D5</f>
        <v>0.0023678822490067705</v>
      </c>
    </row>
    <row r="49" spans="1:19" ht="12.75">
      <c r="A49" t="s">
        <v>17</v>
      </c>
      <c r="B49" t="s">
        <v>44</v>
      </c>
      <c r="C49" t="s">
        <v>52</v>
      </c>
      <c r="D49" s="6">
        <f t="shared" si="1"/>
        <v>14271425.52</v>
      </c>
      <c r="F49" s="6">
        <f>14271425.52</f>
        <v>14271425.52</v>
      </c>
      <c r="S49" s="13">
        <f>D49/D5</f>
        <v>0.13898336692170096</v>
      </c>
    </row>
    <row r="50" spans="1:19" ht="12.75">
      <c r="A50" t="s">
        <v>17</v>
      </c>
      <c r="B50" t="s">
        <v>44</v>
      </c>
      <c r="C50" t="s">
        <v>51</v>
      </c>
      <c r="D50" s="6">
        <f t="shared" si="1"/>
        <v>64227</v>
      </c>
      <c r="F50" s="6">
        <f>64227</f>
        <v>64227</v>
      </c>
      <c r="S50" s="13">
        <f>D50/D5</f>
        <v>0.0006254795426546912</v>
      </c>
    </row>
    <row r="51" spans="1:19" ht="12.75">
      <c r="A51" t="s">
        <v>17</v>
      </c>
      <c r="B51" t="s">
        <v>30</v>
      </c>
      <c r="C51" t="s">
        <v>126</v>
      </c>
      <c r="D51" s="6">
        <f t="shared" si="1"/>
        <v>195756.74</v>
      </c>
      <c r="F51" s="6">
        <f>195756.74</f>
        <v>195756.74</v>
      </c>
      <c r="S51" s="13">
        <f>D51/D5</f>
        <v>0.0019063919567592024</v>
      </c>
    </row>
    <row r="52" spans="1:19" ht="12.75">
      <c r="A52" t="s">
        <v>17</v>
      </c>
      <c r="B52" t="s">
        <v>127</v>
      </c>
      <c r="C52" t="s">
        <v>129</v>
      </c>
      <c r="D52" s="6">
        <f t="shared" si="1"/>
        <v>231934.5</v>
      </c>
      <c r="F52" s="6">
        <f>231934.5</f>
        <v>231934.5</v>
      </c>
      <c r="S52" s="13">
        <f>D52/D5</f>
        <v>0.0022587118343663022</v>
      </c>
    </row>
    <row r="53" spans="1:19" ht="12.75">
      <c r="A53" t="s">
        <v>22</v>
      </c>
      <c r="B53" t="s">
        <v>44</v>
      </c>
      <c r="C53" t="s">
        <v>53</v>
      </c>
      <c r="D53" s="6">
        <f t="shared" si="1"/>
        <v>2766852.44</v>
      </c>
      <c r="G53" s="6">
        <f>2766852.44</f>
        <v>2766852.44</v>
      </c>
      <c r="S53" s="13">
        <f>D53/D5</f>
        <v>0.026945203711277444</v>
      </c>
    </row>
    <row r="54" spans="1:19" ht="12.75">
      <c r="A54" t="s">
        <v>22</v>
      </c>
      <c r="B54" t="s">
        <v>30</v>
      </c>
      <c r="C54" s="33" t="s">
        <v>54</v>
      </c>
      <c r="D54" s="6">
        <f t="shared" si="1"/>
        <v>250722.8</v>
      </c>
      <c r="G54" s="6">
        <f>250722.8</f>
        <v>250722.8</v>
      </c>
      <c r="S54" s="13">
        <f>D54/D5</f>
        <v>0.002441683128234288</v>
      </c>
    </row>
    <row r="55" spans="1:19" ht="12.75">
      <c r="A55" t="s">
        <v>22</v>
      </c>
      <c r="B55" s="21" t="s">
        <v>56</v>
      </c>
      <c r="C55" t="s">
        <v>55</v>
      </c>
      <c r="D55" s="6">
        <f t="shared" si="1"/>
        <v>944988.2</v>
      </c>
      <c r="G55" s="6">
        <f>911339.62+33648.58</f>
        <v>944988.2</v>
      </c>
      <c r="S55" s="13">
        <f>D55/D5</f>
        <v>0.00920283972706307</v>
      </c>
    </row>
    <row r="56" spans="1:19" ht="12.75">
      <c r="A56" t="s">
        <v>6</v>
      </c>
      <c r="B56" s="33" t="s">
        <v>113</v>
      </c>
      <c r="C56" t="s">
        <v>116</v>
      </c>
      <c r="D56" s="6">
        <f t="shared" si="1"/>
        <v>2200000</v>
      </c>
      <c r="H56" s="6">
        <f>2200000</f>
        <v>2200000</v>
      </c>
      <c r="S56" s="13">
        <f>D56/D5</f>
        <v>0.021424867950243988</v>
      </c>
    </row>
    <row r="57" spans="1:19" ht="12.75">
      <c r="A57" t="s">
        <v>6</v>
      </c>
      <c r="B57" s="33" t="s">
        <v>113</v>
      </c>
      <c r="C57" t="s">
        <v>117</v>
      </c>
      <c r="D57" s="6">
        <f t="shared" si="1"/>
        <v>1068799.84</v>
      </c>
      <c r="H57" s="6">
        <f>1068799.84</f>
        <v>1068799.84</v>
      </c>
      <c r="S57" s="13">
        <f>D57/D5</f>
        <v>0.010408588835109957</v>
      </c>
    </row>
    <row r="58" spans="1:19" ht="12.75">
      <c r="A58" t="s">
        <v>6</v>
      </c>
      <c r="B58" s="33" t="s">
        <v>46</v>
      </c>
      <c r="C58" t="s">
        <v>123</v>
      </c>
      <c r="D58" s="6">
        <f t="shared" si="1"/>
        <v>184031</v>
      </c>
      <c r="H58" s="6">
        <f>184031</f>
        <v>184031</v>
      </c>
      <c r="S58" s="13">
        <f>D58/D5</f>
        <v>0.0017921999426142507</v>
      </c>
    </row>
    <row r="59" spans="1:19" ht="12.75">
      <c r="A59" t="s">
        <v>6</v>
      </c>
      <c r="B59" s="33" t="s">
        <v>30</v>
      </c>
      <c r="C59" t="s">
        <v>57</v>
      </c>
      <c r="D59" s="6">
        <f t="shared" si="1"/>
        <v>237241</v>
      </c>
      <c r="H59" s="6">
        <f>237241</f>
        <v>237241</v>
      </c>
      <c r="S59" s="13">
        <f>D59/D5</f>
        <v>0.0023103895897199247</v>
      </c>
    </row>
    <row r="60" spans="1:19" ht="12.75">
      <c r="A60" t="s">
        <v>58</v>
      </c>
      <c r="B60" t="s">
        <v>119</v>
      </c>
      <c r="C60" t="s">
        <v>59</v>
      </c>
      <c r="D60" s="6">
        <f t="shared" si="1"/>
        <v>6216522.4</v>
      </c>
      <c r="I60" s="6">
        <f>5598358.28+618164.12</f>
        <v>6216522.4</v>
      </c>
      <c r="S60" s="13">
        <f>D60/D5</f>
        <v>0.060540077968060844</v>
      </c>
    </row>
    <row r="61" spans="1:19" ht="12.75">
      <c r="A61" t="s">
        <v>25</v>
      </c>
      <c r="B61" s="33" t="s">
        <v>30</v>
      </c>
      <c r="C61" t="s">
        <v>54</v>
      </c>
      <c r="D61" s="6">
        <f t="shared" si="1"/>
        <v>1560055.75</v>
      </c>
      <c r="L61" s="6">
        <f>1560055.75</f>
        <v>1560055.75</v>
      </c>
      <c r="S61" s="13">
        <f>D61/D5</f>
        <v>0.015192722017622205</v>
      </c>
    </row>
    <row r="62" spans="1:19" ht="12.75">
      <c r="A62" t="s">
        <v>25</v>
      </c>
      <c r="B62" t="s">
        <v>44</v>
      </c>
      <c r="C62" t="s">
        <v>120</v>
      </c>
      <c r="D62" s="6">
        <f t="shared" si="1"/>
        <v>2275027.17</v>
      </c>
      <c r="L62" s="6">
        <f>2275027.17</f>
        <v>2275027.17</v>
      </c>
      <c r="S62" s="13">
        <f>D62/D5</f>
        <v>0.022155525772939673</v>
      </c>
    </row>
    <row r="63" spans="1:19" ht="12.75">
      <c r="A63" t="s">
        <v>19</v>
      </c>
      <c r="B63" t="s">
        <v>124</v>
      </c>
      <c r="C63" t="s">
        <v>118</v>
      </c>
      <c r="D63" s="6">
        <f t="shared" si="1"/>
        <v>1497358.93</v>
      </c>
      <c r="O63" s="6">
        <f>750000+713267+34091.93</f>
        <v>1497358.93</v>
      </c>
      <c r="S63" s="13">
        <f>D63/D5</f>
        <v>0.014582144249713014</v>
      </c>
    </row>
    <row r="64" spans="1:19" ht="12.75">
      <c r="A64" t="s">
        <v>19</v>
      </c>
      <c r="B64" s="33" t="s">
        <v>44</v>
      </c>
      <c r="C64" t="s">
        <v>60</v>
      </c>
      <c r="D64" s="6">
        <f t="shared" si="1"/>
        <v>700</v>
      </c>
      <c r="O64" s="6">
        <f>700</f>
        <v>700</v>
      </c>
      <c r="S64" s="13">
        <f>D64/D5</f>
        <v>6.817003438713996E-06</v>
      </c>
    </row>
    <row r="65" spans="1:19" ht="12.75">
      <c r="A65" t="s">
        <v>19</v>
      </c>
      <c r="B65" t="s">
        <v>122</v>
      </c>
      <c r="C65" t="s">
        <v>61</v>
      </c>
      <c r="D65" s="6">
        <f t="shared" si="1"/>
        <v>1863828.58</v>
      </c>
      <c r="O65" s="6">
        <f>1663828.58+200000</f>
        <v>1863828.58</v>
      </c>
      <c r="S65" s="13">
        <f>D65/D5</f>
        <v>0.018151036912904893</v>
      </c>
    </row>
    <row r="66" spans="1:19" ht="12.75">
      <c r="A66" t="s">
        <v>19</v>
      </c>
      <c r="B66" s="33" t="s">
        <v>44</v>
      </c>
      <c r="C66" t="s">
        <v>62</v>
      </c>
      <c r="D66" s="6">
        <f t="shared" si="1"/>
        <v>2183855.1</v>
      </c>
      <c r="O66" s="6">
        <f>2183855.1</f>
        <v>2183855.1</v>
      </c>
      <c r="S66" s="13">
        <f>D66/D5</f>
        <v>0.021267639609075857</v>
      </c>
    </row>
    <row r="67" spans="1:19" ht="12.75">
      <c r="A67" t="s">
        <v>19</v>
      </c>
      <c r="B67" s="33" t="s">
        <v>130</v>
      </c>
      <c r="C67" t="s">
        <v>121</v>
      </c>
      <c r="D67" s="6">
        <f t="shared" si="1"/>
        <v>6966253.47</v>
      </c>
      <c r="O67" s="6">
        <f>6749999.97+216253.5</f>
        <v>6966253.47</v>
      </c>
      <c r="S67" s="13">
        <f>D67/D5</f>
        <v>0.06784139122849044</v>
      </c>
    </row>
    <row r="68" spans="1:19" ht="12.75">
      <c r="A68" t="s">
        <v>19</v>
      </c>
      <c r="B68" t="s">
        <v>46</v>
      </c>
      <c r="C68" t="s">
        <v>63</v>
      </c>
      <c r="D68" s="6">
        <f t="shared" si="1"/>
        <v>11183676.77</v>
      </c>
      <c r="O68" s="6">
        <f>11183676.77</f>
        <v>11183676.77</v>
      </c>
      <c r="S68" s="13">
        <f>D68/D5</f>
        <v>0.10891308999793692</v>
      </c>
    </row>
    <row r="69" spans="1:19" ht="12.75">
      <c r="A69" t="s">
        <v>19</v>
      </c>
      <c r="B69" t="s">
        <v>20</v>
      </c>
      <c r="C69" t="s">
        <v>21</v>
      </c>
      <c r="D69" s="6">
        <f t="shared" si="1"/>
        <v>33517.53</v>
      </c>
      <c r="O69" s="6">
        <f>33517.53</f>
        <v>33517.53</v>
      </c>
      <c r="S69" s="13">
        <f>D69/D5</f>
        <v>0.0003264130246674279</v>
      </c>
    </row>
    <row r="70" spans="1:19" ht="12.75">
      <c r="A70" t="s">
        <v>26</v>
      </c>
      <c r="B70" t="s">
        <v>44</v>
      </c>
      <c r="C70" t="s">
        <v>120</v>
      </c>
      <c r="D70" s="6">
        <f t="shared" si="1"/>
        <v>185092.93</v>
      </c>
      <c r="P70" s="6">
        <f>185092.93</f>
        <v>185092.93</v>
      </c>
      <c r="S70" s="13">
        <f>D70/D5</f>
        <v>0.00180254162898807</v>
      </c>
    </row>
    <row r="71" spans="4:19" ht="12.75">
      <c r="D71" s="11"/>
      <c r="E71" s="11"/>
      <c r="F71" s="11"/>
      <c r="G71" s="11"/>
      <c r="H71" s="11"/>
      <c r="I71" s="11"/>
      <c r="J71" s="11"/>
      <c r="K71" s="11"/>
      <c r="L71" s="11"/>
      <c r="M71" s="11"/>
      <c r="N71" s="11"/>
      <c r="O71" s="11"/>
      <c r="P71" s="11"/>
      <c r="Q71" s="11"/>
      <c r="R71" s="11"/>
      <c r="S71" s="20"/>
    </row>
    <row r="72" spans="2:19" s="13" customFormat="1" ht="13.5" thickBot="1">
      <c r="B72" s="60"/>
      <c r="C72" s="14" t="s">
        <v>12</v>
      </c>
      <c r="D72" s="15">
        <f>SUM(E72:R72)</f>
        <v>0.9999999999999999</v>
      </c>
      <c r="E72" s="15">
        <f>E5/D5</f>
        <v>0.30780861232578316</v>
      </c>
      <c r="F72" s="15">
        <f>F5/D5</f>
        <v>0.20486972482879592</v>
      </c>
      <c r="G72" s="15">
        <f>G5/D5</f>
        <v>0.04460933069996944</v>
      </c>
      <c r="H72" s="15">
        <f>H5/D5</f>
        <v>0.052522207174848186</v>
      </c>
      <c r="I72" s="15">
        <f>I5/D5</f>
        <v>0.060540077968060844</v>
      </c>
      <c r="J72" s="15">
        <f>J5/D5</f>
        <v>0.002003262159937909</v>
      </c>
      <c r="K72" s="15">
        <f>K5/D5</f>
        <v>0.008546014239196485</v>
      </c>
      <c r="L72" s="15">
        <f>L5/D5</f>
        <v>0.041984000810212155</v>
      </c>
      <c r="M72" s="15">
        <f>M5/D5</f>
        <v>0.002689076467998809</v>
      </c>
      <c r="N72" s="15">
        <f>N5/D5</f>
        <v>0.00999811660705467</v>
      </c>
      <c r="O72" s="15">
        <f>O5/D5</f>
        <v>0.2588157073849562</v>
      </c>
      <c r="P72" s="15">
        <f>P5/D5</f>
        <v>0.005593174858461535</v>
      </c>
      <c r="Q72" s="15">
        <f>Q5/D5</f>
        <v>0</v>
      </c>
      <c r="R72" s="15">
        <f>R5/D5</f>
        <v>2.069447472466749E-05</v>
      </c>
      <c r="S72" s="15">
        <f>SUM(S7:S71)</f>
        <v>1</v>
      </c>
    </row>
    <row r="73" spans="1:19" s="13" customFormat="1" ht="13.5" thickTop="1">
      <c r="A73" s="39"/>
      <c r="C73" s="14"/>
      <c r="D73" s="31"/>
      <c r="E73" s="31"/>
      <c r="F73" s="31"/>
      <c r="G73" s="31"/>
      <c r="H73" s="31"/>
      <c r="I73" s="31"/>
      <c r="J73" s="31"/>
      <c r="K73" s="31"/>
      <c r="L73" s="31"/>
      <c r="M73" s="31"/>
      <c r="N73" s="31"/>
      <c r="O73" s="31"/>
      <c r="P73" s="31"/>
      <c r="Q73" s="31"/>
      <c r="R73" s="31"/>
      <c r="S73" s="31"/>
    </row>
    <row r="74" spans="1:19" s="13" customFormat="1" ht="12.75">
      <c r="A74" s="39" t="s">
        <v>144</v>
      </c>
      <c r="C74" s="14"/>
      <c r="D74" s="31"/>
      <c r="E74" s="31"/>
      <c r="F74" s="31"/>
      <c r="G74" s="31"/>
      <c r="H74" s="31"/>
      <c r="I74" s="31"/>
      <c r="J74" s="31"/>
      <c r="K74" s="31"/>
      <c r="L74" s="31"/>
      <c r="M74" s="31"/>
      <c r="N74" s="31"/>
      <c r="O74" s="31"/>
      <c r="P74" s="31"/>
      <c r="Q74" s="31"/>
      <c r="R74" s="31"/>
      <c r="S74" s="31"/>
    </row>
    <row r="75" ht="12.75">
      <c r="A75" s="40"/>
    </row>
    <row r="76" spans="1:19" s="57" customFormat="1" ht="12.75">
      <c r="A76" s="39"/>
      <c r="B76" s="7"/>
      <c r="C76" s="7"/>
      <c r="D76" s="19"/>
      <c r="E76" s="32"/>
      <c r="F76" s="32"/>
      <c r="G76" s="39"/>
      <c r="H76" s="8"/>
      <c r="I76" s="8"/>
      <c r="J76" s="8"/>
      <c r="K76" s="8"/>
      <c r="L76" s="8"/>
      <c r="M76" s="8"/>
      <c r="N76" s="8"/>
      <c r="O76" s="8"/>
      <c r="P76" s="8"/>
      <c r="Q76" s="8"/>
      <c r="R76" s="8"/>
      <c r="S76" s="31"/>
    </row>
    <row r="77" spans="1:19" s="57" customFormat="1" ht="12.75">
      <c r="A77" s="7"/>
      <c r="B77" s="7"/>
      <c r="C77" s="7"/>
      <c r="D77" s="19"/>
      <c r="E77" s="32"/>
      <c r="F77" s="32"/>
      <c r="G77" s="39"/>
      <c r="H77" s="8"/>
      <c r="I77" s="8"/>
      <c r="J77" s="8"/>
      <c r="K77" s="8"/>
      <c r="L77" s="8"/>
      <c r="M77" s="8"/>
      <c r="N77" s="8"/>
      <c r="O77" s="8"/>
      <c r="P77" s="8"/>
      <c r="Q77" s="8"/>
      <c r="R77" s="8"/>
      <c r="S77" s="31"/>
    </row>
    <row r="78" spans="4:7" ht="12.75">
      <c r="D78" s="13"/>
      <c r="G78" s="40"/>
    </row>
    <row r="79" spans="4:7" ht="12.75">
      <c r="D79" s="13"/>
      <c r="G79" s="40"/>
    </row>
    <row r="80" ht="12.75">
      <c r="D80" s="13"/>
    </row>
    <row r="81" ht="12.75">
      <c r="D81" s="13"/>
    </row>
    <row r="82" ht="12.75">
      <c r="D82" s="13"/>
    </row>
    <row r="83" ht="12.75">
      <c r="D83" s="13"/>
    </row>
    <row r="84" ht="12.75">
      <c r="D84" s="13"/>
    </row>
    <row r="85" ht="12.75">
      <c r="D85" s="13"/>
    </row>
    <row r="86" ht="12.75">
      <c r="D86" s="13"/>
    </row>
    <row r="87" ht="12.75">
      <c r="D87" s="13"/>
    </row>
    <row r="88" ht="12.75">
      <c r="D88" s="13"/>
    </row>
    <row r="89" spans="3:4" ht="12.75">
      <c r="C89" s="21"/>
      <c r="D89" s="13"/>
    </row>
    <row r="90" ht="12.75">
      <c r="D90" s="13"/>
    </row>
    <row r="91" ht="12.75">
      <c r="D91" s="13"/>
    </row>
    <row r="92" ht="12.75">
      <c r="D92" s="13"/>
    </row>
  </sheetData>
  <sheetProtection/>
  <printOptions/>
  <pageMargins left="1" right="0" top="0" bottom="0" header="0.5" footer="0"/>
  <pageSetup horizontalDpi="300" verticalDpi="300" orientation="landscape" paperSize="5" scale="60"/>
  <headerFooter alignWithMargins="0">
    <oddHeader>&amp;C&amp;A</oddHeader>
    <oddFooter>&amp;CPage &amp;P&amp;R&amp;D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debt services for 96a</dc:title>
  <dc:subject/>
  <dc:creator>Weems R McFadden</dc:creator>
  <cp:keywords/>
  <dc:description/>
  <cp:lastModifiedBy>Eric Nicholson</cp:lastModifiedBy>
  <cp:lastPrinted>2020-01-13T14:52:13Z</cp:lastPrinted>
  <dcterms:created xsi:type="dcterms:W3CDTF">1998-02-23T20:58:01Z</dcterms:created>
  <dcterms:modified xsi:type="dcterms:W3CDTF">2020-01-13T14:52:44Z</dcterms:modified>
  <cp:category/>
  <cp:version/>
  <cp:contentType/>
  <cp:contentStatus/>
</cp:coreProperties>
</file>